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B6997" i="106" s="1"/>
  <c r="D6997" i="106" s="1"/>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3" i="127"/>
  <c r="B64" i="127"/>
  <c r="D26" i="108"/>
  <c r="F26" i="108"/>
  <c r="D27"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22" i="37"/>
  <c r="D24" i="37"/>
  <c r="B4270" i="106" s="1"/>
  <c r="D4270" i="106" s="1"/>
  <c r="L5" i="11"/>
  <c r="B2056" i="106" s="1"/>
  <c r="D2056" i="106" s="1"/>
  <c r="D9" i="7"/>
  <c r="B1767" i="106" s="1"/>
  <c r="D1767" i="106" s="1"/>
  <c r="D17" i="7"/>
  <c r="B4104" i="106" s="1"/>
  <c r="D4104" i="106" s="1"/>
  <c r="J367" i="29" l="1"/>
  <c r="B7245" i="106" s="1"/>
  <c r="D7245" i="106" s="1"/>
  <c r="B7235" i="106"/>
  <c r="D7235" i="106" s="1"/>
  <c r="F37" i="34"/>
  <c r="E26" i="108"/>
  <c r="J77" i="4"/>
  <c r="B6262" i="106" s="1"/>
  <c r="D6262" i="106" s="1"/>
  <c r="I210" i="29"/>
  <c r="B7071" i="106" s="1"/>
  <c r="D7071" i="106" s="1"/>
  <c r="L22" i="37"/>
  <c r="F68" i="34"/>
  <c r="H112" i="29"/>
  <c r="B7018" i="106" s="1"/>
  <c r="D7018" i="106" s="1"/>
  <c r="B4268" i="106"/>
  <c r="D4268" i="106" s="1"/>
  <c r="F77" i="4"/>
  <c r="B3255" i="106" s="1"/>
  <c r="D3255" i="106" s="1"/>
  <c r="C129" i="29"/>
  <c r="L15" i="11"/>
  <c r="B3459" i="106" s="1"/>
  <c r="D3459" i="106" s="1"/>
  <c r="J22" i="37"/>
  <c r="B1274" i="106"/>
  <c r="D1274" i="106" s="1"/>
  <c r="F49" i="34"/>
  <c r="H33" i="118"/>
  <c r="L367" i="29"/>
  <c r="I24" i="12"/>
  <c r="K184" i="29"/>
  <c r="F13" i="4" s="1"/>
  <c r="B2596" i="106" s="1"/>
  <c r="D2596" i="106" s="1"/>
  <c r="G210" i="29"/>
  <c r="B1365" i="106" s="1"/>
  <c r="D1365" i="106" s="1"/>
  <c r="G15" i="145"/>
  <c r="K28" i="118"/>
  <c r="O27" i="118" s="1"/>
  <c r="O29" i="118" s="1"/>
  <c r="H365" i="29"/>
  <c r="B7242" i="106" s="1"/>
  <c r="D7242" i="106" s="1"/>
  <c r="H76" i="4"/>
  <c r="B3298" i="106" s="1"/>
  <c r="D3298" i="106" s="1"/>
  <c r="G26" i="108"/>
  <c r="B1308" i="106"/>
  <c r="D1308" i="106" s="1"/>
  <c r="E174" i="29"/>
  <c r="B1309" i="106" s="1"/>
  <c r="D1309" i="106" s="1"/>
  <c r="D54" i="36"/>
  <c r="L13" i="11"/>
  <c r="B2060" i="106" s="1"/>
  <c r="D2060" i="106" s="1"/>
  <c r="F19" i="7"/>
  <c r="B1807" i="106" s="1"/>
  <c r="D1807" i="106" s="1"/>
  <c r="L342" i="29"/>
  <c r="G29" i="108"/>
  <c r="E29" i="108"/>
  <c r="F28" i="108"/>
  <c r="F41" i="108" s="1"/>
  <c r="G43" i="108" s="1"/>
  <c r="E28" i="108"/>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B5770" i="106"/>
  <c r="D5770" i="106" s="1"/>
  <c r="K342" i="29"/>
  <c r="F13" i="34" s="1"/>
  <c r="I26" i="12"/>
  <c r="B7741" i="106" s="1"/>
  <c r="D7741" i="106" s="1"/>
  <c r="B1996" i="106"/>
  <c r="D1996" i="106" s="1"/>
  <c r="D44" i="36"/>
  <c r="F65" i="34"/>
  <c r="L16" i="11"/>
  <c r="B2061" i="106" s="1"/>
  <c r="D2061" i="106" s="1"/>
  <c r="F174" i="34"/>
  <c r="C114" i="29"/>
  <c r="B757" i="106" s="1"/>
  <c r="D75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8" i="4" l="1"/>
  <c r="F10" i="4" s="1"/>
  <c r="B4125" i="106" s="1"/>
  <c r="D4125" i="106" s="1"/>
  <c r="D8" i="146"/>
  <c r="J20" i="4"/>
  <c r="B6230" i="106" s="1"/>
  <c r="D6230" i="106" s="1"/>
  <c r="J19" i="4"/>
  <c r="B6229" i="106" s="1"/>
  <c r="D6229"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<sst xmlns="http://schemas.openxmlformats.org/spreadsheetml/2006/main" count="5066" uniqueCount="2095">
  <si>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</si>
  <si>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</si>
  <si>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</si>
  <si>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</si>
  <si>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</si>
  <si>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</si>
  <si>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</si>
  <si>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</si>
  <si>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</si>
  <si>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</si>
  <si>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</si>
  <si>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</si>
  <si>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</si>
  <si>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</si>
  <si>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</si>
  <si>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</si>
  <si>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</si>
  <si>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</si>
  <si>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</si>
  <si>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</si>
  <si>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</si>
  <si>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</si>
  <si>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</si>
  <si>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</si>
  <si>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</si>
  <si>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</si>
  <si>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</si>
  <si>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</si>
  <si>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</si>
  <si>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</si>
  <si>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</si>
  <si>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</si>
  <si>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</si>
  <si>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</si>
  <si>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</si>
  <si>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</si>
  <si>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</si>
  <si>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</si>
  <si>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</si>
  <si>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</si>
  <si>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</si>
  <si>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</si>
  <si>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</si>
  <si>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</si>
  <si>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</si>
  <si>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</si>
  <si>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</si>
  <si>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</si>
  <si>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</si>
  <si>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</si>
  <si>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</si>
  <si>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</si>
  <si>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</si>
  <si>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</si>
  <si>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</si>
  <si>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</si>
  <si>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</si>
  <si>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</si>
  <si>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</si>
  <si>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</si>
  <si>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</si>
  <si>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</si>
  <si>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</si>
  <si>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</si>
  <si>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</si>
  <si>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</si>
  <si>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</si>
  <si>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</si>
  <si>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</si>
  <si>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</si>
  <si>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</si>
  <si>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</si>
  <si>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</si>
  <si>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</si>
  <si>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</si>
  <si>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</si>
  <si>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</si>
  <si>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</si>
  <si>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</si>
  <si>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</si>
  <si>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</si>
  <si>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</si>
  <si>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</si>
  <si>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</si>
  <si>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</si>
  <si>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</si>
  <si>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</si>
  <si>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</si>
  <si>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</si>
  <si>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</si>
  <si>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</si>
  <si>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</si>
  <si>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</si>
  <si>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</si>
  <si>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</si>
  <si>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</si>
  <si>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</si>
  <si>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</si>
  <si>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</si>
  <si>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</si>
  <si>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</si>
  <si>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</si>
  <si>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</si>
  <si>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</si>
  <si>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</si>
  <si>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</si>
  <si>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</si>
  <si>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</si>
  <si>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</si>
  <si>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</si>
  <si>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</si>
  <si>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</si>
  <si>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</si>
  <si>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</si>
  <si>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</si>
  <si>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</si>
  <si>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</si>
  <si>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</si>
  <si>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</si>
  <si>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</si>
  <si>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</si>
  <si>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</si>
  <si>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</si>
  <si>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</si>
  <si>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</si>
  <si>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</si>
  <si>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</si>
  <si>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</si>
  <si>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</si>
  <si>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</si>
  <si>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</si>
  <si>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</si>
  <si>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</si>
  <si>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</si>
  <si>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</si>
  <si>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</si>
  <si>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</si>
  <si>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</si>
  <si>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</si>
  <si>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</si>
  <si>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</si>
  <si>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</si>
  <si>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</si>
  <si>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</si>
  <si>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</si>
  <si>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</si>
  <si>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</si>
  <si>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</si>
  <si>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</si>
  <si>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</si>
  <si>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</si>
  <si>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</si>
  <si>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</si>
  <si>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</si>
  <si>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</si>
  <si>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</si>
  <si>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</si>
  <si>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</si>
  <si>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</si>
  <si>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</si>
  <si>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</si>
  <si>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</si>
  <si>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</si>
  <si>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</si>
  <si>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</si>
  <si>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</si>
  <si>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</si>
  <si>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</si>
  <si>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</si>
  <si>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</si>
  <si>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</si>
  <si>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</si>
  <si>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</si>
  <si>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</si>
  <si>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</si>
  <si>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</si>
  <si>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</si>
  <si>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</si>
  <si>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</si>
  <si>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</si>
  <si>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</si>
  <si>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</si>
  <si>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</si>
  <si>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</si>
  <si>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</si>
  <si>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</si>
  <si>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</si>
  <si>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</si>
  <si>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</si>
  <si>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</si>
  <si>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</si>
  <si>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</si>
  <si>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</si>
  <si>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</si>
  <si>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</si>
  <si>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</si>
  <si>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</si>
  <si>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</si>
  <si>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</si>
  <si>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</si>
  <si>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</si>
  <si>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</si>
  <si>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</si>
  <si>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</si>
  <si>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</si>
  <si>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</si>
  <si>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</si>
  <si>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</si>
  <si>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</si>
  <si>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</si>
  <si>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</si>
  <si>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</si>
  <si>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</si>
  <si>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</si>
  <si>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</si>
  <si>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</si>
  <si>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</si>
  <si>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</si>
  <si>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</si>
  <si>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</si>
  <si>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</si>
  <si>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</si>
  <si>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</si>
  <si>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</si>
  <si>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</si>
  <si>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</si>
  <si>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</si>
  <si>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</si>
  <si>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</si>
  <si>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</si>
  <si>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</si>
  <si>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</si>
  <si>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</si>
  <si>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</si>
  <si>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</si>
  <si>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</si>
  <si>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</si>
  <si>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</si>
  <si>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</si>
  <si>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</si>
  <si>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</si>
  <si>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</si>
  <si>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</si>
  <si>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</si>
  <si>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</si>
  <si>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</si>
  <si>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</si>
  <si>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</si>
  <si>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</si>
  <si>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</si>
  <si>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</si>
  <si>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</si>
  <si>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</si>
  <si>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</si>
  <si>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</si>
  <si>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</si>
  <si>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</si>
  <si>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</si>
  <si>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</si>
  <si>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</si>
  <si>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</si>
  <si>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</si>
  <si>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</si>
  <si>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</si>
  <si>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</si>
  <si>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</si>
  <si>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</si>
  <si>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</si>
  <si>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</si>
  <si>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</si>
  <si>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</si>
  <si>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</si>
  <si>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</si>
  <si>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</si>
  <si>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</si>
  <si>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</si>
  <si>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</si>
  <si>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</si>
  <si>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</si>
  <si>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</si>
  <si>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</si>
  <si>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</si>
  <si>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</si>
  <si>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</si>
  <si>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</si>
  <si>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</si>
  <si>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</si>
  <si>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</si>
  <si>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</si>
  <si>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</si>
  <si>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</si>
  <si>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</si>
  <si>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</si>
  <si>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</si>
  <si>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</si>
  <si>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</si>
  <si>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</si>
  <si>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</si>
  <si>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</si>
  <si>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</si>
  <si>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</si>
  <si>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</si>
  <si>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</si>
  <si>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</si>
  <si>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</si>
  <si>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</si>
  <si>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</si>
  <si>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</si>
  <si>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</si>
  <si>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</si>
  <si>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</si>
  <si>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</si>
  <si>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</si>
  <si>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</si>
  <si>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</si>
  <si>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</si>
  <si>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</si>
  <si>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</si>
  <si>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</si>
  <si>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</si>
  <si>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</si>
  <si>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</si>
  <si>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</si>
  <si>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</si>
  <si>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</si>
  <si>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</si>
  <si>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</si>
  <si>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</si>
  <si>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</si>
  <si>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</si>
  <si>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</si>
  <si>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</si>
  <si>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</si>
  <si>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</si>
  <si>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</si>
  <si>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</si>
  <si>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</si>
  <si>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</si>
  <si>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</si>
  <si>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</si>
  <si>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</si>
  <si>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</si>
  <si>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</si>
  <si>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</si>
  <si>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</si>
  <si>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</si>
  <si>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</si>
  <si>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</si>
  <si>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</si>
  <si>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</si>
  <si>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</si>
  <si>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</si>
  <si>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</si>
  <si>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</si>
  <si>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</si>
  <si>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</si>
  <si>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</si>
  <si>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</si>
  <si>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</si>
  <si>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</si>
  <si>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</si>
  <si>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</si>
  <si>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</si>
  <si>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</si>
  <si>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</si>
  <si>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</si>
  <si>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</si>
  <si>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</si>
  <si>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</si>
  <si>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</si>
  <si>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</si>
  <si>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</si>
  <si>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</si>
  <si>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</si>
  <si>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</si>
  <si>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</si>
  <si>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</si>
  <si>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</si>
  <si>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</si>
  <si>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</si>
  <si>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</si>
  <si>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</si>
  <si>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</si>
  <si>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</si>
  <si>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</si>
  <si>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</si>
  <si>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</si>
  <si>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</si>
  <si>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</si>
  <si>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</si>
  <si>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</si>
  <si>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</si>
  <si>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</si>
  <si>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</si>
  <si>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</si>
  <si>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</si>
  <si>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</si>
  <si>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</si>
  <si>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</si>
  <si>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</si>
  <si>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</si>
  <si>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</si>
  <si>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</si>
  <si>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</si>
  <si>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</si>
  <si>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</si>
  <si>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</si>
  <si>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</si>
  <si>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</si>
  <si>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</si>
  <si>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</si>
  <si>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</si>
  <si>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</si>
  <si>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</si>
  <si>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</si>
  <si>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</si>
  <si>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</si>
  <si>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</si>
  <si>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</si>
  <si>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</si>
  <si>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</si>
  <si>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</si>
  <si>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</si>
  <si>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</si>
  <si>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</si>
  <si>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</si>
  <si>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</si>
  <si>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</si>
  <si>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</si>
  <si>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</si>
  <si>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</si>
  <si>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</si>
  <si>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</si>
  <si>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</si>
  <si>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</si>
  <si>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</si>
  <si>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</si>
  <si>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</si>
  <si>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</si>
  <si>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</si>
  <si>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</si>
  <si>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</si>
  <si>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</si>
  <si>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</si>
  <si>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</si>
  <si>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</si>
  <si>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</si>
  <si>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</si>
  <si>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</si>
  <si>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</si>
  <si>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</si>
  <si>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</si>
  <si>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</si>
  <si>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</si>
  <si>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</si>
  <si>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</si>
  <si>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</si>
  <si>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</si>
  <si>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</si>
  <si>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</si>
  <si>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</si>
  <si>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</si>
  <si>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</si>
  <si>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</si>
  <si>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</si>
  <si>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</si>
  <si>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</si>
  <si>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</si>
  <si>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</si>
  <si>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</si>
  <si>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</si>
  <si>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</si>
  <si>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</si>
  <si>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</si>
  <si>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</si>
  <si>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</si>
  <si>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</si>
  <si>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</si>
  <si>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</si>
  <si>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</si>
  <si>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</si>
  <si>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</si>
  <si>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</si>
  <si>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</si>
  <si>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</si>
  <si>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</si>
  <si>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</si>
  <si>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</si>
  <si>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</si>
  <si>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</si>
  <si>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</si>
  <si>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</si>
  <si>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</si>
  <si>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</si>
  <si>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</si>
  <si>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</si>
  <si>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</si>
  <si>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</si>
  <si>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</si>
  <si>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</si>
  <si>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</si>
  <si>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</si>
  <si>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</si>
  <si>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</si>
  <si>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</si>
  <si>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</si>
  <si>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</si>
  <si>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</si>
  <si>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</si>
  <si>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</si>
  <si>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</si>
  <si>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</si>
  <si>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</si>
  <si>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</si>
  <si>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</si>
  <si>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</si>
  <si>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</si>
  <si>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</si>
  <si>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</si>
  <si>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</si>
  <si>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</si>
  <si>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</si>
  <si>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</si>
  <si>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</si>
  <si>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</si>
  <si>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</si>
  <si>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</si>
  <si>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</si>
  <si>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</si>
  <si>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</si>
  <si>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</si>
  <si>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</si>
  <si>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</si>
  <si>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</si>
  <si>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</si>
  <si>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</si>
  <si>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</si>
  <si>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</si>
  <si>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</si>
  <si>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</si>
  <si>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</si>
  <si>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</si>
  <si>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</si>
  <si>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</si>
  <si>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</si>
  <si>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</si>
  <si>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</si>
  <si>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</si>
  <si>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</si>
  <si>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</si>
  <si>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</si>
  <si>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</si>
  <si>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</si>
  <si>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</si>
  <si>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</si>
  <si>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</si>
  <si>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</si>
  <si>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</si>
  <si>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</si>
  <si>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</si>
  <si>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</si>
  <si>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</si>
  <si>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</si>
  <si>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</si>
  <si>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</si>
  <si>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</si>
  <si>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</si>
  <si>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</si>
  <si>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</si>
  <si>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</si>
  <si>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</si>
  <si>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</si>
  <si>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</si>
  <si>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</si>
  <si>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</si>
  <si>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</si>
  <si>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</si>
  <si>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</si>
  <si>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</si>
  <si>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</si>
  <si>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</si>
  <si>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</si>
  <si>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</si>
  <si>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</si>
  <si>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</si>
  <si>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</si>
  <si>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</si>
  <si>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</si>
  <si>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</si>
  <si>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</si>
  <si>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</si>
  <si>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</si>
  <si>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</si>
  <si>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</si>
  <si>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</si>
  <si>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</si>
  <si>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</si>
  <si>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</si>
  <si>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</si>
  <si>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</si>
  <si>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</si>
  <si>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</si>
  <si>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</si>
  <si>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</si>
  <si>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</si>
  <si>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</si>
  <si>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</si>
  <si>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</si>
  <si>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</si>
  <si>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</si>
  <si>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</si>
  <si>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</si>
  <si>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</si>
  <si>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</si>
  <si>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</si>
  <si>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</si>
  <si>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</si>
  <si>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</si>
  <si>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</si>
  <si>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</si>
  <si>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</si>
  <si>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</si>
  <si>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</si>
  <si>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</si>
  <si>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</si>
  <si>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</si>
  <si>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</si>
  <si>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</si>
  <si>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</si>
  <si>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</si>
  <si>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</si>
  <si>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</si>
  <si>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</si>
  <si>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</si>
  <si>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</si>
  <si>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</si>
  <si>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</si>
  <si>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</si>
  <si>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</si>
  <si>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</si>
  <si>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</si>
  <si>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</si>
  <si>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</si>
  <si>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</si>
  <si>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</si>
  <si>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</si>
  <si>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</si>
  <si>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</si>
  <si>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</si>
  <si>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</si>
  <si>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</si>
  <si>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</si>
  <si>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</si>
  <si>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</si>
  <si>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</si>
  <si>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</si>
  <si>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</si>
  <si>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</si>
  <si>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</si>
  <si>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</si>
  <si>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</si>
  <si>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</si>
  <si>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</si>
  <si>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</si>
  <si>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</si>
  <si>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</si>
  <si>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</si>
  <si>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</si>
  <si>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</si>
  <si>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</si>
  <si>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</si>
  <si>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</si>
  <si>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</si>
  <si>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</si>
  <si>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</si>
  <si>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</si>
  <si>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</si>
  <si>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</si>
  <si>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</si>
  <si>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</si>
  <si>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</si>
  <si>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</si>
  <si>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</si>
  <si>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</si>
  <si>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</si>
  <si>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</si>
  <si>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</si>
  <si>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</si>
  <si>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</si>
  <si>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</si>
  <si>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</si>
  <si>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</si>
  <si>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</si>
  <si>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</si>
  <si>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</si>
  <si>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</si>
  <si>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</si>
  <si>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</si>
  <si>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</si>
  <si>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</si>
  <si>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</si>
  <si>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</si>
  <si>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</si>
  <si>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</si>
  <si>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</si>
  <si>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</si>
  <si>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</si>
  <si>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</si>
  <si>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</si>
  <si>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</si>
  <si>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</si>
  <si>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</si>
  <si>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</si>
  <si>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</si>
  <si>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</si>
  <si>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</si>
  <si>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</si>
  <si>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</si>
  <si>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</si>
  <si>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</si>
  <si>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</si>
  <si>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</si>
  <si>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</si>
  <si>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</si>
  <si>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</si>
  <si>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</si>
  <si>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</si>
  <si>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</si>
  <si>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</si>
  <si>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</si>
  <si>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</si>
  <si>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</si>
  <si>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</si>
  <si>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</si>
  <si>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</si>
  <si>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</si>
  <si>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</si>
  <si>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</si>
  <si>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</si>
  <si>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</si>
  <si>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</si>
  <si>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</si>
  <si>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</si>
  <si>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</si>
  <si>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</si>
  <si>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</si>
  <si>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</si>
  <si>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</si>
  <si>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</si>
  <si>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</si>
  <si>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</si>
  <si>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</si>
  <si>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</si>
  <si>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</si>
  <si>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</si>
  <si>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</si>
  <si>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</si>
  <si>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</si>
  <si>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</si>
  <si>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</si>
  <si>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</si>
  <si>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</si>
  <si>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</si>
  <si>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</si>
  <si>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</si>
  <si>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</si>
  <si>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</si>
  <si>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</si>
  <si>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</si>
  <si>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</si>
  <si>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</si>
  <si>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</si>
  <si>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</si>
  <si>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</si>
  <si>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</si>
  <si>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</si>
  <si>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</si>
  <si>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</si>
  <si>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</si>
  <si>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</si>
  <si>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</si>
  <si>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</si>
  <si>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</si>
  <si>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</si>
  <si>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</si>
  <si>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</si>
  <si>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</si>
  <si>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</si>
  <si>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</si>
  <si>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</si>
  <si>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</si>
  <si>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</si>
  <si>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</si>
  <si>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</si>
  <si>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</si>
  <si>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</si>
  <si>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</si>
  <si>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</si>
  <si>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</si>
  <si>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</si>
  <si>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</si>
  <si>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</si>
  <si>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</si>
  <si>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</si>
  <si>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</si>
  <si>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</si>
  <si>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</si>
  <si>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</si>
  <si>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</si>
  <si>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</si>
  <si>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</si>
  <si>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</si>
  <si>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</si>
  <si>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</si>
  <si>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</si>
  <si>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</si>
  <si>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</si>
  <si>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</si>
  <si>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</si>
  <si>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</si>
  <si>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</si>
  <si>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</si>
  <si>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</si>
  <si>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</si>
  <si>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</si>
  <si>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</si>
  <si>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</si>
  <si>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</si>
  <si>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</si>
  <si>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</si>
  <si>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</si>
  <si>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</si>
  <si>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</si>
  <si>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</si>
  <si>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</si>
  <si>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</si>
  <si>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</si>
  <si>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</si>
  <si>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</si>
  <si>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</si>
  <si>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</si>
  <si>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</si>
  <si>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</si>
  <si>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</si>
  <si>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</si>
  <si>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</si>
  <si>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</si>
  <si>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</si>
  <si>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</si>
  <si>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</si>
  <si>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</si>
  <si>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</si>
  <si>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</si>
  <si>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</si>
  <si>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</si>
  <si>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</si>
  <si>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</si>
  <si>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</si>
  <si>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</si>
  <si>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</si>
  <si>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</si>
  <si>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</si>
  <si>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</si>
  <si>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</si>
  <si>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</si>
  <si>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</si>
  <si>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</si>
  <si>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</si>
  <si>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</si>
  <si>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</si>
  <si>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</si>
  <si>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</si>
  <si>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</si>
  <si>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</si>
  <si>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</si>
  <si>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</si>
  <si>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</si>
  <si>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</si>
  <si>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</si>
  <si>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</si>
  <si>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</si>
  <si>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</si>
  <si>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</si>
  <si>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</si>
  <si>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</si>
  <si>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</si>
  <si>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</si>
  <si>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</si>
  <si>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</si>
  <si>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</si>
  <si>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</si>
  <si>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</si>
  <si>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</si>
  <si>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</si>
  <si>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</si>
  <si>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</si>
  <si>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</si>
  <si>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</si>
  <si>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</si>
  <si>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</si>
  <si>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</si>
  <si>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</si>
  <si>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</si>
  <si>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</si>
  <si>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</si>
  <si>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</si>
  <si>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</si>
  <si>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</si>
  <si>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</si>
  <si>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</si>
  <si>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</si>
  <si>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</si>
  <si>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</si>
  <si>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</si>
  <si>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</si>
  <si>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</si>
  <si>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</si>
  <si>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</si>
  <si>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</si>
  <si>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</si>
  <si>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</si>
  <si>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</si>
  <si>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</si>
  <si>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</si>
  <si>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</si>
  <si>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</si>
  <si>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</si>
  <si>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</si>
  <si>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</si>
  <si>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</si>
  <si>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</si>
  <si>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</si>
  <si>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</si>
  <si>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</si>
  <si>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</si>
  <si>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</si>
  <si>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</si>
  <si>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</si>
  <si>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</si>
  <si>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</si>
  <si>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</si>
  <si>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</si>
  <si>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</si>
  <si>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</si>
  <si>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</si>
  <si>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</si>
  <si>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</si>
  <si>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</si>
  <si>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</si>
  <si>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</si>
  <si>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</si>
  <si>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</si>
  <si>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</si>
  <si>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</si>
  <si>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</si>
  <si>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</si>
  <si>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</si>
  <si>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</si>
  <si>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</si>
  <si>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</si>
  <si>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</si>
  <si>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</si>
  <si>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</si>
  <si>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</si>
  <si>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</si>
  <si>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</si>
  <si>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</si>
  <si>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</si>
  <si>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</si>
  <si>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</si>
  <si>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</si>
  <si>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</si>
  <si>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</si>
  <si>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</si>
  <si>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</si>
  <si>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</si>
  <si>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</si>
  <si>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</si>
  <si>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</si>
  <si>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</si>
  <si>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</si>
  <si>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</si>
  <si>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</si>
  <si>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</si>
  <si>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</si>
  <si>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</si>
  <si>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</si>
  <si>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</si>
  <si>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</si>
  <si>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</si>
  <si>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</si>
  <si>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</si>
  <si>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</si>
  <si>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</si>
  <si>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</si>
  <si>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</si>
  <si>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</si>
  <si>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</si>
  <si>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</si>
  <si>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</si>
  <si>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</si>
  <si>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</si>
  <si>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</si>
  <si>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</si>
  <si>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</si>
  <si>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</si>
  <si>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</si>
  <si>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</si>
  <si>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</si>
  <si>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</si>
  <si>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</si>
  <si>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</si>
  <si>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</si>
  <si>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</si>
  <si>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</si>
  <si>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</si>
  <si>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</si>
  <si>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</si>
  <si>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</si>
  <si>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</si>
  <si>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</si>
  <si>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</si>
  <si>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</si>
  <si>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</si>
  <si>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</si>
  <si>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</si>
  <si>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</si>
  <si>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</si>
  <si>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</si>
  <si>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</si>
  <si>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</si>
  <si>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</si>
  <si>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</si>
  <si>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</si>
  <si>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</si>
  <si>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</si>
  <si>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</si>
  <si>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</si>
  <si>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</si>
  <si>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</si>
  <si>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</si>
  <si>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</si>
  <si>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</si>
  <si>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</si>
  <si>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</si>
  <si>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</si>
  <si>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</si>
  <si>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</si>
  <si>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</si>
  <si>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</si>
  <si>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</si>
  <si>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</si>
  <si>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</si>
  <si>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</si>
  <si>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</si>
  <si>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</si>
  <si>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</si>
  <si>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</si>
  <si>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</si>
  <si>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</si>
  <si>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</si>
  <si>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</si>
  <si>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</si>
  <si>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</si>
  <si>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</si>
  <si>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</si>
  <si>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</si>
  <si>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</si>
  <si>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</si>
  <si>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</si>
  <si>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</si>
  <si>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</si>
  <si>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</si>
  <si>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</si>
  <si>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</si>
  <si>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</si>
  <si>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</si>
  <si>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</si>
  <si>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</si>
  <si>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</si>
  <si>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</si>
  <si>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</si>
  <si>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</si>
  <si>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</si>
  <si>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</si>
  <si>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</si>
  <si>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</si>
  <si>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</si>
  <si>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</si>
  <si>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</si>
  <si>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</si>
  <si>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</si>
  <si>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</si>
  <si>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</si>
  <si>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</si>
  <si>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</si>
  <si>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</si>
  <si>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</si>
  <si>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</si>
  <si>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</si>
  <si>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</si>
  <si>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</si>
  <si>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</si>
  <si>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</si>
  <si>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</si>
  <si>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</si>
  <si>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</si>
  <si>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</si>
  <si>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</si>
  <si>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</si>
  <si>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</si>
  <si>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</si>
  <si>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</si>
  <si>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</si>
  <si>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</si>
  <si>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</si>
  <si>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</si>
  <si>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</si>
  <si>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</si>
  <si>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</si>
  <si>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</si>
  <si>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</si>
  <si>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</si>
  <si>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</si>
  <si>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</si>
  <si>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</si>
  <si>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</si>
  <si>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</si>
  <si>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</si>
  <si>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</si>
  <si>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</si>
  <si>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</si>
  <si>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</si>
  <si>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</si>
  <si>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</si>
  <si>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</si>
  <si>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</si>
  <si>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</si>
  <si>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</si>
  <si>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</si>
  <si>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</si>
  <si>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</si>
  <si>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</si>
  <si>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</si>
  <si>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</si>
  <si>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</si>
  <si>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</si>
  <si>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</si>
  <si>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</si>
  <si>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</si>
  <si>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</si>
  <si>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</si>
  <si>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</si>
  <si>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</si>
  <si>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</si>
  <si>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</si>
  <si>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</si>
  <si>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</si>
  <si>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</si>
  <si>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</si>
  <si>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</si>
  <si>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</si>
  <si>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</si>
  <si>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</si>
  <si>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</si>
  <si>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</si>
  <si>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</si>
  <si>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</si>
  <si>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</si>
  <si>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</si>
  <si>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</si>
  <si>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</si>
  <si>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</si>
  <si>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</si>
  <si>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</si>
  <si>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</si>
  <si>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</si>
  <si>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</si>
  <si>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</si>
  <si>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</si>
  <si>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</si>
  <si>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</si>
  <si>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</si>
  <si>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</si>
  <si>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</si>
  <si>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</si>
  <si>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</si>
  <si>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</si>
  <si>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</si>
  <si>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</si>
  <si>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</si>
  <si>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</si>
  <si>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</si>
  <si>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</si>
  <si>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</si>
  <si>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</si>
  <si>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</si>
  <si>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</si>
  <si>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</si>
  <si>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</si>
  <si>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</si>
  <si>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</si>
  <si>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</si>
  <si>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</si>
  <si>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</si>
  <si>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</si>
  <si>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</si>
  <si>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</si>
  <si>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</si>
  <si>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</si>
  <si>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</si>
  <si>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</si>
  <si>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</si>
  <si>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</si>
  <si>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</si>
  <si>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</si>
  <si>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</si>
  <si>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</si>
  <si>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</si>
  <si>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</si>
  <si>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</si>
  <si>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</si>
  <si>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</si>
  <si>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</si>
  <si>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</si>
  <si>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</si>
  <si>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</si>
  <si>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</si>
  <si>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</si>
  <si>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</si>
  <si>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</si>
  <si>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</si>
  <si>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</si>
  <si>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</si>
  <si>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</si>
  <si>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</si>
  <si>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</si>
  <si>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</si>
  <si>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</si>
  <si>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</si>
  <si>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</si>
  <si>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</si>
  <si>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</si>
  <si>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</si>
  <si>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</si>
  <si>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</si>
  <si>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</si>
  <si>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</si>
  <si>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</si>
  <si>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</si>
  <si>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</si>
  <si>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</si>
  <si>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</si>
  <si>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</si>
  <si>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</si>
  <si>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</si>
  <si>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</si>
  <si>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</si>
  <si>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</si>
  <si>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</si>
  <si>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</si>
  <si>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</si>
  <si>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</si>
  <si>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</si>
  <si>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</si>
  <si>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</si>
  <si>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</si>
  <si>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</si>
  <si>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</si>
  <si>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</si>
  <si>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</si>
  <si>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</si>
  <si>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</si>
  <si>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</si>
  <si>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</si>
  <si>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</si>
  <si>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</si>
  <si>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</si>
  <si>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</si>
  <si>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</si>
  <si>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</si>
  <si>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</si>
  <si>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</si>
  <si>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</si>
  <si>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</si>
  <si>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</si>
  <si>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</si>
  <si>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</si>
  <si>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</si>
  <si>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</si>
  <si>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</si>
  <si>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</si>
  <si>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</si>
  <si>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</si>
  <si>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</si>
  <si>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</si>
  <si>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</si>
  <si>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</si>
  <si>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</si>
  <si>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</si>
  <si>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</si>
  <si>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</si>
  <si>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</si>
  <si>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</si>
  <si>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</si>
  <si>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</si>
  <si>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</si>
  <si>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</si>
  <si>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</si>
  <si>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</si>
  <si>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</si>
  <si>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</si>
  <si>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</si>
  <si>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</si>
  <si>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</si>
  <si>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</si>
  <si>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</si>
  <si>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</si>
  <si>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</si>
  <si>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</si>
  <si>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</si>
  <si>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</si>
  <si>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</si>
  <si>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</si>
  <si>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</si>
  <si>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</si>
  <si>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</si>
  <si>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</si>
  <si>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</si>
  <si>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</si>
  <si>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</si>
  <si>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</si>
  <si>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</si>
  <si>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</si>
  <si>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</si>
  <si>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</si>
  <si>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</si>
  <si>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</si>
  <si>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</si>
  <si>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</si>
  <si>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</si>
  <si>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</si>
  <si>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</si>
  <si>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</si>
  <si>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</si>
  <si>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</si>
  <si>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</si>
  <si>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</si>
  <si>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</si>
  <si>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</si>
  <si>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</si>
  <si>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</si>
  <si>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</si>
  <si>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</si>
  <si>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</si>
  <si>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</si>
  <si>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</si>
  <si>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</si>
  <si>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</si>
  <si>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</si>
  <si>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</si>
  <si>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</si>
  <si>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</si>
  <si>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</si>
  <si>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</si>
  <si>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</si>
  <si>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</si>
  <si>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</si>
  <si>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</si>
  <si>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</si>
  <si>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</si>
  <si>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</si>
  <si>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</si>
  <si>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</si>
  <si>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</si>
  <si>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</si>
  <si>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</si>
  <si>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</si>
  <si>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</si>
  <si>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</si>
  <si>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</si>
  <si>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</si>
  <si>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</si>
  <si>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</si>
  <si>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</si>
  <si>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</si>
  <si>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</si>
  <si>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</si>
  <si>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</si>
  <si>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</si>
  <si>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</si>
  <si>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</si>
  <si>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</si>
  <si>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</si>
  <si>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</si>
  <si>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</si>
  <si>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</si>
  <si>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</si>
  <si>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</si>
  <si>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</si>
  <si>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</si>
  <si>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</si>
  <si>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</si>
  <si>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</si>
  <si>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</si>
  <si>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</si>
  <si>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</si>
  <si>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</si>
  <si>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</si>
  <si>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</si>
  <si>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</si>
  <si>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</si>
  <si>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</si>
  <si>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</si>
  <si>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</si>
  <si>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</si>
  <si>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</si>
  <si>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</si>
  <si>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</si>
  <si>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</si>
  <si>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</si>
  <si>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</si>
  <si>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</si>
  <si>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</si>
  <si>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</si>
  <si>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</si>
  <si>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</si>
  <si>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</si>
  <si>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</si>
  <si>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</si>
  <si>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</si>
  <si>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</si>
  <si>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</si>
  <si>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</si>
  <si>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</si>
  <si>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</si>
  <si>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</si>
  <si>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</si>
  <si>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</si>
  <si>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</si>
  <si>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</si>
  <si>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</si>
  <si>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</si>
  <si>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</si>
  <si>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</si>
  <si>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</si>
  <si>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</si>
  <si>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</si>
  <si>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</si>
  <si>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</si>
  <si>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</si>
  <si>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</si>
  <si>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</si>
  <si>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</si>
  <si>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</si>
  <si>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</si>
  <si>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</si>
  <si>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</si>
  <si>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</si>
  <si>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</si>
  <si>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</si>
  <si>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</si>
  <si>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</si>
  <si>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</si>
  <si>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</si>
  <si>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</si>
  <si>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</si>
  <si>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</si>
  <si>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</si>
  <si>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</si>
  <si>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</si>
  <si>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</si>
  <si>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</si>
  <si>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</si>
  <si>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</si>
  <si>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</si>
  <si>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</si>
  <si>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</si>
  <si>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</si>
  <si>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</si>
  <si>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</si>
  <si>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</si>
  <si>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</si>
  <si>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</si>
  <si>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</si>
  <si>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</si>
  <si>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</si>
  <si>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</si>
  <si>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</si>
  <si>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</si>
  <si>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</si>
  <si>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</si>
  <si>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</si>
  <si>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</si>
  <si>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</si>
  <si>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</si>
  <si>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</si>
  <si>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</si>
  <si>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</si>
  <si>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</si>
  <si>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</si>
  <si>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</si>
  <si>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</si>
  <si>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</si>
  <si>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</si>
  <si>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</si>
  <si>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</si>
  <si>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</si>
  <si>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</si>
  <si>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</si>
  <si>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</si>
  <si>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</si>
  <si>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</si>
  <si>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</si>
  <si>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</si>
  <si>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</si>
  <si>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</si>
  <si>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</si>
  <si>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</si>
  <si>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</si>
  <si>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</si>
  <si>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</si>
  <si>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</si>
  <si>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</si>
  <si>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</si>
  <si>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</si>
  <si>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</si>
  <si>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</si>
  <si>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</si>
  <si>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</si>
  <si>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</si>
  <si>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</si>
  <si>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</si>
  <si>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</si>
  <si>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</si>
  <si>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</si>
  <si>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</si>
  <si>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</si>
  <si>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</si>
  <si>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</si>
  <si>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</si>
  <si>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</si>
  <si>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</si>
  <si>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</si>
  <si>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</si>
  <si>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</si>
  <si>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</si>
  <si>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</si>
  <si>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</si>
  <si>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</si>
  <si>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</si>
  <si>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</si>
  <si>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</si>
  <si>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</si>
  <si>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</si>
  <si>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</si>
  <si>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</si>
  <si>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</si>
  <si>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</si>
  <si>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</si>
  <si>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</si>
  <si>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</si>
  <si>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</si>
  <si>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</si>
  <si>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</si>
  <si>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</si>
  <si>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</si>
  <si>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</si>
  <si>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</si>
  <si>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</si>
  <si>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</si>
  <si>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</si>
  <si>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</si>
  <si>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</si>
  <si>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</si>
  <si>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</si>
  <si>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</si>
  <si>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</si>
  <si>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</si>
  <si>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</si>
  <si>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</si>
  <si>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</si>
  <si>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</si>
  <si>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</si>
  <si>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</si>
  <si>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</si>
  <si>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</si>
  <si>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</si>
  <si>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</si>
  <si>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</si>
  <si>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</si>
  <si>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</si>
  <si>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</si>
  <si>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</si>
  <si>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</si>
  <si>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</si>
  <si>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</si>
  <si>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</si>
  <si>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</si>
  <si>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</si>
  <si>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</si>
  <si>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</si>
  <si>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</si>
  <si>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</si>
  <si>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</si>
  <si>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</si>
  <si>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</si>
  <si>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</si>
  <si>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</si>
  <si>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</si>
  <si>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</si>
  <si>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</si>
  <si>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</si>
  <si>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</si>
  <si>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</si>
  <si>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</si>
  <si>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</si>
  <si>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</si>
  <si>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</si>
  <si>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</si>
  <si>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</si>
  <si>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</si>
  <si>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</si>
  <si>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</si>
  <si>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</si>
  <si>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</si>
  <si>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</si>
  <si>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</si>
  <si>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</si>
  <si>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</si>
  <si>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</si>
  <si>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</si>
  <si>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</si>
  <si>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</si>
  <si>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</si>
  <si>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</si>
  <si>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</si>
  <si>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</si>
  <si>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</si>
  <si>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</si>
  <si>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</si>
  <si>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</si>
  <si>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</si>
  <si>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</si>
  <si>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</si>
  <si>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</si>
  <si>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</si>
  <si>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</si>
  <si>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</si>
  <si>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</si>
  <si>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</si>
  <si>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</si>
  <si>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</si>
  <si>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</si>
  <si>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</si>
  <si>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</si>
  <si>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</si>
  <si>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</si>
  <si>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</si>
  <si>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</si>
  <si>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</si>
  <si>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</si>
  <si>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</si>
  <si>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</si>
  <si>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</si>
  <si>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</si>
  <si>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</si>
  <si>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</si>
  <si>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</si>
  <si>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</si>
  <si>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</si>
  <si>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</si>
  <si>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</si>
  <si>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</si>
  <si>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</si>
  <si>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</si>
  <si>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</si>
  <si>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</si>
  <si>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</si>
  <si>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</si>
  <si>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</si>
  <si>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</si>
  <si>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</si>
  <si>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</si>
  <si>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</si>
  <si>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</si>
  <si>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</si>
  <si>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</si>
  <si>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</si>
  <si>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</si>
  <si>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</si>
  <si>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</si>
  <si>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</si>
  <si>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</si>
  <si>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</si>
  <si>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</si>
  <si>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</si>
  <si>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</si>
  <si>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</si>
  <si>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</si>
  <si>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</si>
  <si>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</si>
  <si>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</si>
  <si>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</si>
  <si>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</si>
  <si>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</si>
  <si>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</si>
  <si>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</si>
  <si>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</si>
  <si>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</si>
  <si>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</si>
  <si>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</si>
  <si>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</si>
  <si>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</si>
  <si>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</si>
  <si>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</si>
  <si>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</si>
  <si>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</si>
  <si>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</si>
  <si>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</si>
  <si>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</si>
  <si>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</si>
  <si>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</si>
  <si>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</si>
  <si>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</si>
  <si>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</si>
  <si>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</si>
  <si>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</si>
  <si>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</si>
  <si>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</si>
  <si>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</si>
  <si>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</si>
  <si>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</si>
  <si>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</si>
  <si>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</si>
  <si>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</si>
  <si>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</si>
  <si>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</si>
  <si>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</si>
  <si>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</si>
  <si>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</si>
  <si>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</si>
  <si>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</si>
  <si>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</si>
  <si>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</si>
  <si>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</si>
  <si>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</si>
  <si>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</si>
  <si>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</si>
  <si>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</si>
  <si>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</si>
  <si>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</si>
  <si>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</si>
  <si>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</si>
  <si>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</si>
  <si>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</si>
  <si>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</si>
  <si>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</si>
  <si>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</si>
  <si>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</si>
  <si>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</si>
  <si>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</si>
  <si>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</si>
  <si>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</si>
  <si>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</si>
  <si>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</si>
  <si>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</si>
  <si>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</si>
  <si>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</si>
  <si>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</si>
  <si>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</si>
  <si>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</si>
  <si>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</si>
  <si>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</si>
  <si>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</si>
  <si>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</si>
  <si>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</si>
  <si>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</si>
  <si>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</si>
  <si>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</si>
  <si>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</si>
  <si>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</si>
  <si>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</si>
  <si>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</si>
  <si>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</si>
  <si>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</si>
  <si>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</si>
  <si>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</si>
  <si>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</si>
  <si>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</si>
  <si>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</si>
  <si>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</si>
  <si>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</si>
  <si>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</si>
  <si>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</si>
  <si>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</si>
  <si>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</si>
  <si>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</si>
  <si>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</si>
  <si>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</si>
  <si>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</si>
  <si>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</si>
  <si>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</si>
  <si>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</si>
  <si>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</si>
  <si>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</si>
  <si>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</si>
  <si>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</si>
  <si>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</si>
  <si>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</si>
  <si>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</si>
  <si>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</si>
  <si>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</si>
  <si>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</si>
  <si>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</si>
  <si>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</si>
  <si>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</si>
  <si>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</si>
  <si>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</si>
  <si>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</si>
  <si>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</si>
  <si>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</si>
  <si>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</si>
  <si>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</si>
  <si>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</si>
  <si>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</si>
  <si>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</si>
  <si>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</si>
  <si>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</si>
  <si>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</si>
  <si>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</si>
  <si>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</si>
  <si>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</si>
  <si>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</si>
  <si>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</si>
  <si>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</si>
  <si>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</si>
  <si>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</si>
  <si>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</si>
  <si>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</si>
  <si>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</si>
  <si>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</si>
  <si>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</si>
  <si>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</si>
  <si>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</si>
  <si>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</si>
  <si>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</si>
  <si>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</si>
  <si>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</si>
  <si>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</si>
  <si>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</si>
  <si>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</si>
  <si>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</si>
  <si>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</si>
  <si>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</si>
  <si>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</si>
  <si>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</si>
  <si>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</si>
  <si>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</si>
  <si>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</si>
  <si>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</si>
  <si>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</si>
  <si>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</si>
  <si>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</si>
  <si>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</si>
  <si>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</si>
  <si>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</si>
  <si>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</si>
  <si>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</si>
  <si>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</si>
  <si>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</si>
  <si>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</si>
  <si>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</si>
  <si>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</si>
  <si>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</si>
  <si>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</si>
  <si>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</si>
  <si>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</si>
  <si>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</si>
  <si>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</si>
  <si>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</si>
  <si>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</si>
  <si>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</si>
  <si>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</si>
  <si>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</si>
  <si>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</si>
  <si>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</si>
  <si>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</si>
  <si>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</si>
  <si>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</si>
  <si>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</si>
  <si>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</si>
  <si>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</si>
  <si>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</si>
  <si>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</si>
  <si>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</si>
  <si>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</si>
  <si>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</si>
  <si>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</si>
  <si>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</si>
  <si>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</si>
  <si>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</si>
  <si>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</si>
  <si>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</si>
  <si>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</si>
  <si>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</si>
  <si>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</si>
  <si>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</si>
  <si>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</si>
  <si>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</si>
  <si>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</si>
  <si>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</si>
  <si>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</si>
  <si>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</si>
  <si>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</si>
  <si>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</si>
  <si>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</si>
  <si>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</si>
  <si>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</si>
  <si>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</si>
  <si>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</si>
  <si>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</si>
  <si>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</si>
  <si>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</si>
  <si>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</si>
  <si>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</si>
  <si>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</si>
  <si>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</si>
  <si>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</si>
  <si>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</si>
  <si>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</si>
  <si>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</si>
  <si>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</si>
  <si>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</si>
  <si>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</si>
  <si>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</si>
  <si>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</si>
  <si>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</si>
  <si>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</si>
  <si>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</si>
  <si>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</si>
  <si>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</si>
  <si>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</si>
  <si>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</si>
  <si>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</si>
  <si>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</si>
  <si>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</si>
  <si>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</si>
  <si>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</si>
  <si>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</si>
  <si>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</si>
  <si>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</si>
  <si>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</si>
  <si>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</si>
  <si>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</si>
  <si>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</si>
  <si>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</si>
  <si>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</si>
  <si>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</si>
  <si>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</si>
  <si>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</si>
  <si>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</si>
  <si>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</si>
  <si>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</si>
  <si>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</si>
  <si>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</si>
  <si>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</si>
  <si>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</si>
  <si>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</si>
  <si>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</si>
  <si>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</si>
  <si>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</si>
  <si>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</si>
  <si>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</si>
  <si>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</si>
  <si>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</si>
  <si>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</si>
  <si>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</si>
  <si>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</si>
  <si>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</si>
  <si>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</si>
  <si>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</si>
  <si>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</si>
  <si>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</si>
  <si>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</si>
  <si>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</si>
  <si>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</si>
  <si>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</si>
  <si>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</si>
  <si>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</si>
  <si>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</si>
  <si>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</si>
  <si>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</si>
  <si>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</si>
  <si>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</si>
  <si>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</si>
  <si>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</si>
  <si>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</si>
  <si>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</si>
  <si>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</si>
  <si>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</si>
  <si>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</si>
  <si>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</si>
  <si>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</si>
  <si>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</si>
  <si>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</si>
  <si>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</si>
  <si>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</si>
  <si>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</si>
  <si>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</si>
  <si>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</si>
  <si>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</si>
  <si>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</si>
  <si>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</si>
  <si>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</si>
  <si>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</si>
  <si>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</si>
  <si>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</si>
  <si>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</si>
  <si>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</si>
  <si>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</si>
  <si>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</si>
  <si>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</si>
  <si>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</si>
  <si>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</si>
  <si>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</si>
  <si>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</si>
  <si>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</si>
  <si>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</si>
  <si>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</si>
  <si>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</si>
  <si>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</si>
  <si>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</si>
  <si>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</si>
  <si>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</si>
  <si>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</si>
  <si>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</si>
  <si>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</si>
  <si>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</si>
  <si>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</si>
  <si>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</si>
  <si>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</si>
  <si>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</si>
  <si>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</si>
  <si>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</si>
  <si>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</si>
  <si>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</si>
  <si>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</si>
  <si>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</si>
  <si>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</si>
  <si>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</si>
  <si>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</si>
  <si>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</si>
  <si>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</si>
  <si>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</si>
  <si>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</si>
  <si>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</si>
  <si>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</si>
  <si>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</si>
  <si>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</si>
  <si>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</si>
  <si>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</si>
  <si>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</si>
  <si>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</si>
  <si>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</si>
  <si>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</si>
  <si>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OGLE</t>
  </si>
  <si>
    <t>304 N. MAIN STREET</t>
  </si>
  <si>
    <t>LINDENWOOD</t>
  </si>
  <si>
    <t>JSCHWARTZ@ESWOODSCHOOL.ORG</t>
  </si>
  <si>
    <t>NEWKIRK &amp; ASSOCIATES, INC.</t>
  </si>
  <si>
    <t>WILLIAM J. NEWKIRK</t>
  </si>
  <si>
    <t>2 W. MAIN STREET</t>
  </si>
  <si>
    <t>PLANO</t>
  </si>
  <si>
    <t>IL</t>
  </si>
  <si>
    <t>630-552-1040</t>
  </si>
  <si>
    <t>630-552-7399</t>
  </si>
  <si>
    <t>066-004656</t>
  </si>
  <si>
    <t>BNEWKIRK@NEWKIRKCPAS.COM</t>
  </si>
  <si>
    <t>JOSEPH SCHWARTZ</t>
  </si>
  <si>
    <t>815-393-4477</t>
  </si>
  <si>
    <t>815-393-4478</t>
  </si>
  <si>
    <t>ED-Speech Pathology-Purchased Service</t>
  </si>
  <si>
    <t>10-2150-300</t>
  </si>
  <si>
    <t>Jeanine Holtsford</t>
  </si>
  <si>
    <t>Illinois Counties Risk Management Trust</t>
  </si>
  <si>
    <t>Ogle County Educational Cooperative (OCEC)</t>
  </si>
  <si>
    <t>Page 10, Line 87 - Instrument and facilities rental</t>
  </si>
  <si>
    <t>Page 11, Line 107 - Vendor rebate</t>
  </si>
  <si>
    <t>Page 15, Line 41 - IT support wages</t>
  </si>
  <si>
    <t>Page 19, Line 231 - IT support FICA and medicare</t>
  </si>
  <si>
    <t>Page 10, Line 81 - Activity Fund revenues from fundraising efforts and P Card rebates</t>
  </si>
  <si>
    <t>Page 12, Line 121- State Library Grant</t>
  </si>
  <si>
    <t>Page 12, Line 174- REAP Grant</t>
  </si>
  <si>
    <t>Eswood CCSD 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</si>
</sst>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22" applyFont="1" applyBorder="1" applyAlignment="1" applyProtection="1">
      <alignment vertical="top"/>
      <protection locked="0"/>
    </xf>
    <xf numFmtId="38" fontId="1" fillId="0" borderId="157" xfId="22" applyNumberFormat="1" applyBorder="1" applyAlignment="1" applyProtection="1">
      <alignment horizontal="right" vertical="top"/>
      <protection locked="0"/>
    </xf>
    <xf numFmtId="49" fontId="1" fillId="0" borderId="157" xfId="22" applyNumberFormat="1" applyFont="1" applyBorder="1" applyAlignment="1" applyProtection="1">
      <alignment horizontal="center" vertical="top"/>
      <protection locked="0"/>
    </xf>
    <xf numFmtId="0" fontId="1" fillId="0" borderId="157" xfId="22" applyFont="1" applyBorder="1" applyAlignment="1" applyProtection="1">
      <alignment horizontal="left" vertical="top" wrapText="1"/>
      <protection locked="0"/>
    </xf>
    <xf numFmtId="49" fontId="132" fillId="0" borderId="105" xfId="28" applyNumberFormat="1" applyFont="1" applyBorder="1" applyAlignment="1" applyProtection="1">
      <alignment horizontal="center" vertical="center"/>
      <protection locked="0"/>
    </xf>
    <xf numFmtId="0" fontId="99" fillId="0" borderId="105" xfId="28" applyFont="1" applyBorder="1" applyProtection="1">
      <protection locked="0"/>
    </xf>
    <xf numFmtId="49" fontId="132" fillId="0" borderId="107" xfId="28" applyNumberFormat="1" applyFont="1" applyFill="1" applyBorder="1" applyAlignment="1" applyProtection="1">
      <alignment horizontal="center" vertical="center"/>
      <protection locked="0"/>
    </xf>
    <xf numFmtId="0" fontId="0" fillId="0" borderId="0" xfId="0" applyFill="1"/>
    <xf numFmtId="164" fontId="61" fillId="0" borderId="0" xfId="0" applyNumberFormat="1" applyFont="1"/>
    <xf numFmtId="0" fontId="9" fillId="0" borderId="0" xfId="0" applyFont="1" applyFill="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8"/>
    <cellStyle name="Normal 3 2 2 3" xfId="23"/>
    <cellStyle name="Normal 3 2 3" xfId="25"/>
    <cellStyle name="Normal 3 2 4" xfId="20"/>
    <cellStyle name="Normal 3 3" xfId="27"/>
    <cellStyle name="Normal 3 4" xfId="24"/>
    <cellStyle name="Normal 3 5" xfId="19"/>
    <cellStyle name="Normal 4" xfId="16"/>
    <cellStyle name="Normal 4 2" xfId="26"/>
    <cellStyle name="Normal 4 3" xfId="21"/>
    <cellStyle name="Normal 5" xfId="17"/>
    <cellStyle name="Normal 5 2"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123825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25978</xdr:colOff>
          <xdr:row>0</xdr:row>
          <xdr:rowOff>86591</xdr:rowOff>
        </xdr:from>
        <xdr:to>
          <xdr:col>1</xdr:col>
          <xdr:colOff>940378</xdr:colOff>
          <xdr:row>5</xdr:row>
          <xdr:rowOff>45893</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1290203</xdr:colOff>
          <xdr:row>4</xdr:row>
          <xdr:rowOff>25978</xdr:rowOff>
        </xdr:from>
        <xdr:to>
          <xdr:col>1</xdr:col>
          <xdr:colOff>2204603</xdr:colOff>
          <xdr:row>8</xdr:row>
          <xdr:rowOff>149803</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2" t="s">
        <v>405</v>
      </c>
      <c r="J1" s="2023"/>
      <c r="K1" s="2023"/>
      <c r="L1" s="2023"/>
      <c r="M1" s="2023"/>
      <c r="N1" s="2023"/>
      <c r="O1" s="2023"/>
      <c r="P1" s="2023"/>
      <c r="Q1" s="2023"/>
      <c r="R1" s="2023"/>
      <c r="S1" s="2023"/>
    </row>
    <row r="2" spans="1:28" ht="12" customHeight="1" x14ac:dyDescent="0.2">
      <c r="A2" s="47" t="s">
        <v>1993</v>
      </c>
      <c r="D2" s="48"/>
      <c r="I2" s="2024" t="s">
        <v>979</v>
      </c>
      <c r="J2" s="2023"/>
      <c r="K2" s="2023"/>
      <c r="L2" s="2023"/>
      <c r="M2" s="2023"/>
      <c r="N2" s="2023"/>
      <c r="O2" s="2023"/>
      <c r="P2" s="2023"/>
      <c r="Q2" s="2023"/>
      <c r="R2" s="2023"/>
      <c r="S2" s="2023"/>
    </row>
    <row r="3" spans="1:28" ht="12" customHeight="1" x14ac:dyDescent="0.2">
      <c r="A3" s="155" t="s">
        <v>1945</v>
      </c>
      <c r="B3" s="156"/>
      <c r="C3" s="156"/>
      <c r="D3" s="157"/>
      <c r="I3" s="2024" t="s">
        <v>52</v>
      </c>
      <c r="J3" s="2023"/>
      <c r="K3" s="2023"/>
      <c r="L3" s="2023"/>
      <c r="M3" s="2023"/>
      <c r="N3" s="2023"/>
      <c r="O3" s="2023"/>
      <c r="P3" s="2023"/>
      <c r="Q3" s="2023"/>
      <c r="R3" s="2023"/>
      <c r="S3" s="2023"/>
    </row>
    <row r="4" spans="1:28" ht="12" customHeight="1" x14ac:dyDescent="0.2">
      <c r="A4" s="37"/>
      <c r="I4" s="2024" t="s">
        <v>524</v>
      </c>
      <c r="J4" s="2023"/>
      <c r="K4" s="2023"/>
      <c r="L4" s="2023"/>
      <c r="M4" s="2023"/>
      <c r="N4" s="2023"/>
      <c r="O4" s="2023"/>
      <c r="P4" s="2023"/>
      <c r="Q4" s="2023"/>
      <c r="R4" s="2023"/>
      <c r="S4" s="2023"/>
    </row>
    <row r="5" spans="1:28" ht="14.1" customHeight="1" x14ac:dyDescent="0.2">
      <c r="B5" s="104" t="s">
        <v>2065</v>
      </c>
      <c r="C5" s="26" t="s">
        <v>910</v>
      </c>
      <c r="D5" s="84"/>
      <c r="E5" s="84"/>
      <c r="H5" s="38"/>
      <c r="I5" s="2031" t="s">
        <v>680</v>
      </c>
      <c r="J5" s="1975"/>
      <c r="K5" s="1975"/>
      <c r="L5" s="1975"/>
      <c r="M5" s="1975"/>
      <c r="N5" s="1975"/>
      <c r="O5" s="1975"/>
      <c r="P5" s="1975"/>
      <c r="Q5" s="1975"/>
      <c r="R5" s="1975"/>
      <c r="S5" s="1975"/>
    </row>
    <row r="6" spans="1:28" ht="14.1" customHeight="1" x14ac:dyDescent="0.2">
      <c r="B6" s="104"/>
      <c r="C6" s="26" t="s">
        <v>911</v>
      </c>
      <c r="D6" s="84"/>
      <c r="E6" s="84"/>
      <c r="I6" s="2030" t="s">
        <v>883</v>
      </c>
      <c r="J6" s="1975"/>
      <c r="K6" s="1975"/>
      <c r="L6" s="1975"/>
      <c r="M6" s="1975"/>
      <c r="N6" s="1975"/>
      <c r="O6" s="1975"/>
      <c r="P6" s="1975"/>
      <c r="Q6" s="1975"/>
      <c r="R6" s="1975"/>
      <c r="S6" s="1975"/>
    </row>
    <row r="7" spans="1:28" ht="12.2" customHeight="1" x14ac:dyDescent="0.2">
      <c r="I7" s="2025">
        <v>43646</v>
      </c>
      <c r="J7" s="2026"/>
      <c r="K7" s="2026"/>
      <c r="L7" s="2026"/>
      <c r="M7" s="2026"/>
      <c r="N7" s="2026"/>
      <c r="O7" s="2026"/>
      <c r="P7" s="2026"/>
      <c r="Q7" s="2026"/>
      <c r="R7" s="2026"/>
      <c r="S7" s="202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7" t="s">
        <v>674</v>
      </c>
      <c r="J9" s="2028"/>
      <c r="K9" s="2028"/>
      <c r="L9" s="2028"/>
      <c r="M9" s="2028"/>
      <c r="N9" s="2028"/>
      <c r="O9" s="2028"/>
      <c r="P9" s="2028"/>
      <c r="Q9" s="2028"/>
      <c r="R9" s="2028"/>
      <c r="S9" s="2029"/>
      <c r="T9" s="1971" t="s">
        <v>533</v>
      </c>
      <c r="U9" s="1972"/>
      <c r="V9" s="1972"/>
      <c r="W9" s="1972"/>
      <c r="X9" s="1972"/>
      <c r="Y9" s="1972"/>
      <c r="Z9" s="1972"/>
      <c r="AA9" s="1973"/>
    </row>
    <row r="10" spans="1:28" ht="13.5" customHeight="1" x14ac:dyDescent="0.2">
      <c r="A10" s="1980" t="s">
        <v>675</v>
      </c>
      <c r="B10" s="1981"/>
      <c r="C10" s="1981"/>
      <c r="D10" s="1981"/>
      <c r="E10" s="1981"/>
      <c r="F10" s="1981"/>
      <c r="G10" s="1981"/>
      <c r="H10" s="1982"/>
      <c r="I10" s="29"/>
      <c r="J10" s="30"/>
      <c r="K10" s="28"/>
      <c r="R10" s="30"/>
      <c r="S10" s="30"/>
      <c r="T10" s="1974"/>
      <c r="U10" s="1975"/>
      <c r="V10" s="1975"/>
      <c r="W10" s="1975"/>
      <c r="X10" s="1975"/>
      <c r="Y10" s="1975"/>
      <c r="Z10" s="1975"/>
      <c r="AA10" s="1976"/>
    </row>
    <row r="11" spans="1:28" ht="14.25" customHeight="1" x14ac:dyDescent="0.2">
      <c r="A11" s="1983" t="s">
        <v>955</v>
      </c>
      <c r="B11" s="1984"/>
      <c r="C11" s="1984"/>
      <c r="D11" s="1984"/>
      <c r="E11" s="1984"/>
      <c r="F11" s="1984"/>
      <c r="G11" s="1984"/>
      <c r="H11" s="1985"/>
      <c r="I11" s="27"/>
      <c r="J11" s="74"/>
      <c r="K11" s="27"/>
      <c r="O11" s="148" t="s">
        <v>2065</v>
      </c>
      <c r="P11" s="100" t="s">
        <v>201</v>
      </c>
      <c r="Q11" s="30"/>
      <c r="R11" s="28"/>
      <c r="S11" s="27"/>
      <c r="T11" s="1977"/>
      <c r="U11" s="1978"/>
      <c r="V11" s="1978"/>
      <c r="W11" s="1978"/>
      <c r="X11" s="1978"/>
      <c r="Y11" s="1978"/>
      <c r="Z11" s="1978"/>
      <c r="AA11" s="197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1">
        <v>47071269004</v>
      </c>
      <c r="B13" s="1992"/>
      <c r="C13" s="1992"/>
      <c r="D13" s="1992"/>
      <c r="E13" s="1992"/>
      <c r="F13" s="1992"/>
      <c r="G13" s="1992"/>
      <c r="H13" s="1993"/>
      <c r="I13" s="31"/>
      <c r="J13" s="30"/>
      <c r="K13" s="28"/>
      <c r="L13" s="30"/>
      <c r="M13" s="30"/>
      <c r="N13" s="30"/>
      <c r="O13" s="30"/>
      <c r="P13" s="30"/>
      <c r="Q13" s="30"/>
      <c r="R13" s="30"/>
      <c r="S13" s="30"/>
      <c r="T13" s="1996" t="s">
        <v>2070</v>
      </c>
      <c r="U13" s="1997"/>
      <c r="V13" s="1997"/>
      <c r="W13" s="1997"/>
      <c r="X13" s="1997"/>
      <c r="Y13" s="1998"/>
      <c r="Z13" s="1998"/>
      <c r="AA13" s="199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9" t="s">
        <v>2066</v>
      </c>
      <c r="B15" s="1994"/>
      <c r="C15" s="1994"/>
      <c r="D15" s="1994"/>
      <c r="E15" s="1994"/>
      <c r="F15" s="1994"/>
      <c r="G15" s="1994"/>
      <c r="H15" s="1995"/>
      <c r="T15" s="1957" t="s">
        <v>2071</v>
      </c>
      <c r="U15" s="1958"/>
      <c r="V15" s="1958"/>
      <c r="W15" s="1958"/>
      <c r="X15" s="1958"/>
      <c r="Y15" s="2000"/>
      <c r="Z15" s="2000"/>
      <c r="AA15" s="200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9" t="s">
        <v>2094</v>
      </c>
      <c r="B17" s="2020"/>
      <c r="C17" s="2020"/>
      <c r="D17" s="2020"/>
      <c r="E17" s="2020"/>
      <c r="F17" s="2020"/>
      <c r="G17" s="2020"/>
      <c r="H17" s="2021"/>
      <c r="T17" s="2006" t="s">
        <v>2072</v>
      </c>
      <c r="U17" s="2007"/>
      <c r="V17" s="2007"/>
      <c r="W17" s="2007"/>
      <c r="X17" s="2007"/>
      <c r="Y17" s="2007"/>
      <c r="Z17" s="2007"/>
      <c r="AA17" s="2008"/>
    </row>
    <row r="18" spans="1:27" ht="13.5" customHeight="1" x14ac:dyDescent="0.2">
      <c r="A18" s="85" t="s">
        <v>530</v>
      </c>
      <c r="B18" s="76"/>
      <c r="C18" s="72"/>
      <c r="D18" s="76"/>
      <c r="E18" s="76"/>
      <c r="F18" s="76"/>
      <c r="G18" s="76"/>
      <c r="H18" s="56"/>
      <c r="I18" s="2016" t="s">
        <v>676</v>
      </c>
      <c r="J18" s="2017"/>
      <c r="K18" s="2017"/>
      <c r="L18" s="2017"/>
      <c r="M18" s="2017"/>
      <c r="N18" s="2017"/>
      <c r="O18" s="2017"/>
      <c r="P18" s="2017"/>
      <c r="Q18" s="2017"/>
      <c r="R18" s="2017"/>
      <c r="S18" s="2018"/>
      <c r="T18" s="85" t="s">
        <v>711</v>
      </c>
      <c r="U18" s="51"/>
      <c r="V18" s="72"/>
      <c r="W18" s="50"/>
      <c r="X18" s="85" t="s">
        <v>266</v>
      </c>
      <c r="Y18" s="81"/>
      <c r="Z18" s="159" t="s">
        <v>677</v>
      </c>
      <c r="AA18" s="46"/>
    </row>
    <row r="19" spans="1:27" ht="13.5" customHeight="1" x14ac:dyDescent="0.2">
      <c r="A19" s="1989" t="s">
        <v>2067</v>
      </c>
      <c r="B19" s="1990"/>
      <c r="C19" s="1990"/>
      <c r="D19" s="1990"/>
      <c r="E19" s="1990"/>
      <c r="F19" s="1990"/>
      <c r="G19" s="1990"/>
      <c r="H19" s="1988"/>
      <c r="I19" s="30"/>
      <c r="J19" s="99"/>
      <c r="K19" s="40"/>
      <c r="L19" s="38"/>
      <c r="M19" s="112" t="s">
        <v>315</v>
      </c>
      <c r="P19" s="27"/>
      <c r="Q19" s="27"/>
      <c r="R19" s="27"/>
      <c r="S19" s="31"/>
      <c r="T19" s="1989" t="s">
        <v>2073</v>
      </c>
      <c r="U19" s="1987"/>
      <c r="V19" s="1987"/>
      <c r="W19" s="1988"/>
      <c r="X19" s="2004" t="s">
        <v>2074</v>
      </c>
      <c r="Y19" s="2005"/>
      <c r="Z19" s="2002">
        <v>60545</v>
      </c>
      <c r="AA19" s="200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6" t="s">
        <v>2068</v>
      </c>
      <c r="B21" s="1987"/>
      <c r="C21" s="1987"/>
      <c r="D21" s="1987"/>
      <c r="E21" s="1987"/>
      <c r="F21" s="1987"/>
      <c r="G21" s="1987"/>
      <c r="H21" s="1988"/>
      <c r="I21" s="2012" t="s">
        <v>678</v>
      </c>
      <c r="J21" s="1975"/>
      <c r="K21" s="1975"/>
      <c r="L21" s="1975"/>
      <c r="M21" s="1975"/>
      <c r="N21" s="1975"/>
      <c r="O21" s="1975"/>
      <c r="P21" s="1975"/>
      <c r="Q21" s="1975"/>
      <c r="R21" s="1975"/>
      <c r="S21" s="1976"/>
      <c r="T21" s="1954" t="s">
        <v>2075</v>
      </c>
      <c r="U21" s="1955"/>
      <c r="V21" s="1955"/>
      <c r="W21" s="1955"/>
      <c r="X21" s="1968" t="s">
        <v>2076</v>
      </c>
      <c r="Y21" s="1969"/>
      <c r="Z21" s="1969"/>
      <c r="AA21" s="1970"/>
    </row>
    <row r="22" spans="1:27" ht="13.5" customHeight="1" x14ac:dyDescent="0.2">
      <c r="A22" s="87" t="s">
        <v>531</v>
      </c>
      <c r="B22" s="59"/>
      <c r="C22" s="59"/>
      <c r="D22" s="59"/>
      <c r="E22" s="59"/>
      <c r="F22" s="59"/>
      <c r="G22" s="59"/>
      <c r="H22" s="60"/>
      <c r="I22" s="2013" t="s">
        <v>1429</v>
      </c>
      <c r="J22" s="2014"/>
      <c r="K22" s="2014"/>
      <c r="L22" s="2014"/>
      <c r="M22" s="2014"/>
      <c r="N22" s="2014"/>
      <c r="O22" s="2014"/>
      <c r="P22" s="2014"/>
      <c r="Q22" s="2014"/>
      <c r="R22" s="2014"/>
      <c r="S22" s="2015"/>
      <c r="T22" s="85" t="s">
        <v>1516</v>
      </c>
      <c r="U22" s="51"/>
      <c r="V22" s="72"/>
      <c r="W22" s="51"/>
      <c r="X22" s="160" t="s">
        <v>1318</v>
      </c>
      <c r="Z22" s="45"/>
      <c r="AA22" s="46"/>
    </row>
    <row r="23" spans="1:27" ht="13.5" customHeight="1" x14ac:dyDescent="0.2">
      <c r="A23" s="2009" t="s">
        <v>2069</v>
      </c>
      <c r="B23" s="2010"/>
      <c r="C23" s="2010"/>
      <c r="D23" s="2010"/>
      <c r="E23" s="2010"/>
      <c r="F23" s="2010"/>
      <c r="G23" s="2010"/>
      <c r="H23" s="2011"/>
      <c r="T23" s="1949" t="s">
        <v>2077</v>
      </c>
      <c r="U23" s="1950"/>
      <c r="V23" s="1950"/>
      <c r="W23" s="1950"/>
      <c r="X23" s="1965">
        <v>44530</v>
      </c>
      <c r="Y23" s="1966"/>
      <c r="Z23" s="1966"/>
      <c r="AA23" s="1967"/>
    </row>
    <row r="24" spans="1:27" ht="14.1" customHeight="1" x14ac:dyDescent="0.2">
      <c r="A24" s="88" t="s">
        <v>677</v>
      </c>
      <c r="B24" s="49"/>
      <c r="C24" s="49"/>
      <c r="D24" s="49"/>
      <c r="E24" s="49"/>
      <c r="F24" s="49"/>
      <c r="G24" s="49"/>
      <c r="H24" s="61"/>
      <c r="J24" s="2052">
        <f>IF(B5="x",IF(AUDITCHECK!D29="AFR form Incomplete.","",IF(AUDITCHECK!D29="Deficit reduction plan is required.","School District must complete a deficit reduction plan in the 2019-2020 Budget",)),"")</f>
        <v>0</v>
      </c>
      <c r="K24" s="2052"/>
      <c r="L24" s="2052"/>
      <c r="M24" s="2052"/>
      <c r="N24" s="2052"/>
      <c r="O24" s="2052"/>
      <c r="P24" s="2052"/>
      <c r="Q24" s="2052"/>
      <c r="R24" s="2052"/>
      <c r="S24" s="2053"/>
      <c r="T24" s="105" t="s">
        <v>531</v>
      </c>
      <c r="U24" s="106"/>
      <c r="V24" s="106"/>
      <c r="W24" s="106"/>
      <c r="X24" s="107"/>
      <c r="Y24" s="107"/>
      <c r="Z24" s="107"/>
      <c r="AA24" s="108"/>
    </row>
    <row r="25" spans="1:27" ht="14.1" customHeight="1" x14ac:dyDescent="0.2">
      <c r="A25" s="1986">
        <v>61049</v>
      </c>
      <c r="B25" s="1987"/>
      <c r="C25" s="1987"/>
      <c r="D25" s="1987"/>
      <c r="E25" s="1987"/>
      <c r="F25" s="1987"/>
      <c r="G25" s="1987"/>
      <c r="H25" s="1988"/>
      <c r="I25" s="113"/>
      <c r="J25" s="2054"/>
      <c r="K25" s="2054"/>
      <c r="L25" s="2054"/>
      <c r="M25" s="2054"/>
      <c r="N25" s="2054"/>
      <c r="O25" s="2054"/>
      <c r="P25" s="2054"/>
      <c r="Q25" s="2054"/>
      <c r="R25" s="2054"/>
      <c r="S25" s="2055"/>
      <c r="T25" s="1946" t="s">
        <v>2078</v>
      </c>
      <c r="U25" s="1947"/>
      <c r="V25" s="1947"/>
      <c r="W25" s="1947"/>
      <c r="X25" s="1947"/>
      <c r="Y25" s="1947"/>
      <c r="Z25" s="1947"/>
      <c r="AA25" s="19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5" t="s">
        <v>1511</v>
      </c>
      <c r="J27" s="2017"/>
      <c r="K27" s="2017"/>
      <c r="L27" s="2017"/>
      <c r="M27" s="2017"/>
      <c r="N27" s="2017"/>
      <c r="O27" s="2017"/>
      <c r="P27" s="2017"/>
      <c r="Q27" s="2017"/>
      <c r="R27" s="2017"/>
      <c r="S27" s="201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0"/>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9" t="s">
        <v>2079</v>
      </c>
      <c r="B38" s="2020"/>
      <c r="C38" s="2020"/>
      <c r="D38" s="2020"/>
      <c r="E38" s="2020"/>
      <c r="F38" s="1987"/>
      <c r="G38" s="1987"/>
      <c r="H38" s="1988"/>
      <c r="I38" s="2039"/>
      <c r="J38" s="1958"/>
      <c r="K38" s="1958"/>
      <c r="L38" s="1958"/>
      <c r="M38" s="1958"/>
      <c r="N38" s="1958"/>
      <c r="O38" s="1958"/>
      <c r="P38" s="1959"/>
      <c r="Q38" s="1959"/>
      <c r="R38" s="1959"/>
      <c r="S38" s="1960"/>
      <c r="T38" s="1957"/>
      <c r="U38" s="1958"/>
      <c r="V38" s="1958"/>
      <c r="W38" s="1958"/>
      <c r="X38" s="1959"/>
      <c r="Y38" s="1959"/>
      <c r="Z38" s="1959"/>
      <c r="AA38" s="1960"/>
    </row>
    <row r="39" spans="1:27" ht="12" customHeight="1" x14ac:dyDescent="0.2">
      <c r="A39" s="2043" t="s">
        <v>531</v>
      </c>
      <c r="B39" s="2044"/>
      <c r="C39" s="72"/>
      <c r="D39" s="69"/>
      <c r="E39" s="69"/>
      <c r="F39" s="79"/>
      <c r="G39" s="69"/>
      <c r="H39" s="56"/>
      <c r="I39" s="2043" t="s">
        <v>531</v>
      </c>
      <c r="J39" s="2044"/>
      <c r="K39" s="2044"/>
      <c r="L39" s="2044"/>
      <c r="M39" s="2044"/>
      <c r="N39" s="67"/>
      <c r="O39" s="72"/>
      <c r="P39" s="72"/>
      <c r="Q39" s="78"/>
      <c r="R39" s="72"/>
      <c r="S39" s="56"/>
      <c r="T39" s="72" t="s">
        <v>531</v>
      </c>
      <c r="U39" s="51"/>
      <c r="V39" s="72"/>
      <c r="W39" s="50"/>
      <c r="X39" s="78"/>
      <c r="Y39" s="45"/>
      <c r="Z39" s="45"/>
      <c r="AA39" s="46"/>
    </row>
    <row r="40" spans="1:27" ht="13.5" customHeight="1" x14ac:dyDescent="0.2">
      <c r="A40" s="2046" t="s">
        <v>2069</v>
      </c>
      <c r="B40" s="2047"/>
      <c r="C40" s="2048"/>
      <c r="D40" s="2048"/>
      <c r="E40" s="2048"/>
      <c r="F40" s="2049"/>
      <c r="G40" s="2049"/>
      <c r="H40" s="2050"/>
      <c r="I40" s="1961"/>
      <c r="J40" s="1963"/>
      <c r="K40" s="1963"/>
      <c r="L40" s="1963"/>
      <c r="M40" s="1963"/>
      <c r="N40" s="1963"/>
      <c r="O40" s="1963"/>
      <c r="P40" s="1963"/>
      <c r="Q40" s="1963"/>
      <c r="R40" s="1963"/>
      <c r="S40" s="1964"/>
      <c r="T40" s="1961"/>
      <c r="U40" s="1962"/>
      <c r="V40" s="1963"/>
      <c r="W40" s="1963"/>
      <c r="X40" s="1963"/>
      <c r="Y40" s="1963"/>
      <c r="Z40" s="1963"/>
      <c r="AA40" s="196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6" t="s">
        <v>2080</v>
      </c>
      <c r="B42" s="2037"/>
      <c r="C42" s="2038"/>
      <c r="D42" s="2051" t="s">
        <v>2081</v>
      </c>
      <c r="E42" s="2037"/>
      <c r="F42" s="2037"/>
      <c r="G42" s="2037"/>
      <c r="H42" s="2038"/>
      <c r="I42" s="1956"/>
      <c r="J42" s="1952"/>
      <c r="K42" s="1952"/>
      <c r="L42" s="1952"/>
      <c r="M42" s="1952"/>
      <c r="N42" s="1952"/>
      <c r="O42" s="1953"/>
      <c r="P42" s="1951"/>
      <c r="Q42" s="1952"/>
      <c r="R42" s="1952"/>
      <c r="S42" s="1953"/>
      <c r="T42" s="1956"/>
      <c r="U42" s="1952"/>
      <c r="V42" s="1952"/>
      <c r="W42" s="1953"/>
      <c r="X42" s="1951"/>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0"/>
      <c r="B44" s="2041"/>
      <c r="C44" s="2041"/>
      <c r="D44" s="2041"/>
      <c r="E44" s="2041"/>
      <c r="F44" s="2041"/>
      <c r="G44" s="2041"/>
      <c r="H44" s="2042"/>
      <c r="I44" s="2032"/>
      <c r="J44" s="2034"/>
      <c r="K44" s="2034"/>
      <c r="L44" s="2034"/>
      <c r="M44" s="2034"/>
      <c r="N44" s="2034"/>
      <c r="O44" s="2034"/>
      <c r="P44" s="2034"/>
      <c r="Q44" s="2034"/>
      <c r="R44" s="2034"/>
      <c r="S44" s="2035"/>
      <c r="T44" s="2032"/>
      <c r="U44" s="2033"/>
      <c r="V44" s="2033"/>
      <c r="W44" s="2033"/>
      <c r="X44" s="2033"/>
      <c r="Y44" s="2033"/>
      <c r="Z44" s="2034"/>
      <c r="AA44" s="203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6"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2070</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90" zoomScaleNormal="90" workbookViewId="0">
      <selection activeCell="F10" sqref="F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30236577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2.0784899999999999E-2</v>
      </c>
      <c r="E10" s="356" t="s">
        <v>1005</v>
      </c>
      <c r="F10" s="355">
        <v>5.4437000000000001E-3</v>
      </c>
      <c r="G10" s="356" t="s">
        <v>1005</v>
      </c>
      <c r="H10" s="355">
        <v>1.1877000000000001E-3</v>
      </c>
      <c r="I10" s="356" t="s">
        <v>1006</v>
      </c>
      <c r="J10" s="1731">
        <f>ROUND(D10+F10+H10,5)</f>
        <v>2.742E-2</v>
      </c>
      <c r="K10" s="222"/>
      <c r="L10" s="355">
        <v>4.9490000000000005E-4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1078139</v>
      </c>
      <c r="E16" s="356"/>
      <c r="F16" s="1732">
        <f>SUM('Acct Summary 7-8'!C17,'Acct Summary 7-8'!D17,'Acct Summary 7-8'!F17)</f>
        <v>970588</v>
      </c>
      <c r="G16" s="356"/>
      <c r="H16" s="1732">
        <f>SUM(D16-F16)</f>
        <v>107551</v>
      </c>
      <c r="I16" s="222"/>
      <c r="J16" s="1732">
        <f>SUM('Acct Summary 7-8'!C81,'Acct Summary 7-8'!D81,'Acct Summary 7-8'!F81,'Acct Summary 7-8'!I81)</f>
        <v>1542550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4">
        <f>IF(B31="X",(J7*0.069),IF(B32="X",(J7*0.138),"Enter x in a.or b."))</f>
        <v>2086323.8130000001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Eswood CCSD 269</v>
      </c>
      <c r="E7" s="391"/>
      <c r="G7" s="252"/>
      <c r="H7" s="387"/>
      <c r="I7" s="387"/>
      <c r="J7" s="387"/>
      <c r="K7" s="387"/>
      <c r="L7" s="329"/>
      <c r="M7" s="329"/>
      <c r="N7" s="329"/>
      <c r="O7" s="329"/>
      <c r="P7" s="329"/>
    </row>
    <row r="8" spans="1:18" ht="12.75" x14ac:dyDescent="0.2">
      <c r="A8" s="329"/>
      <c r="B8" s="329"/>
      <c r="C8" s="389" t="s">
        <v>1125</v>
      </c>
      <c r="D8" s="392">
        <f>COVER!A13</f>
        <v>47071269004</v>
      </c>
      <c r="E8" s="393"/>
      <c r="G8" s="329"/>
      <c r="H8" s="329"/>
      <c r="I8" s="329"/>
      <c r="J8" s="329"/>
      <c r="K8" s="329"/>
      <c r="L8" s="329"/>
      <c r="M8" s="329"/>
      <c r="N8" s="329"/>
      <c r="O8" s="329"/>
      <c r="P8" s="329"/>
    </row>
    <row r="9" spans="1:18" ht="12.75" x14ac:dyDescent="0.2">
      <c r="A9" s="329"/>
      <c r="B9" s="329"/>
      <c r="C9" s="389" t="s">
        <v>713</v>
      </c>
      <c r="D9" s="394" t="str">
        <f>COVER!A15</f>
        <v>OGLE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1542550</v>
      </c>
      <c r="I12" s="404"/>
      <c r="J12" s="404"/>
      <c r="K12" s="405">
        <f>TRUNC((H12/H13*100000),5)/100000</f>
        <v>1.4307524353999999</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1078139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970588</v>
      </c>
      <c r="I17" s="404"/>
      <c r="J17" s="416"/>
      <c r="K17" s="405">
        <f>TRUNC((H17/H18*100000),5)/100000</f>
        <v>0.90024384609999997</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1078139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1542550</v>
      </c>
      <c r="I24" s="422"/>
      <c r="J24" s="422"/>
      <c r="K24" s="423">
        <f>TRUNC(((H24/H25*100000)/100000),2)</f>
        <v>572.14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2696.0777800000001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704723.90014000004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2086323.8130000001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pane="bottomLeft" activeCell="G38" sqref="G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58"/>
      <c r="D3" s="1559"/>
      <c r="E3" s="1559"/>
      <c r="F3" s="1559"/>
      <c r="G3" s="1559"/>
      <c r="H3" s="1559"/>
      <c r="I3" s="1559"/>
      <c r="J3" s="1559"/>
      <c r="K3" s="1559"/>
      <c r="L3" s="1559"/>
      <c r="M3" s="1560"/>
      <c r="N3" s="1561"/>
    </row>
    <row r="4" spans="1:14" ht="13.5" customHeight="1" x14ac:dyDescent="0.2">
      <c r="A4" s="463" t="s">
        <v>1651</v>
      </c>
      <c r="B4" s="464"/>
      <c r="C4" s="465">
        <v>898079</v>
      </c>
      <c r="D4" s="466">
        <v>397436</v>
      </c>
      <c r="E4" s="466"/>
      <c r="F4" s="466">
        <v>159608</v>
      </c>
      <c r="G4" s="466">
        <v>52152</v>
      </c>
      <c r="H4" s="466"/>
      <c r="I4" s="466">
        <v>87427</v>
      </c>
      <c r="J4" s="467">
        <v>59799</v>
      </c>
      <c r="K4" s="466"/>
      <c r="L4" s="466">
        <v>13742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898079</v>
      </c>
      <c r="D13" s="1736">
        <f t="shared" ref="D13:L13" si="0">SUM(D4:D12)</f>
        <v>397436</v>
      </c>
      <c r="E13" s="1736">
        <f t="shared" si="0"/>
        <v>0</v>
      </c>
      <c r="F13" s="1736">
        <f t="shared" si="0"/>
        <v>159608</v>
      </c>
      <c r="G13" s="1736">
        <f t="shared" si="0"/>
        <v>52152</v>
      </c>
      <c r="H13" s="1736">
        <f t="shared" si="0"/>
        <v>0</v>
      </c>
      <c r="I13" s="1736">
        <f t="shared" si="0"/>
        <v>87427</v>
      </c>
      <c r="J13" s="1736">
        <f t="shared" si="0"/>
        <v>59799</v>
      </c>
      <c r="K13" s="1736">
        <f t="shared" si="0"/>
        <v>0</v>
      </c>
      <c r="L13" s="1736">
        <f t="shared" si="0"/>
        <v>13742</v>
      </c>
      <c r="M13" s="468"/>
      <c r="N13" s="469"/>
    </row>
    <row r="14" spans="1:14" ht="18" customHeight="1" thickTop="1" x14ac:dyDescent="0.2">
      <c r="A14" s="2116" t="s">
        <v>147</v>
      </c>
      <c r="B14" s="2117"/>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11979</v>
      </c>
      <c r="N16" s="484"/>
    </row>
    <row r="17" spans="1:14" s="485" customFormat="1" ht="12.75" customHeight="1" x14ac:dyDescent="0.2">
      <c r="A17" s="482" t="s">
        <v>1403</v>
      </c>
      <c r="B17" s="483">
        <v>230</v>
      </c>
      <c r="C17" s="477"/>
      <c r="D17" s="477"/>
      <c r="E17" s="477"/>
      <c r="F17" s="477"/>
      <c r="G17" s="477"/>
      <c r="H17" s="477"/>
      <c r="I17" s="477"/>
      <c r="J17" s="477"/>
      <c r="K17" s="477"/>
      <c r="L17" s="477"/>
      <c r="M17" s="467">
        <v>803300</v>
      </c>
      <c r="N17" s="484"/>
    </row>
    <row r="18" spans="1:14" s="485" customFormat="1" ht="12.75" customHeight="1" x14ac:dyDescent="0.2">
      <c r="A18" s="482" t="s">
        <v>1404</v>
      </c>
      <c r="B18" s="483">
        <v>240</v>
      </c>
      <c r="C18" s="477"/>
      <c r="D18" s="477"/>
      <c r="E18" s="477"/>
      <c r="F18" s="477"/>
      <c r="G18" s="477"/>
      <c r="H18" s="477"/>
      <c r="I18" s="477"/>
      <c r="J18" s="477"/>
      <c r="K18" s="477"/>
      <c r="L18" s="477"/>
      <c r="M18" s="467">
        <v>210542</v>
      </c>
      <c r="N18" s="484"/>
    </row>
    <row r="19" spans="1:14" s="485" customFormat="1" ht="12.75" customHeight="1" x14ac:dyDescent="0.2">
      <c r="A19" s="482" t="s">
        <v>1405</v>
      </c>
      <c r="B19" s="483">
        <v>250</v>
      </c>
      <c r="C19" s="477"/>
      <c r="D19" s="477"/>
      <c r="E19" s="477"/>
      <c r="F19" s="477"/>
      <c r="G19" s="477"/>
      <c r="H19" s="477"/>
      <c r="I19" s="477"/>
      <c r="J19" s="477"/>
      <c r="K19" s="477"/>
      <c r="L19" s="477"/>
      <c r="M19" s="467">
        <v>33054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5" t="s">
        <v>643</v>
      </c>
      <c r="B23" s="1740"/>
      <c r="C23" s="468"/>
      <c r="D23" s="468"/>
      <c r="E23" s="468"/>
      <c r="F23" s="468"/>
      <c r="G23" s="468"/>
      <c r="H23" s="468"/>
      <c r="I23" s="468"/>
      <c r="J23" s="468"/>
      <c r="K23" s="468"/>
      <c r="L23" s="468"/>
      <c r="M23" s="1687">
        <f>SUM(M15:M22)</f>
        <v>1058875</v>
      </c>
      <c r="N23" s="1687">
        <f>SUM(N21:N22)</f>
        <v>0</v>
      </c>
    </row>
    <row r="24" spans="1:14" ht="18" customHeight="1" thickTop="1" x14ac:dyDescent="0.2">
      <c r="A24" s="2118" t="s">
        <v>598</v>
      </c>
      <c r="B24" s="2119"/>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13742</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13742</v>
      </c>
      <c r="M34" s="468"/>
      <c r="N34" s="480"/>
    </row>
    <row r="35" spans="1:14" ht="18" customHeight="1" thickTop="1" x14ac:dyDescent="0.2">
      <c r="A35" s="2120" t="s">
        <v>529</v>
      </c>
      <c r="B35" s="212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5" t="s">
        <v>653</v>
      </c>
      <c r="B37" s="1740"/>
      <c r="C37" s="477"/>
      <c r="D37" s="477"/>
      <c r="E37" s="477"/>
      <c r="F37" s="477"/>
      <c r="G37" s="477"/>
      <c r="H37" s="477"/>
      <c r="I37" s="477"/>
      <c r="J37" s="477"/>
      <c r="K37" s="477"/>
      <c r="L37" s="480"/>
      <c r="M37" s="468"/>
      <c r="N37" s="1687">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898079</v>
      </c>
      <c r="D39" s="466">
        <v>397436</v>
      </c>
      <c r="E39" s="466"/>
      <c r="F39" s="466">
        <v>159608</v>
      </c>
      <c r="G39" s="466">
        <v>52152</v>
      </c>
      <c r="H39" s="466"/>
      <c r="I39" s="466">
        <v>87427</v>
      </c>
      <c r="J39" s="467">
        <v>59799</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1058875</v>
      </c>
      <c r="N40" s="497"/>
    </row>
    <row r="41" spans="1:14" ht="13.5" customHeight="1" thickBot="1" x14ac:dyDescent="0.25">
      <c r="A41" s="1735" t="s">
        <v>655</v>
      </c>
      <c r="B41" s="1705"/>
      <c r="C41" s="1687">
        <f>(SUM(C34,C37,C38,C39))</f>
        <v>898079</v>
      </c>
      <c r="D41" s="1687">
        <f t="shared" ref="D41:L41" si="2">SUM(D34,D37,D38:D39)</f>
        <v>397436</v>
      </c>
      <c r="E41" s="1687">
        <f t="shared" si="2"/>
        <v>0</v>
      </c>
      <c r="F41" s="1687">
        <f t="shared" si="2"/>
        <v>159608</v>
      </c>
      <c r="G41" s="1687">
        <f t="shared" si="2"/>
        <v>52152</v>
      </c>
      <c r="H41" s="1687">
        <f t="shared" si="2"/>
        <v>0</v>
      </c>
      <c r="I41" s="1687">
        <f t="shared" si="2"/>
        <v>87427</v>
      </c>
      <c r="J41" s="1687">
        <f t="shared" si="2"/>
        <v>59799</v>
      </c>
      <c r="K41" s="1687">
        <f t="shared" si="2"/>
        <v>0</v>
      </c>
      <c r="L41" s="1687">
        <f t="shared" si="2"/>
        <v>13742</v>
      </c>
      <c r="M41" s="1687">
        <f>SUM(M40)</f>
        <v>1058875</v>
      </c>
      <c r="N41" s="1687">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39"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72"/>
      <c r="D3" s="1573"/>
      <c r="E3" s="1573"/>
      <c r="F3" s="1573"/>
      <c r="G3" s="1573"/>
      <c r="H3" s="1573"/>
      <c r="I3" s="1573"/>
      <c r="J3" s="1573"/>
      <c r="K3" s="1574"/>
      <c r="L3" s="506"/>
    </row>
    <row r="4" spans="1:13" ht="15.75" customHeight="1" x14ac:dyDescent="0.2">
      <c r="A4" s="1927" t="s">
        <v>1499</v>
      </c>
      <c r="B4" s="1928">
        <v>1000</v>
      </c>
      <c r="C4" s="1741">
        <f>'Revenues 9-14'!C109</f>
        <v>616788</v>
      </c>
      <c r="D4" s="1741">
        <f>'Revenues 9-14'!D109</f>
        <v>156655</v>
      </c>
      <c r="E4" s="1741">
        <f>'Revenues 9-14'!E109</f>
        <v>0</v>
      </c>
      <c r="F4" s="1741">
        <f>'Revenues 9-14'!F109</f>
        <v>30618</v>
      </c>
      <c r="G4" s="1741">
        <f>'Revenues 9-14'!G109</f>
        <v>29426</v>
      </c>
      <c r="H4" s="1741">
        <f>'Revenues 9-14'!H109</f>
        <v>0</v>
      </c>
      <c r="I4" s="1741">
        <f>'Revenues 9-14'!I109</f>
        <v>12846</v>
      </c>
      <c r="J4" s="1741">
        <f>'Revenues 9-14'!J109</f>
        <v>105924</v>
      </c>
      <c r="K4" s="1741">
        <f>'Revenues 9-14'!K109</f>
        <v>0</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100500</v>
      </c>
      <c r="D6" s="1742">
        <f>'Revenues 9-14'!D170</f>
        <v>0</v>
      </c>
      <c r="E6" s="1742">
        <f>'Revenues 9-14'!E170</f>
        <v>0</v>
      </c>
      <c r="F6" s="1742">
        <f>'Revenues 9-14'!F170</f>
        <v>67576</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93156</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810444</v>
      </c>
      <c r="D8" s="1687">
        <f t="shared" ref="D8:K8" si="0">SUM(D4:D7)</f>
        <v>156655</v>
      </c>
      <c r="E8" s="1687">
        <f t="shared" si="0"/>
        <v>0</v>
      </c>
      <c r="F8" s="1687">
        <f t="shared" si="0"/>
        <v>98194</v>
      </c>
      <c r="G8" s="1687">
        <f t="shared" si="0"/>
        <v>29426</v>
      </c>
      <c r="H8" s="1687">
        <f t="shared" si="0"/>
        <v>0</v>
      </c>
      <c r="I8" s="1687">
        <f t="shared" si="0"/>
        <v>12846</v>
      </c>
      <c r="J8" s="1687">
        <f t="shared" si="0"/>
        <v>105924</v>
      </c>
      <c r="K8" s="1687">
        <f t="shared" si="0"/>
        <v>0</v>
      </c>
      <c r="L8" s="347"/>
    </row>
    <row r="9" spans="1:13" ht="15.75" thickTop="1" x14ac:dyDescent="0.2">
      <c r="A9" s="514" t="s">
        <v>1653</v>
      </c>
      <c r="B9" s="515">
        <v>3998</v>
      </c>
      <c r="C9" s="481">
        <v>385311</v>
      </c>
      <c r="D9" s="516"/>
      <c r="E9" s="481"/>
      <c r="F9" s="481"/>
      <c r="G9" s="517"/>
      <c r="H9" s="481"/>
      <c r="I9" s="509" t="s">
        <v>1169</v>
      </c>
      <c r="J9" s="478"/>
      <c r="K9" s="481"/>
      <c r="L9" s="347"/>
    </row>
    <row r="10" spans="1:13" s="519" customFormat="1" ht="13.5" thickBot="1" x14ac:dyDescent="0.25">
      <c r="A10" s="1735" t="s">
        <v>1173</v>
      </c>
      <c r="B10" s="1708"/>
      <c r="C10" s="1687">
        <f>SUM(C8:C9)</f>
        <v>1195755</v>
      </c>
      <c r="D10" s="1687">
        <f t="shared" ref="D10:K10" si="1">SUM(D8:D9)</f>
        <v>156655</v>
      </c>
      <c r="E10" s="1687">
        <f t="shared" si="1"/>
        <v>0</v>
      </c>
      <c r="F10" s="1687">
        <f t="shared" si="1"/>
        <v>98194</v>
      </c>
      <c r="G10" s="1687">
        <f t="shared" si="1"/>
        <v>29426</v>
      </c>
      <c r="H10" s="1687">
        <f t="shared" si="1"/>
        <v>0</v>
      </c>
      <c r="I10" s="1687">
        <f t="shared" si="1"/>
        <v>12846</v>
      </c>
      <c r="J10" s="1687">
        <f t="shared" si="1"/>
        <v>105924</v>
      </c>
      <c r="K10" s="1687">
        <f t="shared" si="1"/>
        <v>0</v>
      </c>
      <c r="L10" s="518"/>
    </row>
    <row r="11" spans="1:13" s="519" customFormat="1" ht="16.7" customHeight="1" thickTop="1" x14ac:dyDescent="0.2">
      <c r="A11" s="2116" t="s">
        <v>1176</v>
      </c>
      <c r="B11" s="2117"/>
      <c r="C11" s="1569"/>
      <c r="D11" s="1570"/>
      <c r="E11" s="1570"/>
      <c r="F11" s="1570"/>
      <c r="G11" s="1570"/>
      <c r="H11" s="1570"/>
      <c r="I11" s="1570"/>
      <c r="J11" s="1570"/>
      <c r="K11" s="1571"/>
      <c r="L11" s="518"/>
    </row>
    <row r="12" spans="1:13" ht="15.75" customHeight="1" x14ac:dyDescent="0.2">
      <c r="A12" s="1575" t="s">
        <v>456</v>
      </c>
      <c r="B12" s="1577">
        <v>1000</v>
      </c>
      <c r="C12" s="1741">
        <f>'Expenditures 15-22'!K33</f>
        <v>507321</v>
      </c>
      <c r="D12" s="520" t="s">
        <v>1169</v>
      </c>
      <c r="E12" s="468" t="s">
        <v>1169</v>
      </c>
      <c r="F12" s="468" t="s">
        <v>1169</v>
      </c>
      <c r="G12" s="1741">
        <f>'Expenditures 15-22'!K229</f>
        <v>9694</v>
      </c>
      <c r="H12" s="521"/>
      <c r="I12" s="468" t="s">
        <v>1169</v>
      </c>
      <c r="J12" s="468" t="s">
        <v>1169</v>
      </c>
      <c r="K12" s="521" t="s">
        <v>1169</v>
      </c>
      <c r="L12" s="347"/>
    </row>
    <row r="13" spans="1:13" ht="15.75" customHeight="1" x14ac:dyDescent="0.2">
      <c r="A13" s="1575" t="s">
        <v>457</v>
      </c>
      <c r="B13" s="1577">
        <v>2000</v>
      </c>
      <c r="C13" s="1742">
        <f>'Expenditures 15-22'!K74</f>
        <v>210116</v>
      </c>
      <c r="D13" s="1742">
        <f>'Expenditures 15-22'!K129</f>
        <v>125396</v>
      </c>
      <c r="E13" s="469" t="s">
        <v>1169</v>
      </c>
      <c r="F13" s="1742">
        <f>'Expenditures 15-22'!K184</f>
        <v>56457</v>
      </c>
      <c r="G13" s="1742">
        <f>'Expenditures 15-22'!K279</f>
        <v>17766</v>
      </c>
      <c r="H13" s="1742">
        <f>'Expenditures 15-22'!K303</f>
        <v>0</v>
      </c>
      <c r="I13" s="468" t="s">
        <v>1169</v>
      </c>
      <c r="J13" s="1742">
        <f>'Expenditures 15-22'!K330</f>
        <v>119654</v>
      </c>
      <c r="K13" s="1746">
        <f>'Expenditures 15-22'!K352</f>
        <v>0</v>
      </c>
      <c r="L13" s="347"/>
    </row>
    <row r="14" spans="1:13" ht="15.75" customHeight="1" x14ac:dyDescent="0.2">
      <c r="A14" s="1575" t="s">
        <v>449</v>
      </c>
      <c r="B14" s="1577">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71298</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0</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788735</v>
      </c>
      <c r="D17" s="1687">
        <f t="shared" si="2"/>
        <v>125396</v>
      </c>
      <c r="E17" s="1687">
        <f t="shared" si="2"/>
        <v>0</v>
      </c>
      <c r="F17" s="1687">
        <f t="shared" si="2"/>
        <v>56457</v>
      </c>
      <c r="G17" s="1687">
        <f t="shared" si="2"/>
        <v>27460</v>
      </c>
      <c r="H17" s="1687">
        <f t="shared" si="2"/>
        <v>0</v>
      </c>
      <c r="I17" s="468"/>
      <c r="J17" s="1687">
        <f>SUM(J12:J16)</f>
        <v>119654</v>
      </c>
      <c r="K17" s="1687">
        <f>SUM(K12:K16)</f>
        <v>0</v>
      </c>
      <c r="L17" s="347"/>
    </row>
    <row r="18" spans="1:12" ht="15" customHeight="1" thickTop="1" x14ac:dyDescent="0.2">
      <c r="A18" s="1743" t="s">
        <v>1654</v>
      </c>
      <c r="B18" s="1744">
        <v>4180</v>
      </c>
      <c r="C18" s="1741">
        <f t="shared" ref="C18:H18" si="3">C9</f>
        <v>385311</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1174046</v>
      </c>
      <c r="D19" s="1687">
        <f t="shared" si="4"/>
        <v>125396</v>
      </c>
      <c r="E19" s="1687">
        <f t="shared" si="4"/>
        <v>0</v>
      </c>
      <c r="F19" s="1687">
        <f t="shared" si="4"/>
        <v>56457</v>
      </c>
      <c r="G19" s="1687">
        <f t="shared" si="4"/>
        <v>27460</v>
      </c>
      <c r="H19" s="1687">
        <f t="shared" si="4"/>
        <v>0</v>
      </c>
      <c r="I19" s="468"/>
      <c r="J19" s="1687">
        <f>SUM(J17:J18)</f>
        <v>119654</v>
      </c>
      <c r="K19" s="1687">
        <f>SUM(K17:K18)</f>
        <v>0</v>
      </c>
      <c r="L19" s="347"/>
    </row>
    <row r="20" spans="1:12" ht="16.5" thickTop="1" thickBot="1" x14ac:dyDescent="0.25">
      <c r="A20" s="2132" t="s">
        <v>1655</v>
      </c>
      <c r="B20" s="2133"/>
      <c r="C20" s="1745">
        <f>C8-C17</f>
        <v>21709</v>
      </c>
      <c r="D20" s="1745">
        <f t="shared" ref="D20:K20" si="5">D8-D17</f>
        <v>31259</v>
      </c>
      <c r="E20" s="1745">
        <f t="shared" si="5"/>
        <v>0</v>
      </c>
      <c r="F20" s="1745">
        <f t="shared" si="5"/>
        <v>41737</v>
      </c>
      <c r="G20" s="1745">
        <f t="shared" si="5"/>
        <v>1966</v>
      </c>
      <c r="H20" s="1745">
        <f t="shared" si="5"/>
        <v>0</v>
      </c>
      <c r="I20" s="1745">
        <f t="shared" si="5"/>
        <v>12846</v>
      </c>
      <c r="J20" s="1745">
        <f t="shared" si="5"/>
        <v>-13730</v>
      </c>
      <c r="K20" s="1745">
        <f t="shared" si="5"/>
        <v>0</v>
      </c>
      <c r="L20" s="347"/>
    </row>
    <row r="21" spans="1:12" ht="16.7" customHeight="1" thickTop="1" x14ac:dyDescent="0.2">
      <c r="A21" s="2144" t="s">
        <v>595</v>
      </c>
      <c r="B21" s="2145"/>
      <c r="C21" s="1569"/>
      <c r="D21" s="1570"/>
      <c r="E21" s="1570"/>
      <c r="F21" s="1570"/>
      <c r="G21" s="1570"/>
      <c r="H21" s="1570"/>
      <c r="I21" s="1570"/>
      <c r="J21" s="1570"/>
      <c r="K21" s="1571"/>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v>14000</v>
      </c>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v>16000</v>
      </c>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46" t="s">
        <v>374</v>
      </c>
      <c r="B44" s="2147"/>
      <c r="C44" s="1702">
        <f>SUM(C24:C43)</f>
        <v>30000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14000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v>16000</v>
      </c>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22" t="s">
        <v>440</v>
      </c>
      <c r="B76" s="2123"/>
      <c r="C76" s="1702">
        <f t="shared" ref="C76:K76" si="7">SUM(C47:C75)</f>
        <v>0</v>
      </c>
      <c r="D76" s="1702">
        <f t="shared" si="7"/>
        <v>16000</v>
      </c>
      <c r="E76" s="1702">
        <f t="shared" si="7"/>
        <v>0</v>
      </c>
      <c r="F76" s="1702">
        <f t="shared" si="7"/>
        <v>0</v>
      </c>
      <c r="G76" s="1702">
        <f t="shared" si="7"/>
        <v>0</v>
      </c>
      <c r="H76" s="1702">
        <f t="shared" si="7"/>
        <v>0</v>
      </c>
      <c r="I76" s="1702">
        <f t="shared" si="7"/>
        <v>14000</v>
      </c>
      <c r="J76" s="1702">
        <f t="shared" si="7"/>
        <v>0</v>
      </c>
      <c r="K76" s="1702">
        <f t="shared" si="7"/>
        <v>0</v>
      </c>
      <c r="L76" s="524"/>
    </row>
    <row r="77" spans="1:12" ht="14.25" thickTop="1" thickBot="1" x14ac:dyDescent="0.25">
      <c r="A77" s="2124" t="s">
        <v>1177</v>
      </c>
      <c r="B77" s="2125"/>
      <c r="C77" s="1702">
        <f t="shared" ref="C77:K77" si="8">C44-C76</f>
        <v>30000</v>
      </c>
      <c r="D77" s="1702">
        <f t="shared" si="8"/>
        <v>-16000</v>
      </c>
      <c r="E77" s="1702">
        <f t="shared" si="8"/>
        <v>0</v>
      </c>
      <c r="F77" s="1702">
        <f t="shared" si="8"/>
        <v>0</v>
      </c>
      <c r="G77" s="1702">
        <f t="shared" si="8"/>
        <v>0</v>
      </c>
      <c r="H77" s="1702">
        <f t="shared" si="8"/>
        <v>0</v>
      </c>
      <c r="I77" s="1702">
        <f t="shared" si="8"/>
        <v>-14000</v>
      </c>
      <c r="J77" s="1702">
        <f t="shared" si="8"/>
        <v>0</v>
      </c>
      <c r="K77" s="1702">
        <f t="shared" si="8"/>
        <v>0</v>
      </c>
      <c r="L77" s="347"/>
    </row>
    <row r="78" spans="1:12" ht="21.75" customHeight="1" thickTop="1" thickBot="1" x14ac:dyDescent="0.25">
      <c r="A78" s="2128" t="s">
        <v>597</v>
      </c>
      <c r="B78" s="2129"/>
      <c r="C78" s="1701">
        <f t="shared" ref="C78:K78" si="9">C20+C77</f>
        <v>51709</v>
      </c>
      <c r="D78" s="1701">
        <f t="shared" si="9"/>
        <v>15259</v>
      </c>
      <c r="E78" s="1701">
        <f t="shared" si="9"/>
        <v>0</v>
      </c>
      <c r="F78" s="1701">
        <f t="shared" si="9"/>
        <v>41737</v>
      </c>
      <c r="G78" s="1701">
        <f t="shared" si="9"/>
        <v>1966</v>
      </c>
      <c r="H78" s="1701">
        <f t="shared" si="9"/>
        <v>0</v>
      </c>
      <c r="I78" s="1701">
        <f t="shared" si="9"/>
        <v>-1154</v>
      </c>
      <c r="J78" s="1701">
        <f t="shared" si="9"/>
        <v>-13730</v>
      </c>
      <c r="K78" s="1701">
        <f t="shared" si="9"/>
        <v>0</v>
      </c>
      <c r="L78" s="533"/>
    </row>
    <row r="79" spans="1:12" ht="13.5" thickTop="1" x14ac:dyDescent="0.2">
      <c r="A79" s="1493" t="s">
        <v>1949</v>
      </c>
      <c r="B79" s="534"/>
      <c r="C79" s="478">
        <v>846370</v>
      </c>
      <c r="D79" s="535">
        <v>382177</v>
      </c>
      <c r="E79" s="535"/>
      <c r="F79" s="535">
        <v>117871</v>
      </c>
      <c r="G79" s="535">
        <v>50186</v>
      </c>
      <c r="H79" s="535"/>
      <c r="I79" s="535">
        <v>88581</v>
      </c>
      <c r="J79" s="535">
        <v>73529</v>
      </c>
      <c r="K79" s="535"/>
      <c r="L79" s="347"/>
    </row>
    <row r="80" spans="1:12" x14ac:dyDescent="0.2">
      <c r="A80" s="2134" t="s">
        <v>1795</v>
      </c>
      <c r="B80" s="2135"/>
      <c r="C80" s="467"/>
      <c r="D80" s="467"/>
      <c r="E80" s="467"/>
      <c r="F80" s="467"/>
      <c r="G80" s="467"/>
      <c r="H80" s="467"/>
      <c r="I80" s="467"/>
      <c r="J80" s="467"/>
      <c r="K80" s="467"/>
      <c r="L80" s="347"/>
    </row>
    <row r="81" spans="1:12" ht="13.5" thickBot="1" x14ac:dyDescent="0.25">
      <c r="A81" s="2126" t="s">
        <v>1950</v>
      </c>
      <c r="B81" s="2127"/>
      <c r="C81" s="1687">
        <f>(SUM(C78:C80))</f>
        <v>898079</v>
      </c>
      <c r="D81" s="1687">
        <f>SUM(D78:D80)</f>
        <v>397436</v>
      </c>
      <c r="E81" s="1687">
        <f t="shared" ref="E81:K81" si="10">SUM(E78:E80)</f>
        <v>0</v>
      </c>
      <c r="F81" s="1687">
        <f t="shared" si="10"/>
        <v>159608</v>
      </c>
      <c r="G81" s="1687">
        <f t="shared" si="10"/>
        <v>52152</v>
      </c>
      <c r="H81" s="1687">
        <f t="shared" si="10"/>
        <v>0</v>
      </c>
      <c r="I81" s="1687">
        <f t="shared" si="10"/>
        <v>87427</v>
      </c>
      <c r="J81" s="1687">
        <f t="shared" si="10"/>
        <v>59799</v>
      </c>
      <c r="K81" s="1687">
        <f t="shared" si="10"/>
        <v>0</v>
      </c>
      <c r="L81" s="347"/>
    </row>
    <row r="82" spans="1:12" ht="0.75" customHeight="1" thickTop="1" thickBot="1" x14ac:dyDescent="0.25">
      <c r="A82" s="536" t="s">
        <v>343</v>
      </c>
      <c r="B82" s="537"/>
      <c r="C82" s="538">
        <f>(C81-C79)</f>
        <v>51709</v>
      </c>
      <c r="D82" s="538">
        <f t="shared" ref="D82:K82" si="11">(D81-D79)</f>
        <v>15259</v>
      </c>
      <c r="E82" s="538">
        <f t="shared" si="11"/>
        <v>0</v>
      </c>
      <c r="F82" s="538">
        <f t="shared" si="11"/>
        <v>41737</v>
      </c>
      <c r="G82" s="538">
        <f t="shared" si="11"/>
        <v>1966</v>
      </c>
      <c r="H82" s="538">
        <f t="shared" si="11"/>
        <v>0</v>
      </c>
      <c r="I82" s="538">
        <f t="shared" si="11"/>
        <v>-1154</v>
      </c>
      <c r="J82" s="538">
        <f t="shared" si="11"/>
        <v>-13730</v>
      </c>
      <c r="K82" s="538">
        <f t="shared" si="11"/>
        <v>0</v>
      </c>
    </row>
    <row r="83" spans="1:12" ht="14.25" hidden="1" thickTop="1" thickBot="1" x14ac:dyDescent="0.25">
      <c r="A83" s="539" t="s">
        <v>344</v>
      </c>
      <c r="B83" s="464"/>
      <c r="C83" s="540">
        <f>C82/C81</f>
        <v>5.7577340078100031E-2</v>
      </c>
      <c r="D83" s="540">
        <f t="shared" ref="D83:K83" si="12">D82/D81</f>
        <v>3.8393602995199227E-2</v>
      </c>
      <c r="E83" s="540" t="e">
        <f t="shared" si="12"/>
        <v>#DIV/0!</v>
      </c>
      <c r="F83" s="540">
        <f t="shared" si="12"/>
        <v>0.261496917447747</v>
      </c>
      <c r="G83" s="540">
        <f t="shared" si="12"/>
        <v>3.7697499616505599E-2</v>
      </c>
      <c r="H83" s="540" t="e">
        <f t="shared" si="12"/>
        <v>#DIV/0!</v>
      </c>
      <c r="I83" s="540">
        <f t="shared" si="12"/>
        <v>-1.3199583652647352E-2</v>
      </c>
      <c r="J83" s="540">
        <f t="shared" si="12"/>
        <v>-0.22960250171407548</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80" zoomScaleNormal="80" zoomScaleSheetLayoutView="75" workbookViewId="0">
      <pane ySplit="2" topLeftCell="A57" activePane="bottomLeft" state="frozen"/>
      <selection pane="bottomLeft" activeCell="C85" sqref="C8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1802</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534450</v>
      </c>
      <c r="D5" s="481">
        <v>139976</v>
      </c>
      <c r="E5" s="466"/>
      <c r="F5" s="548">
        <v>30540</v>
      </c>
      <c r="G5" s="466">
        <v>6449</v>
      </c>
      <c r="H5" s="466"/>
      <c r="I5" s="466">
        <v>12726</v>
      </c>
      <c r="J5" s="467">
        <v>105914</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5090</v>
      </c>
      <c r="D7" s="466"/>
      <c r="E7" s="468"/>
      <c r="F7" s="467"/>
      <c r="G7" s="467"/>
      <c r="H7" s="467"/>
      <c r="I7" s="468"/>
      <c r="J7" s="468"/>
      <c r="K7" s="468"/>
    </row>
    <row r="8" spans="1:12" x14ac:dyDescent="0.2">
      <c r="A8" s="463" t="s">
        <v>413</v>
      </c>
      <c r="B8" s="470">
        <v>1150</v>
      </c>
      <c r="C8" s="475"/>
      <c r="D8" s="475"/>
      <c r="E8" s="477"/>
      <c r="F8" s="477"/>
      <c r="G8" s="481">
        <v>21195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539540</v>
      </c>
      <c r="D12" s="1706">
        <f t="shared" si="0"/>
        <v>139976</v>
      </c>
      <c r="E12" s="1706">
        <f t="shared" si="0"/>
        <v>0</v>
      </c>
      <c r="F12" s="1706">
        <f t="shared" si="0"/>
        <v>30540</v>
      </c>
      <c r="G12" s="1706">
        <f t="shared" si="0"/>
        <v>27644</v>
      </c>
      <c r="H12" s="1706">
        <f t="shared" si="0"/>
        <v>0</v>
      </c>
      <c r="I12" s="1706">
        <f t="shared" si="0"/>
        <v>12726</v>
      </c>
      <c r="J12" s="1706">
        <f t="shared" si="0"/>
        <v>105914</v>
      </c>
      <c r="K12" s="1687">
        <f t="shared" si="0"/>
        <v>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34501</v>
      </c>
      <c r="D16" s="466"/>
      <c r="E16" s="466"/>
      <c r="F16" s="466"/>
      <c r="G16" s="466">
        <v>1720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34501</v>
      </c>
      <c r="D18" s="1709">
        <f t="shared" ref="D18:K18" si="1">SUM(D14:D17)</f>
        <v>0</v>
      </c>
      <c r="E18" s="1709">
        <f t="shared" si="1"/>
        <v>0</v>
      </c>
      <c r="F18" s="1709">
        <f t="shared" si="1"/>
        <v>0</v>
      </c>
      <c r="G18" s="1709">
        <f t="shared" si="1"/>
        <v>1720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c r="D65" s="466">
        <v>152</v>
      </c>
      <c r="E65" s="466"/>
      <c r="F65" s="467">
        <v>70</v>
      </c>
      <c r="G65" s="466">
        <v>62</v>
      </c>
      <c r="H65" s="466"/>
      <c r="I65" s="466">
        <v>120</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0</v>
      </c>
      <c r="D67" s="1687">
        <f t="shared" ref="D67:K67" si="2">SUM(D65:D66)</f>
        <v>152</v>
      </c>
      <c r="E67" s="1687">
        <f t="shared" si="2"/>
        <v>0</v>
      </c>
      <c r="F67" s="1687">
        <f t="shared" si="2"/>
        <v>70</v>
      </c>
      <c r="G67" s="1687">
        <f t="shared" si="2"/>
        <v>62</v>
      </c>
      <c r="H67" s="1687">
        <f t="shared" si="2"/>
        <v>0</v>
      </c>
      <c r="I67" s="1687">
        <f t="shared" si="2"/>
        <v>120</v>
      </c>
      <c r="J67" s="1687">
        <f t="shared" si="2"/>
        <v>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10500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973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11473</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2040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1702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3932</v>
      </c>
      <c r="D81" s="466"/>
      <c r="E81" s="468"/>
      <c r="F81" s="468"/>
      <c r="G81" s="468"/>
      <c r="H81" s="468"/>
      <c r="I81" s="468"/>
      <c r="J81" s="468"/>
      <c r="K81" s="468"/>
    </row>
    <row r="82" spans="1:11" ht="12.75" customHeight="1" thickBot="1" x14ac:dyDescent="0.25">
      <c r="A82" s="1707" t="s">
        <v>241</v>
      </c>
      <c r="B82" s="1708"/>
      <c r="C82" s="1706">
        <f>SUM(C77:C81)</f>
        <v>7674</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2713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358</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3071</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130</v>
      </c>
      <c r="E95" s="521"/>
      <c r="F95" s="521"/>
      <c r="G95" s="521"/>
      <c r="H95" s="521"/>
      <c r="I95" s="521"/>
      <c r="J95" s="521"/>
      <c r="K95" s="521"/>
    </row>
    <row r="96" spans="1:11" ht="12.75" customHeight="1" x14ac:dyDescent="0.2">
      <c r="A96" s="463" t="s">
        <v>391</v>
      </c>
      <c r="B96" s="470">
        <v>1920</v>
      </c>
      <c r="C96" s="551">
        <v>5750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12</v>
      </c>
      <c r="D99" s="466">
        <v>16397</v>
      </c>
      <c r="E99" s="466"/>
      <c r="F99" s="466"/>
      <c r="G99" s="466"/>
      <c r="H99" s="466"/>
      <c r="I99" s="468"/>
      <c r="J99" s="467">
        <v>10</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14767</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v>8</v>
      </c>
      <c r="G107" s="466"/>
      <c r="H107" s="466"/>
      <c r="I107" s="466"/>
      <c r="J107" s="467"/>
      <c r="K107" s="466"/>
    </row>
    <row r="108" spans="1:12" ht="12.75" customHeight="1" thickBot="1" x14ac:dyDescent="0.25">
      <c r="A108" s="1707" t="s">
        <v>487</v>
      </c>
      <c r="B108" s="1711"/>
      <c r="C108" s="1706">
        <f>SUM(C95:C107)</f>
        <v>20529</v>
      </c>
      <c r="D108" s="1706">
        <f t="shared" ref="D108:K108" si="3">SUM(D95:D107)</f>
        <v>16527</v>
      </c>
      <c r="E108" s="1706">
        <f t="shared" si="3"/>
        <v>0</v>
      </c>
      <c r="F108" s="1706">
        <f t="shared" si="3"/>
        <v>8</v>
      </c>
      <c r="G108" s="1706">
        <f t="shared" si="3"/>
        <v>0</v>
      </c>
      <c r="H108" s="1706">
        <f t="shared" si="3"/>
        <v>0</v>
      </c>
      <c r="I108" s="1706">
        <f t="shared" si="3"/>
        <v>0</v>
      </c>
      <c r="J108" s="1706">
        <f t="shared" si="3"/>
        <v>10</v>
      </c>
      <c r="K108" s="1687">
        <f t="shared" si="3"/>
        <v>0</v>
      </c>
    </row>
    <row r="109" spans="1:12" ht="14.25" thickTop="1" thickBot="1" x14ac:dyDescent="0.25">
      <c r="A109" s="1712" t="s">
        <v>248</v>
      </c>
      <c r="B109" s="1713" t="s">
        <v>570</v>
      </c>
      <c r="C109" s="1714">
        <f t="shared" ref="C109:K109" si="4">SUM(C12,C18,C40,C63,C67,C75,C82,C93,C108,)</f>
        <v>616788</v>
      </c>
      <c r="D109" s="1714">
        <f t="shared" si="4"/>
        <v>156655</v>
      </c>
      <c r="E109" s="1714">
        <f t="shared" si="4"/>
        <v>0</v>
      </c>
      <c r="F109" s="1714">
        <f t="shared" si="4"/>
        <v>30618</v>
      </c>
      <c r="G109" s="1714">
        <f t="shared" si="4"/>
        <v>29426</v>
      </c>
      <c r="H109" s="1714">
        <f t="shared" si="4"/>
        <v>0</v>
      </c>
      <c r="I109" s="1714">
        <f t="shared" si="4"/>
        <v>12846</v>
      </c>
      <c r="J109" s="1714">
        <f t="shared" si="4"/>
        <v>105924</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96718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1936</v>
      </c>
      <c r="B120" s="562">
        <v>3030</v>
      </c>
      <c r="C120" s="551"/>
      <c r="D120" s="466"/>
      <c r="E120" s="466"/>
      <c r="F120" s="466"/>
      <c r="G120" s="466"/>
      <c r="H120" s="466"/>
      <c r="I120" s="468"/>
      <c r="J120" s="467"/>
      <c r="K120" s="466"/>
    </row>
    <row r="121" spans="1:11" x14ac:dyDescent="0.2">
      <c r="A121" s="1495" t="s">
        <v>1801</v>
      </c>
      <c r="B121" s="564">
        <v>3099</v>
      </c>
      <c r="C121" s="551">
        <v>750</v>
      </c>
      <c r="D121" s="466"/>
      <c r="E121" s="466"/>
      <c r="F121" s="466"/>
      <c r="G121" s="466"/>
      <c r="H121" s="466"/>
      <c r="I121" s="468"/>
      <c r="J121" s="467"/>
      <c r="K121" s="466"/>
    </row>
    <row r="122" spans="1:11" ht="12.6" customHeight="1" thickBot="1" x14ac:dyDescent="0.25">
      <c r="A122" s="1707" t="s">
        <v>488</v>
      </c>
      <c r="B122" s="1718"/>
      <c r="C122" s="1706">
        <f t="shared" ref="C122:H122" si="5">SUM(C117:C121)</f>
        <v>97468</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2775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2775</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257</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58654</v>
      </c>
      <c r="G152" s="467"/>
      <c r="H152" s="468"/>
      <c r="I152" s="468"/>
      <c r="J152" s="468"/>
      <c r="K152" s="468"/>
    </row>
    <row r="153" spans="1:11" ht="12.75" customHeight="1" x14ac:dyDescent="0.2">
      <c r="A153" s="463" t="s">
        <v>1057</v>
      </c>
      <c r="B153" s="562">
        <v>3510</v>
      </c>
      <c r="C153" s="551"/>
      <c r="D153" s="466"/>
      <c r="E153" s="561"/>
      <c r="F153" s="466">
        <v>8922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67576</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c r="D168" s="580"/>
      <c r="E168" s="580"/>
      <c r="F168" s="580"/>
      <c r="G168" s="581"/>
      <c r="H168" s="582"/>
      <c r="I168" s="581"/>
      <c r="J168" s="581"/>
      <c r="K168" s="582"/>
    </row>
    <row r="169" spans="1:11" ht="12.75" customHeight="1" thickTop="1" thickBot="1" x14ac:dyDescent="0.25">
      <c r="A169" s="2150" t="s">
        <v>398</v>
      </c>
      <c r="B169" s="2151"/>
      <c r="C169" s="1721">
        <f t="shared" ref="C169:K169" si="6">SUM(C132,C141,C145,C146:C150,C155,C156:C167,C168)</f>
        <v>3032</v>
      </c>
      <c r="D169" s="1721">
        <f t="shared" si="6"/>
        <v>0</v>
      </c>
      <c r="E169" s="1721">
        <f t="shared" si="6"/>
        <v>0</v>
      </c>
      <c r="F169" s="1721">
        <f t="shared" si="6"/>
        <v>67576</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100500</v>
      </c>
      <c r="D170" s="1714">
        <f t="shared" si="7"/>
        <v>0</v>
      </c>
      <c r="E170" s="1714">
        <f t="shared" si="7"/>
        <v>0</v>
      </c>
      <c r="F170" s="1714">
        <f t="shared" si="7"/>
        <v>67576</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16794</v>
      </c>
      <c r="D174" s="466"/>
      <c r="E174" s="467"/>
      <c r="F174" s="466"/>
      <c r="G174" s="466"/>
      <c r="H174" s="467"/>
      <c r="I174" s="467"/>
      <c r="J174" s="467"/>
      <c r="K174" s="467"/>
    </row>
    <row r="175" spans="1:11" ht="13.5" thickBot="1" x14ac:dyDescent="0.25">
      <c r="A175" s="2156" t="s">
        <v>1665</v>
      </c>
      <c r="B175" s="2157"/>
      <c r="C175" s="1706">
        <f>SUM(C173:C174)</f>
        <v>16794</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0" t="s">
        <v>1664</v>
      </c>
      <c r="B176" s="2161"/>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8" t="s">
        <v>785</v>
      </c>
      <c r="B181" s="215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4" t="s">
        <v>1803</v>
      </c>
      <c r="B182" s="2155"/>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16335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16335</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29735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29735</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10000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10000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8300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8300</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5134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1937</v>
      </c>
      <c r="B261" s="470">
        <v>4981</v>
      </c>
      <c r="C261" s="575"/>
      <c r="D261" s="576"/>
      <c r="E261" s="468"/>
      <c r="F261" s="576"/>
      <c r="G261" s="576"/>
      <c r="H261" s="468"/>
      <c r="I261" s="468"/>
      <c r="J261" s="468"/>
      <c r="K261" s="468"/>
    </row>
    <row r="262" spans="1:11" ht="12.75" customHeight="1" thickTop="1" thickBot="1" x14ac:dyDescent="0.25">
      <c r="A262" s="1930"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6858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76362</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93156</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810444</v>
      </c>
      <c r="D268" s="1714">
        <f t="shared" si="12"/>
        <v>156655</v>
      </c>
      <c r="E268" s="1714">
        <f t="shared" si="12"/>
        <v>0</v>
      </c>
      <c r="F268" s="1714">
        <f t="shared" si="12"/>
        <v>98194</v>
      </c>
      <c r="G268" s="1714">
        <f t="shared" si="12"/>
        <v>29426</v>
      </c>
      <c r="H268" s="1714">
        <f t="shared" si="12"/>
        <v>0</v>
      </c>
      <c r="I268" s="1714">
        <f t="shared" si="12"/>
        <v>12846</v>
      </c>
      <c r="J268" s="1714">
        <f t="shared" si="12"/>
        <v>105924</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14" activePane="bottomLeft" state="frozen"/>
      <selection pane="bottomLeft" activeCell="G124" sqref="G12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360053</v>
      </c>
      <c r="D5" s="466">
        <v>83108</v>
      </c>
      <c r="E5" s="466">
        <v>5404</v>
      </c>
      <c r="F5" s="466">
        <v>17077</v>
      </c>
      <c r="G5" s="466"/>
      <c r="H5" s="466">
        <v>3907</v>
      </c>
      <c r="I5" s="467"/>
      <c r="J5" s="467"/>
      <c r="K5" s="1670">
        <f>SUM(C5:J5)</f>
        <v>469549</v>
      </c>
      <c r="L5" s="466">
        <v>557215</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c r="D7" s="467"/>
      <c r="E7" s="467"/>
      <c r="F7" s="467"/>
      <c r="G7" s="467"/>
      <c r="H7" s="467"/>
      <c r="I7" s="467"/>
      <c r="J7" s="467"/>
      <c r="K7" s="1670">
        <f t="shared" ref="K7:K32" si="0">SUM(C7:J7)</f>
        <v>0</v>
      </c>
      <c r="L7" s="466"/>
    </row>
    <row r="8" spans="1:14" x14ac:dyDescent="0.2">
      <c r="A8" s="1503" t="s">
        <v>164</v>
      </c>
      <c r="B8" s="614">
        <v>1200</v>
      </c>
      <c r="C8" s="466">
        <v>29910</v>
      </c>
      <c r="D8" s="466"/>
      <c r="E8" s="466"/>
      <c r="F8" s="466"/>
      <c r="G8" s="466"/>
      <c r="H8" s="466"/>
      <c r="I8" s="467"/>
      <c r="J8" s="467"/>
      <c r="K8" s="1670">
        <f t="shared" si="0"/>
        <v>29910</v>
      </c>
      <c r="L8" s="466">
        <v>30056</v>
      </c>
    </row>
    <row r="9" spans="1:14" x14ac:dyDescent="0.2">
      <c r="A9" s="1503" t="s">
        <v>721</v>
      </c>
      <c r="B9" s="614" t="s">
        <v>968</v>
      </c>
      <c r="C9" s="467"/>
      <c r="D9" s="467"/>
      <c r="E9" s="467"/>
      <c r="F9" s="467"/>
      <c r="G9" s="467"/>
      <c r="H9" s="467"/>
      <c r="I9" s="467"/>
      <c r="J9" s="467"/>
      <c r="K9" s="1670">
        <f t="shared" si="0"/>
        <v>0</v>
      </c>
      <c r="L9" s="466"/>
    </row>
    <row r="10" spans="1:14" x14ac:dyDescent="0.2">
      <c r="A10" s="1503" t="s">
        <v>722</v>
      </c>
      <c r="B10" s="614">
        <v>1250</v>
      </c>
      <c r="C10" s="466"/>
      <c r="D10" s="466"/>
      <c r="E10" s="466"/>
      <c r="F10" s="466"/>
      <c r="G10" s="466"/>
      <c r="H10" s="466"/>
      <c r="I10" s="467"/>
      <c r="J10" s="467"/>
      <c r="K10" s="1670">
        <f t="shared" si="0"/>
        <v>0</v>
      </c>
      <c r="L10" s="466"/>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c r="D13" s="466"/>
      <c r="E13" s="466"/>
      <c r="F13" s="466"/>
      <c r="G13" s="466"/>
      <c r="H13" s="466"/>
      <c r="I13" s="467"/>
      <c r="J13" s="467"/>
      <c r="K13" s="1670">
        <f t="shared" si="0"/>
        <v>0</v>
      </c>
      <c r="L13" s="466"/>
    </row>
    <row r="14" spans="1:14" x14ac:dyDescent="0.2">
      <c r="A14" s="1503" t="s">
        <v>963</v>
      </c>
      <c r="B14" s="614">
        <v>1500</v>
      </c>
      <c r="C14" s="466">
        <v>5342</v>
      </c>
      <c r="D14" s="466">
        <v>561</v>
      </c>
      <c r="E14" s="466">
        <v>850</v>
      </c>
      <c r="F14" s="466">
        <v>889</v>
      </c>
      <c r="G14" s="466"/>
      <c r="H14" s="466">
        <v>220</v>
      </c>
      <c r="I14" s="467"/>
      <c r="J14" s="467"/>
      <c r="K14" s="1670">
        <f t="shared" si="0"/>
        <v>7862</v>
      </c>
      <c r="L14" s="466">
        <v>10218</v>
      </c>
    </row>
    <row r="15" spans="1:14" x14ac:dyDescent="0.2">
      <c r="A15" s="1503" t="s">
        <v>964</v>
      </c>
      <c r="B15" s="614">
        <v>1600</v>
      </c>
      <c r="C15" s="466"/>
      <c r="D15" s="466"/>
      <c r="E15" s="466"/>
      <c r="F15" s="466"/>
      <c r="G15" s="466"/>
      <c r="H15" s="466"/>
      <c r="I15" s="467"/>
      <c r="J15" s="467"/>
      <c r="K15" s="1670">
        <f t="shared" si="0"/>
        <v>0</v>
      </c>
      <c r="L15" s="466"/>
    </row>
    <row r="16" spans="1:14" x14ac:dyDescent="0.2">
      <c r="A16" s="1503" t="s">
        <v>987</v>
      </c>
      <c r="B16" s="614" t="s">
        <v>424</v>
      </c>
      <c r="C16" s="466"/>
      <c r="D16" s="466"/>
      <c r="E16" s="466"/>
      <c r="F16" s="466"/>
      <c r="G16" s="466"/>
      <c r="H16" s="466"/>
      <c r="I16" s="467"/>
      <c r="J16" s="467"/>
      <c r="K16" s="1670">
        <f t="shared" si="0"/>
        <v>0</v>
      </c>
      <c r="L16" s="466"/>
    </row>
    <row r="17" spans="1:12" x14ac:dyDescent="0.2">
      <c r="A17" s="1503" t="s">
        <v>724</v>
      </c>
      <c r="B17" s="614" t="s">
        <v>162</v>
      </c>
      <c r="C17" s="467"/>
      <c r="D17" s="467"/>
      <c r="E17" s="467"/>
      <c r="F17" s="467"/>
      <c r="G17" s="467"/>
      <c r="H17" s="467"/>
      <c r="I17" s="467"/>
      <c r="J17" s="467"/>
      <c r="K17" s="1670">
        <f t="shared" si="0"/>
        <v>0</v>
      </c>
      <c r="L17" s="466"/>
    </row>
    <row r="18" spans="1:12" x14ac:dyDescent="0.2">
      <c r="A18" s="1503" t="s">
        <v>1087</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c r="I22" s="616"/>
      <c r="J22" s="477"/>
      <c r="K22" s="1670">
        <f t="shared" si="0"/>
        <v>0</v>
      </c>
      <c r="L22" s="471"/>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395305</v>
      </c>
      <c r="D33" s="1669">
        <f t="shared" ref="D33:L33" si="1">SUM(D5:D32)</f>
        <v>83669</v>
      </c>
      <c r="E33" s="1669">
        <f t="shared" si="1"/>
        <v>6254</v>
      </c>
      <c r="F33" s="1669">
        <f t="shared" si="1"/>
        <v>17966</v>
      </c>
      <c r="G33" s="1669">
        <f t="shared" si="1"/>
        <v>0</v>
      </c>
      <c r="H33" s="1669">
        <f t="shared" si="1"/>
        <v>4127</v>
      </c>
      <c r="I33" s="1669">
        <f t="shared" si="1"/>
        <v>0</v>
      </c>
      <c r="J33" s="1669">
        <f t="shared" si="1"/>
        <v>0</v>
      </c>
      <c r="K33" s="1669">
        <f t="shared" si="1"/>
        <v>507321</v>
      </c>
      <c r="L33" s="1669">
        <f t="shared" si="1"/>
        <v>597489</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70">
        <f t="shared" ref="K36:K41" si="2">SUM(C36:J36)</f>
        <v>0</v>
      </c>
      <c r="L36" s="466"/>
    </row>
    <row r="37" spans="1:14" x14ac:dyDescent="0.2">
      <c r="A37" s="1503" t="s">
        <v>1090</v>
      </c>
      <c r="B37" s="614">
        <v>2120</v>
      </c>
      <c r="C37" s="466"/>
      <c r="D37" s="466"/>
      <c r="E37" s="466"/>
      <c r="F37" s="466"/>
      <c r="G37" s="466"/>
      <c r="H37" s="466"/>
      <c r="I37" s="467"/>
      <c r="J37" s="467"/>
      <c r="K37" s="1670">
        <f t="shared" si="2"/>
        <v>0</v>
      </c>
      <c r="L37" s="466"/>
    </row>
    <row r="38" spans="1:14" x14ac:dyDescent="0.2">
      <c r="A38" s="1503" t="s">
        <v>198</v>
      </c>
      <c r="B38" s="614">
        <v>2130</v>
      </c>
      <c r="C38" s="466"/>
      <c r="D38" s="466"/>
      <c r="E38" s="466">
        <v>450</v>
      </c>
      <c r="F38" s="466">
        <v>183</v>
      </c>
      <c r="G38" s="466"/>
      <c r="H38" s="466"/>
      <c r="I38" s="467"/>
      <c r="J38" s="467"/>
      <c r="K38" s="1670">
        <f t="shared" si="2"/>
        <v>633</v>
      </c>
      <c r="L38" s="466">
        <v>850</v>
      </c>
    </row>
    <row r="39" spans="1:14" x14ac:dyDescent="0.2">
      <c r="A39" s="1503" t="s">
        <v>199</v>
      </c>
      <c r="B39" s="614">
        <v>2140</v>
      </c>
      <c r="C39" s="466"/>
      <c r="D39" s="466"/>
      <c r="E39" s="466">
        <v>143</v>
      </c>
      <c r="F39" s="466"/>
      <c r="G39" s="466"/>
      <c r="H39" s="466"/>
      <c r="I39" s="467"/>
      <c r="J39" s="467"/>
      <c r="K39" s="1670">
        <f t="shared" si="2"/>
        <v>143</v>
      </c>
      <c r="L39" s="466">
        <v>36421</v>
      </c>
    </row>
    <row r="40" spans="1:14" x14ac:dyDescent="0.2">
      <c r="A40" s="1503" t="s">
        <v>200</v>
      </c>
      <c r="B40" s="614">
        <v>2150</v>
      </c>
      <c r="C40" s="466"/>
      <c r="D40" s="466"/>
      <c r="E40" s="466">
        <v>14389</v>
      </c>
      <c r="F40" s="466"/>
      <c r="G40" s="466"/>
      <c r="H40" s="466"/>
      <c r="I40" s="467"/>
      <c r="J40" s="467"/>
      <c r="K40" s="1670">
        <f t="shared" si="2"/>
        <v>14389</v>
      </c>
      <c r="L40" s="466">
        <v>16138</v>
      </c>
    </row>
    <row r="41" spans="1:14" x14ac:dyDescent="0.2">
      <c r="A41" s="1503" t="s">
        <v>1669</v>
      </c>
      <c r="B41" s="614">
        <v>2190</v>
      </c>
      <c r="C41" s="466">
        <v>9604</v>
      </c>
      <c r="D41" s="466"/>
      <c r="E41" s="466"/>
      <c r="F41" s="466"/>
      <c r="G41" s="466"/>
      <c r="H41" s="466">
        <v>52</v>
      </c>
      <c r="I41" s="467"/>
      <c r="J41" s="467"/>
      <c r="K41" s="1670">
        <f t="shared" si="2"/>
        <v>9656</v>
      </c>
      <c r="L41" s="466">
        <v>9000</v>
      </c>
    </row>
    <row r="42" spans="1:14" ht="12.75" customHeight="1" thickBot="1" x14ac:dyDescent="0.25">
      <c r="A42" s="1667" t="s">
        <v>560</v>
      </c>
      <c r="B42" s="1668" t="s">
        <v>716</v>
      </c>
      <c r="C42" s="1669">
        <f>SUM(C36:C41)</f>
        <v>9604</v>
      </c>
      <c r="D42" s="1669">
        <f t="shared" ref="D42:L42" si="3">SUM(D36:D41)</f>
        <v>0</v>
      </c>
      <c r="E42" s="1669">
        <f t="shared" si="3"/>
        <v>14982</v>
      </c>
      <c r="F42" s="1669">
        <f t="shared" si="3"/>
        <v>183</v>
      </c>
      <c r="G42" s="1669">
        <f t="shared" si="3"/>
        <v>0</v>
      </c>
      <c r="H42" s="1669">
        <f t="shared" si="3"/>
        <v>52</v>
      </c>
      <c r="I42" s="1669">
        <f t="shared" si="3"/>
        <v>0</v>
      </c>
      <c r="J42" s="1669">
        <f t="shared" si="3"/>
        <v>0</v>
      </c>
      <c r="K42" s="1669">
        <f t="shared" si="3"/>
        <v>24821</v>
      </c>
      <c r="L42" s="1669">
        <f t="shared" si="3"/>
        <v>62409</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c r="D44" s="481"/>
      <c r="E44" s="481"/>
      <c r="F44" s="481"/>
      <c r="G44" s="481"/>
      <c r="H44" s="481"/>
      <c r="I44" s="467"/>
      <c r="J44" s="467"/>
      <c r="K44" s="1671">
        <f>SUM(C44:J44)</f>
        <v>0</v>
      </c>
      <c r="L44" s="481"/>
    </row>
    <row r="45" spans="1:14" x14ac:dyDescent="0.2">
      <c r="A45" s="1503" t="s">
        <v>815</v>
      </c>
      <c r="B45" s="614">
        <v>2220</v>
      </c>
      <c r="C45" s="466"/>
      <c r="D45" s="466"/>
      <c r="E45" s="466"/>
      <c r="F45" s="466">
        <v>5972</v>
      </c>
      <c r="G45" s="466"/>
      <c r="H45" s="466">
        <v>200</v>
      </c>
      <c r="I45" s="467"/>
      <c r="J45" s="467"/>
      <c r="K45" s="1671">
        <f>SUM(C45:J45)</f>
        <v>6172</v>
      </c>
      <c r="L45" s="466">
        <v>5550</v>
      </c>
    </row>
    <row r="46" spans="1:14" x14ac:dyDescent="0.2">
      <c r="A46" s="1503"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0</v>
      </c>
      <c r="D47" s="1669">
        <f t="shared" ref="D47:K47" si="4">SUM(D44:D46)</f>
        <v>0</v>
      </c>
      <c r="E47" s="1669">
        <f t="shared" si="4"/>
        <v>0</v>
      </c>
      <c r="F47" s="1669">
        <f t="shared" si="4"/>
        <v>5972</v>
      </c>
      <c r="G47" s="1669">
        <f t="shared" si="4"/>
        <v>0</v>
      </c>
      <c r="H47" s="1669">
        <f t="shared" si="4"/>
        <v>200</v>
      </c>
      <c r="I47" s="1669">
        <f t="shared" si="4"/>
        <v>0</v>
      </c>
      <c r="J47" s="1669">
        <f t="shared" si="4"/>
        <v>0</v>
      </c>
      <c r="K47" s="1669">
        <f t="shared" si="4"/>
        <v>6172</v>
      </c>
      <c r="L47" s="1669">
        <f>SUM(L44:L46)</f>
        <v>5550</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c r="D49" s="481"/>
      <c r="E49" s="481">
        <v>4054</v>
      </c>
      <c r="F49" s="481"/>
      <c r="G49" s="481">
        <v>1843</v>
      </c>
      <c r="H49" s="481"/>
      <c r="I49" s="467"/>
      <c r="J49" s="467"/>
      <c r="K49" s="1671">
        <f>SUM(C49:J49)</f>
        <v>5897</v>
      </c>
      <c r="L49" s="481">
        <v>8575</v>
      </c>
    </row>
    <row r="50" spans="1:14" x14ac:dyDescent="0.2">
      <c r="A50" s="1503" t="s">
        <v>818</v>
      </c>
      <c r="B50" s="614">
        <v>2320</v>
      </c>
      <c r="C50" s="466">
        <v>62334</v>
      </c>
      <c r="D50" s="466">
        <v>14533</v>
      </c>
      <c r="E50" s="466">
        <v>688</v>
      </c>
      <c r="F50" s="466">
        <v>1017</v>
      </c>
      <c r="G50" s="466"/>
      <c r="H50" s="466">
        <v>1630</v>
      </c>
      <c r="I50" s="467"/>
      <c r="J50" s="467"/>
      <c r="K50" s="1671">
        <f>SUM(C50:J50)</f>
        <v>80202</v>
      </c>
      <c r="L50" s="466">
        <v>80709</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62334</v>
      </c>
      <c r="D53" s="1669">
        <f t="shared" ref="D53:L53" si="5">SUM(D49:D52)</f>
        <v>14533</v>
      </c>
      <c r="E53" s="1669">
        <f t="shared" si="5"/>
        <v>4742</v>
      </c>
      <c r="F53" s="1669">
        <f t="shared" si="5"/>
        <v>1017</v>
      </c>
      <c r="G53" s="1669">
        <f t="shared" si="5"/>
        <v>1843</v>
      </c>
      <c r="H53" s="1669">
        <f t="shared" si="5"/>
        <v>1630</v>
      </c>
      <c r="I53" s="1669">
        <f t="shared" si="5"/>
        <v>0</v>
      </c>
      <c r="J53" s="1669">
        <f t="shared" si="5"/>
        <v>0</v>
      </c>
      <c r="K53" s="1669">
        <f t="shared" si="5"/>
        <v>86099</v>
      </c>
      <c r="L53" s="1669">
        <f t="shared" si="5"/>
        <v>89284</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c r="D55" s="481"/>
      <c r="E55" s="481"/>
      <c r="F55" s="481"/>
      <c r="G55" s="481"/>
      <c r="H55" s="481"/>
      <c r="I55" s="467"/>
      <c r="J55" s="467"/>
      <c r="K55" s="1671">
        <f>SUM(C55:J55)</f>
        <v>0</v>
      </c>
      <c r="L55" s="481"/>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0</v>
      </c>
      <c r="D57" s="1673">
        <f t="shared" ref="D57:K57" si="6">SUM(D55:D56)</f>
        <v>0</v>
      </c>
      <c r="E57" s="1673">
        <f t="shared" si="6"/>
        <v>0</v>
      </c>
      <c r="F57" s="1673">
        <f t="shared" si="6"/>
        <v>0</v>
      </c>
      <c r="G57" s="1673">
        <f t="shared" si="6"/>
        <v>0</v>
      </c>
      <c r="H57" s="1673">
        <f t="shared" si="6"/>
        <v>0</v>
      </c>
      <c r="I57" s="1673">
        <f t="shared" si="6"/>
        <v>0</v>
      </c>
      <c r="J57" s="1673">
        <f t="shared" si="6"/>
        <v>0</v>
      </c>
      <c r="K57" s="1673">
        <f t="shared" si="6"/>
        <v>0</v>
      </c>
      <c r="L57" s="1669">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37440</v>
      </c>
      <c r="D60" s="466">
        <v>7445</v>
      </c>
      <c r="E60" s="466">
        <v>979</v>
      </c>
      <c r="F60" s="466">
        <v>12071</v>
      </c>
      <c r="G60" s="466"/>
      <c r="H60" s="466">
        <v>2631</v>
      </c>
      <c r="I60" s="467"/>
      <c r="J60" s="467"/>
      <c r="K60" s="1671">
        <f t="shared" si="7"/>
        <v>60566</v>
      </c>
      <c r="L60" s="466">
        <v>54034</v>
      </c>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20816</v>
      </c>
      <c r="D63" s="466"/>
      <c r="E63" s="466">
        <v>1256</v>
      </c>
      <c r="F63" s="466">
        <v>10335</v>
      </c>
      <c r="G63" s="466"/>
      <c r="H63" s="466">
        <v>51</v>
      </c>
      <c r="I63" s="467"/>
      <c r="J63" s="467"/>
      <c r="K63" s="1671">
        <f t="shared" si="7"/>
        <v>32458</v>
      </c>
      <c r="L63" s="466">
        <v>35672</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58256</v>
      </c>
      <c r="D65" s="1669">
        <f t="shared" ref="D65:L65" si="8">SUM(D59:D64)</f>
        <v>7445</v>
      </c>
      <c r="E65" s="1669">
        <f t="shared" si="8"/>
        <v>2235</v>
      </c>
      <c r="F65" s="1669">
        <f t="shared" si="8"/>
        <v>22406</v>
      </c>
      <c r="G65" s="1669">
        <f t="shared" si="8"/>
        <v>0</v>
      </c>
      <c r="H65" s="1669">
        <f t="shared" si="8"/>
        <v>2682</v>
      </c>
      <c r="I65" s="1669">
        <f t="shared" si="8"/>
        <v>0</v>
      </c>
      <c r="J65" s="1669">
        <f t="shared" si="8"/>
        <v>0</v>
      </c>
      <c r="K65" s="1669">
        <f t="shared" si="8"/>
        <v>93024</v>
      </c>
      <c r="L65" s="1669">
        <f t="shared" si="8"/>
        <v>89706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c r="F69" s="466"/>
      <c r="G69" s="466"/>
      <c r="H69" s="466"/>
      <c r="I69" s="467"/>
      <c r="J69" s="467"/>
      <c r="K69" s="1671">
        <f>SUM(C69:J69)</f>
        <v>0</v>
      </c>
      <c r="L69" s="466"/>
      <c r="M69" s="609"/>
      <c r="N69" s="609"/>
    </row>
    <row r="70" spans="1:14" s="343" customFormat="1" x14ac:dyDescent="0.2">
      <c r="A70" s="1503" t="s">
        <v>403</v>
      </c>
      <c r="B70" s="614">
        <v>2640</v>
      </c>
      <c r="C70" s="466"/>
      <c r="D70" s="466"/>
      <c r="E70" s="466"/>
      <c r="F70" s="466"/>
      <c r="G70" s="466"/>
      <c r="H70" s="466"/>
      <c r="I70" s="467"/>
      <c r="J70" s="467"/>
      <c r="K70" s="1671">
        <f>SUM(C70:J70)</f>
        <v>0</v>
      </c>
      <c r="L70" s="466"/>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c r="D73" s="573"/>
      <c r="E73" s="573"/>
      <c r="F73" s="573"/>
      <c r="G73" s="573"/>
      <c r="H73" s="573"/>
      <c r="I73" s="531"/>
      <c r="J73" s="531"/>
      <c r="K73" s="1669">
        <f>SUM(C73:J73)</f>
        <v>0</v>
      </c>
      <c r="L73" s="576"/>
      <c r="M73" s="609"/>
      <c r="N73" s="609"/>
    </row>
    <row r="74" spans="1:14" ht="12.75" customHeight="1" thickTop="1" thickBot="1" x14ac:dyDescent="0.25">
      <c r="A74" s="1667" t="s">
        <v>811</v>
      </c>
      <c r="B74" s="1675">
        <v>2000</v>
      </c>
      <c r="C74" s="1676">
        <f>SUM(C42,C47,C53,C57,C65,C72,C73)</f>
        <v>130194</v>
      </c>
      <c r="D74" s="1676">
        <f t="shared" ref="D74:K74" si="10">SUM(D42,D47,D53,D57,D65,D72,D73)</f>
        <v>21978</v>
      </c>
      <c r="E74" s="1676">
        <f t="shared" si="10"/>
        <v>21959</v>
      </c>
      <c r="F74" s="1676">
        <f t="shared" si="10"/>
        <v>29578</v>
      </c>
      <c r="G74" s="1676">
        <f t="shared" si="10"/>
        <v>1843</v>
      </c>
      <c r="H74" s="1676">
        <f t="shared" si="10"/>
        <v>4564</v>
      </c>
      <c r="I74" s="1676">
        <f t="shared" si="10"/>
        <v>0</v>
      </c>
      <c r="J74" s="1676">
        <f t="shared" si="10"/>
        <v>0</v>
      </c>
      <c r="K74" s="1676">
        <f t="shared" si="10"/>
        <v>210116</v>
      </c>
      <c r="L74" s="1676">
        <f>SUM(L42,L47,L53,L57,L65,L72,L73)</f>
        <v>246949</v>
      </c>
    </row>
    <row r="75" spans="1:14" s="259" customFormat="1" ht="15.75" customHeight="1" thickTop="1" thickBot="1" x14ac:dyDescent="0.25">
      <c r="A75" s="1609" t="s">
        <v>47</v>
      </c>
      <c r="B75" s="1610" t="s">
        <v>575</v>
      </c>
      <c r="C75" s="573"/>
      <c r="D75" s="573"/>
      <c r="E75" s="573"/>
      <c r="F75" s="573"/>
      <c r="G75" s="573"/>
      <c r="H75" s="573"/>
      <c r="I75" s="531"/>
      <c r="J75" s="531"/>
      <c r="K75" s="1669">
        <f>SUM(C75:J75)</f>
        <v>0</v>
      </c>
      <c r="L75" s="576"/>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c r="F79" s="616"/>
      <c r="G79" s="616"/>
      <c r="H79" s="466"/>
      <c r="I79" s="477"/>
      <c r="J79" s="477"/>
      <c r="K79" s="1670">
        <f t="shared" si="11"/>
        <v>0</v>
      </c>
      <c r="L79" s="466"/>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0</v>
      </c>
      <c r="F84" s="616"/>
      <c r="G84" s="616"/>
      <c r="H84" s="1669">
        <f>SUM(H78:H83)</f>
        <v>0</v>
      </c>
      <c r="I84" s="477"/>
      <c r="J84" s="477"/>
      <c r="K84" s="1669">
        <f>SUM(K78:K83)</f>
        <v>0</v>
      </c>
      <c r="L84" s="1669">
        <f>SUM(L78:L83)</f>
        <v>0</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699</v>
      </c>
      <c r="B86" s="637">
        <v>4220</v>
      </c>
      <c r="C86" s="616"/>
      <c r="D86" s="616"/>
      <c r="E86" s="638"/>
      <c r="F86" s="616"/>
      <c r="G86" s="616"/>
      <c r="H86" s="467">
        <v>71298</v>
      </c>
      <c r="I86" s="477"/>
      <c r="J86" s="477"/>
      <c r="K86" s="1676">
        <f t="shared" ref="K86:K98" si="12">H86</f>
        <v>71298</v>
      </c>
      <c r="L86" s="530">
        <v>0</v>
      </c>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c r="I88" s="477"/>
      <c r="J88" s="477"/>
      <c r="K88" s="1676">
        <f t="shared" si="12"/>
        <v>0</v>
      </c>
      <c r="L88" s="530"/>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71298</v>
      </c>
      <c r="I92" s="477"/>
      <c r="J92" s="477"/>
      <c r="K92" s="1676">
        <f t="shared" si="12"/>
        <v>71298</v>
      </c>
      <c r="L92" s="1669">
        <f>SUM(L85:L91)</f>
        <v>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0</v>
      </c>
      <c r="F102" s="616"/>
      <c r="G102" s="616"/>
      <c r="H102" s="1676">
        <f>SUM(H84,H92,H100,H101)</f>
        <v>71298</v>
      </c>
      <c r="I102" s="477"/>
      <c r="J102" s="477"/>
      <c r="K102" s="1676">
        <f>SUM(K84,K92,K100,K101)</f>
        <v>71298</v>
      </c>
      <c r="L102" s="1676">
        <f>SUM(L84,L92,L100,L101)</f>
        <v>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525499</v>
      </c>
      <c r="D114" s="1669">
        <f t="shared" ref="D114:K114" si="13">SUM(D33,D74,D75,D102,D112,D113)</f>
        <v>105647</v>
      </c>
      <c r="E114" s="1669">
        <f t="shared" si="13"/>
        <v>28213</v>
      </c>
      <c r="F114" s="1669">
        <f t="shared" si="13"/>
        <v>47544</v>
      </c>
      <c r="G114" s="1669">
        <f t="shared" si="13"/>
        <v>1843</v>
      </c>
      <c r="H114" s="1669">
        <f>SUM(H33,H74,H75,H102,H112,H113)</f>
        <v>79989</v>
      </c>
      <c r="I114" s="1669">
        <f t="shared" si="13"/>
        <v>0</v>
      </c>
      <c r="J114" s="1669">
        <f t="shared" si="13"/>
        <v>0</v>
      </c>
      <c r="K114" s="1669">
        <f t="shared" si="13"/>
        <v>788735</v>
      </c>
      <c r="L114" s="1669">
        <f>SUM(L33,L74,L75,L102,L112,L113)</f>
        <v>844438</v>
      </c>
    </row>
    <row r="115" spans="1:14" ht="13.5" thickTop="1" x14ac:dyDescent="0.2">
      <c r="A115" s="2187" t="s">
        <v>996</v>
      </c>
      <c r="B115" s="2188"/>
      <c r="C115" s="618"/>
      <c r="D115" s="618"/>
      <c r="E115" s="618"/>
      <c r="F115" s="618"/>
      <c r="G115" s="618"/>
      <c r="H115" s="618"/>
      <c r="I115" s="618"/>
      <c r="J115" s="618"/>
      <c r="K115" s="1683">
        <f>'Revenues 9-14'!C268-'Expenditures 15-22'!K114</f>
        <v>21709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3657</v>
      </c>
      <c r="D124" s="466">
        <v>19</v>
      </c>
      <c r="E124" s="466">
        <v>85519</v>
      </c>
      <c r="F124" s="466">
        <v>36201</v>
      </c>
      <c r="G124" s="466"/>
      <c r="H124" s="466"/>
      <c r="I124" s="467"/>
      <c r="J124" s="467"/>
      <c r="K124" s="1669">
        <f>SUM(C124:J124)</f>
        <v>125396</v>
      </c>
      <c r="L124" s="466">
        <v>105992</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3657</v>
      </c>
      <c r="D127" s="1669">
        <f t="shared" ref="D127:L127" si="14">SUM(D122:D126)</f>
        <v>19</v>
      </c>
      <c r="E127" s="1669">
        <f t="shared" si="14"/>
        <v>85519</v>
      </c>
      <c r="F127" s="1669">
        <f t="shared" si="14"/>
        <v>36201</v>
      </c>
      <c r="G127" s="1669">
        <f t="shared" si="14"/>
        <v>0</v>
      </c>
      <c r="H127" s="1669">
        <f t="shared" si="14"/>
        <v>0</v>
      </c>
      <c r="I127" s="1669">
        <f t="shared" si="14"/>
        <v>0</v>
      </c>
      <c r="J127" s="1669">
        <f t="shared" si="14"/>
        <v>0</v>
      </c>
      <c r="K127" s="1669">
        <f t="shared" si="14"/>
        <v>125396</v>
      </c>
      <c r="L127" s="1669">
        <f t="shared" si="14"/>
        <v>105992</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3657</v>
      </c>
      <c r="D129" s="1676">
        <f t="shared" ref="D129:L129" si="15">SUM(D120,D127,D128)</f>
        <v>19</v>
      </c>
      <c r="E129" s="1676">
        <f t="shared" si="15"/>
        <v>85519</v>
      </c>
      <c r="F129" s="1676">
        <f t="shared" si="15"/>
        <v>36201</v>
      </c>
      <c r="G129" s="1676">
        <f t="shared" si="15"/>
        <v>0</v>
      </c>
      <c r="H129" s="1676">
        <f t="shared" si="15"/>
        <v>0</v>
      </c>
      <c r="I129" s="1676">
        <f t="shared" si="15"/>
        <v>0</v>
      </c>
      <c r="J129" s="1676">
        <f t="shared" si="15"/>
        <v>0</v>
      </c>
      <c r="K129" s="1676">
        <f t="shared" si="15"/>
        <v>125396</v>
      </c>
      <c r="L129" s="1676">
        <f t="shared" si="15"/>
        <v>105992</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77" t="s">
        <v>620</v>
      </c>
      <c r="B151" s="2159"/>
      <c r="C151" s="1669">
        <f>SUM(C129,C130,C139,C149,C150)</f>
        <v>3657</v>
      </c>
      <c r="D151" s="1669">
        <f t="shared" ref="D151:K151" si="16">SUM(D129,D130,D139,D149,D150)</f>
        <v>19</v>
      </c>
      <c r="E151" s="1669">
        <f t="shared" si="16"/>
        <v>85519</v>
      </c>
      <c r="F151" s="1669">
        <f t="shared" si="16"/>
        <v>36201</v>
      </c>
      <c r="G151" s="1669">
        <f t="shared" si="16"/>
        <v>0</v>
      </c>
      <c r="H151" s="1669">
        <f t="shared" si="16"/>
        <v>0</v>
      </c>
      <c r="I151" s="1669">
        <f t="shared" si="16"/>
        <v>0</v>
      </c>
      <c r="J151" s="1669">
        <f t="shared" si="16"/>
        <v>0</v>
      </c>
      <c r="K151" s="1669">
        <f t="shared" si="16"/>
        <v>125396</v>
      </c>
      <c r="L151" s="1669">
        <f>SUM(L129,L130,L139,L149,L150)</f>
        <v>105992</v>
      </c>
    </row>
    <row r="152" spans="1:14" ht="12.75" customHeight="1" thickTop="1" x14ac:dyDescent="0.2">
      <c r="A152" s="2180" t="s">
        <v>1178</v>
      </c>
      <c r="B152" s="2181"/>
      <c r="C152" s="618"/>
      <c r="D152" s="618"/>
      <c r="E152" s="618"/>
      <c r="F152" s="618"/>
      <c r="G152" s="618"/>
      <c r="H152" s="618"/>
      <c r="I152" s="618"/>
      <c r="J152" s="616"/>
      <c r="K152" s="1683">
        <f>'Revenues 9-14'!D268-'Expenditures 15-22'!K151</f>
        <v>31259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c r="I169" s="616"/>
      <c r="J169" s="616"/>
      <c r="K169" s="1670">
        <f>SUM(C169:H169)</f>
        <v>0</v>
      </c>
      <c r="L169" s="656"/>
    </row>
    <row r="170" spans="1:14" ht="33.75" customHeight="1" x14ac:dyDescent="0.2">
      <c r="A170" s="669" t="s">
        <v>1670</v>
      </c>
      <c r="B170" s="671" t="s">
        <v>31</v>
      </c>
      <c r="C170" s="616"/>
      <c r="D170" s="616"/>
      <c r="E170" s="616"/>
      <c r="F170" s="616"/>
      <c r="G170" s="616"/>
      <c r="H170" s="569"/>
      <c r="I170" s="616"/>
      <c r="J170" s="616"/>
      <c r="K170" s="1670">
        <f>SUM(C170:J170)</f>
        <v>0</v>
      </c>
      <c r="L170" s="569"/>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0</v>
      </c>
      <c r="I172" s="638"/>
      <c r="J172" s="616"/>
      <c r="K172" s="1676">
        <f>SUM(K168,K169,K170,K171)</f>
        <v>0</v>
      </c>
      <c r="L172" s="1676">
        <f>SUM(L168,L169,L170,L171)</f>
        <v>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0</v>
      </c>
      <c r="I174" s="638"/>
      <c r="J174" s="616"/>
      <c r="K174" s="1676">
        <f>SUM(K160,K172,K173)</f>
        <v>0</v>
      </c>
      <c r="L174" s="1676">
        <f>SUM(L160,L172,L173)</f>
        <v>0</v>
      </c>
    </row>
    <row r="175" spans="1:14" ht="13.5" thickTop="1" x14ac:dyDescent="0.2">
      <c r="A175" s="2187" t="s">
        <v>996</v>
      </c>
      <c r="B175" s="2188"/>
      <c r="C175" s="616"/>
      <c r="D175" s="616"/>
      <c r="E175" s="616"/>
      <c r="F175" s="616"/>
      <c r="G175" s="616"/>
      <c r="H175" s="618"/>
      <c r="I175" s="616"/>
      <c r="J175" s="616"/>
      <c r="K175" s="1683">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14300</v>
      </c>
      <c r="D182" s="466">
        <v>19</v>
      </c>
      <c r="E182" s="466">
        <v>36251</v>
      </c>
      <c r="F182" s="466">
        <v>5797</v>
      </c>
      <c r="G182" s="466">
        <v>30</v>
      </c>
      <c r="H182" s="466">
        <v>60</v>
      </c>
      <c r="I182" s="467"/>
      <c r="J182" s="467"/>
      <c r="K182" s="1670">
        <f>SUM(C182:J182)</f>
        <v>56457</v>
      </c>
      <c r="L182" s="466">
        <v>74322</v>
      </c>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14300</v>
      </c>
      <c r="D184" s="1676">
        <f t="shared" ref="D184:J184" si="17">SUM(D180,D182,D183)</f>
        <v>19</v>
      </c>
      <c r="E184" s="1676">
        <f t="shared" si="17"/>
        <v>36251</v>
      </c>
      <c r="F184" s="1676">
        <f t="shared" si="17"/>
        <v>5797</v>
      </c>
      <c r="G184" s="1676">
        <f t="shared" si="17"/>
        <v>30</v>
      </c>
      <c r="H184" s="1676">
        <f t="shared" si="17"/>
        <v>60</v>
      </c>
      <c r="I184" s="1676">
        <f t="shared" si="17"/>
        <v>0</v>
      </c>
      <c r="J184" s="1676">
        <f t="shared" si="17"/>
        <v>0</v>
      </c>
      <c r="K184" s="1676">
        <f>SUM(K180,K182,K183)</f>
        <v>56457</v>
      </c>
      <c r="L184" s="1676">
        <f>SUM(L180, L182:L183)</f>
        <v>74322</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14300</v>
      </c>
      <c r="D210" s="1669">
        <f>SUM(D184,D185)</f>
        <v>19</v>
      </c>
      <c r="E210" s="1669">
        <f>SUM(E184,E185,E196)</f>
        <v>36251</v>
      </c>
      <c r="F210" s="1669">
        <f>SUM(F184,F185)</f>
        <v>5797</v>
      </c>
      <c r="G210" s="1669">
        <f>SUM(G184,G185)</f>
        <v>30</v>
      </c>
      <c r="H210" s="1669">
        <f>SUM(H184,H185,H196,H208,H209)</f>
        <v>60</v>
      </c>
      <c r="I210" s="1669">
        <f>SUM(I184,I185)</f>
        <v>0</v>
      </c>
      <c r="J210" s="1669">
        <f>SUM(J184,J185)</f>
        <v>0</v>
      </c>
      <c r="K210" s="1670">
        <f>SUM(K184,K185,K196,K208,K209)</f>
        <v>56457</v>
      </c>
      <c r="L210" s="1669">
        <f>SUM(L184,L185,L196,L208,L209)</f>
        <v>74322</v>
      </c>
    </row>
    <row r="211" spans="1:14" ht="13.5" thickTop="1" x14ac:dyDescent="0.2">
      <c r="A211" s="2187" t="s">
        <v>996</v>
      </c>
      <c r="B211" s="2188"/>
      <c r="C211" s="618"/>
      <c r="D211" s="618"/>
      <c r="E211" s="618"/>
      <c r="F211" s="618"/>
      <c r="G211" s="618"/>
      <c r="H211" s="618"/>
      <c r="I211" s="616"/>
      <c r="J211" s="616"/>
      <c r="K211" s="1683">
        <f>'Revenues 9-14'!F268-'Expenditures 15-22'!K210</f>
        <v>41737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9092</v>
      </c>
      <c r="E215" s="616"/>
      <c r="F215" s="616"/>
      <c r="G215" s="616"/>
      <c r="H215" s="616"/>
      <c r="I215" s="616"/>
      <c r="J215" s="616"/>
      <c r="K215" s="1670">
        <f>D215</f>
        <v>9092</v>
      </c>
      <c r="L215" s="466">
        <v>9353</v>
      </c>
    </row>
    <row r="216" spans="1:14" x14ac:dyDescent="0.2">
      <c r="A216" s="1503" t="s">
        <v>163</v>
      </c>
      <c r="B216" s="614" t="s">
        <v>967</v>
      </c>
      <c r="C216" s="616"/>
      <c r="D216" s="467"/>
      <c r="E216" s="616"/>
      <c r="F216" s="616"/>
      <c r="G216" s="616"/>
      <c r="H216" s="616"/>
      <c r="I216" s="616"/>
      <c r="J216" s="616"/>
      <c r="K216" s="1670">
        <f t="shared" ref="K216:K228" si="19">D216</f>
        <v>0</v>
      </c>
      <c r="L216" s="466"/>
    </row>
    <row r="217" spans="1:14" x14ac:dyDescent="0.2">
      <c r="A217" s="1503" t="s">
        <v>164</v>
      </c>
      <c r="B217" s="614">
        <v>1200</v>
      </c>
      <c r="C217" s="616"/>
      <c r="D217" s="466">
        <v>434</v>
      </c>
      <c r="E217" s="616"/>
      <c r="F217" s="616"/>
      <c r="G217" s="616"/>
      <c r="H217" s="616"/>
      <c r="I217" s="616"/>
      <c r="J217" s="616"/>
      <c r="K217" s="1670">
        <f t="shared" si="19"/>
        <v>434</v>
      </c>
      <c r="L217" s="466">
        <v>435</v>
      </c>
    </row>
    <row r="218" spans="1:14" x14ac:dyDescent="0.2">
      <c r="A218" s="1503" t="s">
        <v>278</v>
      </c>
      <c r="B218" s="614" t="s">
        <v>968</v>
      </c>
      <c r="C218" s="616"/>
      <c r="D218" s="467"/>
      <c r="E218" s="616"/>
      <c r="F218" s="616"/>
      <c r="G218" s="616"/>
      <c r="H218" s="616"/>
      <c r="I218" s="616"/>
      <c r="J218" s="616"/>
      <c r="K218" s="1670">
        <f t="shared" si="19"/>
        <v>0</v>
      </c>
      <c r="L218" s="466"/>
    </row>
    <row r="219" spans="1:14" x14ac:dyDescent="0.2">
      <c r="A219" s="1503" t="s">
        <v>279</v>
      </c>
      <c r="B219" s="614">
        <v>1250</v>
      </c>
      <c r="C219" s="616"/>
      <c r="D219" s="466"/>
      <c r="E219" s="616"/>
      <c r="F219" s="616"/>
      <c r="G219" s="616"/>
      <c r="H219" s="616"/>
      <c r="I219" s="616"/>
      <c r="J219" s="616"/>
      <c r="K219" s="1670">
        <f t="shared" si="19"/>
        <v>0</v>
      </c>
      <c r="L219" s="466"/>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c r="E222" s="616"/>
      <c r="F222" s="616"/>
      <c r="G222" s="616"/>
      <c r="H222" s="616"/>
      <c r="I222" s="616"/>
      <c r="J222" s="616"/>
      <c r="K222" s="1670">
        <f t="shared" si="19"/>
        <v>0</v>
      </c>
      <c r="L222" s="466"/>
    </row>
    <row r="223" spans="1:14" x14ac:dyDescent="0.2">
      <c r="A223" s="1503" t="s">
        <v>963</v>
      </c>
      <c r="B223" s="614">
        <v>1500</v>
      </c>
      <c r="C223" s="616"/>
      <c r="D223" s="466">
        <v>168</v>
      </c>
      <c r="E223" s="616"/>
      <c r="F223" s="616"/>
      <c r="G223" s="616"/>
      <c r="H223" s="616"/>
      <c r="I223" s="616"/>
      <c r="J223" s="616"/>
      <c r="K223" s="1670">
        <f t="shared" si="19"/>
        <v>168</v>
      </c>
      <c r="L223" s="466">
        <v>152</v>
      </c>
    </row>
    <row r="224" spans="1:14" x14ac:dyDescent="0.2">
      <c r="A224" s="1503" t="s">
        <v>964</v>
      </c>
      <c r="B224" s="614">
        <v>1600</v>
      </c>
      <c r="C224" s="616"/>
      <c r="D224" s="466"/>
      <c r="E224" s="616"/>
      <c r="F224" s="616"/>
      <c r="G224" s="616"/>
      <c r="H224" s="616"/>
      <c r="I224" s="616"/>
      <c r="J224" s="616"/>
      <c r="K224" s="1670">
        <f t="shared" si="19"/>
        <v>0</v>
      </c>
      <c r="L224" s="466"/>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c r="E226" s="616"/>
      <c r="F226" s="616"/>
      <c r="G226" s="616"/>
      <c r="H226" s="616"/>
      <c r="I226" s="616"/>
      <c r="J226" s="616"/>
      <c r="K226" s="1670">
        <f t="shared" si="19"/>
        <v>0</v>
      </c>
      <c r="L226" s="466"/>
    </row>
    <row r="227" spans="1:12" x14ac:dyDescent="0.2">
      <c r="A227" s="1503" t="s">
        <v>1087</v>
      </c>
      <c r="B227" s="614">
        <v>1800</v>
      </c>
      <c r="C227" s="616"/>
      <c r="D227" s="466"/>
      <c r="E227" s="616"/>
      <c r="F227" s="616"/>
      <c r="G227" s="616"/>
      <c r="H227" s="616"/>
      <c r="I227" s="616"/>
      <c r="J227" s="616"/>
      <c r="K227" s="1670">
        <f t="shared" si="19"/>
        <v>0</v>
      </c>
      <c r="L227" s="466"/>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9694</v>
      </c>
      <c r="E229" s="616"/>
      <c r="F229" s="616"/>
      <c r="G229" s="616"/>
      <c r="H229" s="616"/>
      <c r="I229" s="616"/>
      <c r="J229" s="616"/>
      <c r="K229" s="1669">
        <f>SUM(K215:K228)</f>
        <v>9694</v>
      </c>
      <c r="L229" s="1669">
        <f>SUM(L215:L228)</f>
        <v>9940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70">
        <f t="shared" ref="K232:K237" si="20">D232</f>
        <v>0</v>
      </c>
      <c r="L232" s="466"/>
    </row>
    <row r="233" spans="1:12" x14ac:dyDescent="0.2">
      <c r="A233" s="1503" t="s">
        <v>1090</v>
      </c>
      <c r="B233" s="614">
        <v>2120</v>
      </c>
      <c r="C233" s="616"/>
      <c r="D233" s="466"/>
      <c r="E233" s="616"/>
      <c r="F233" s="616"/>
      <c r="G233" s="616"/>
      <c r="H233" s="616"/>
      <c r="I233" s="616"/>
      <c r="J233" s="616"/>
      <c r="K233" s="1670">
        <f t="shared" si="20"/>
        <v>0</v>
      </c>
      <c r="L233" s="466"/>
    </row>
    <row r="234" spans="1:12" x14ac:dyDescent="0.2">
      <c r="A234" s="1503" t="s">
        <v>198</v>
      </c>
      <c r="B234" s="614">
        <v>2130</v>
      </c>
      <c r="C234" s="616"/>
      <c r="D234" s="466"/>
      <c r="E234" s="616"/>
      <c r="F234" s="616"/>
      <c r="G234" s="616"/>
      <c r="H234" s="616"/>
      <c r="I234" s="616"/>
      <c r="J234" s="616"/>
      <c r="K234" s="1670">
        <f t="shared" si="20"/>
        <v>0</v>
      </c>
      <c r="L234" s="466"/>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c r="E236" s="616"/>
      <c r="F236" s="616"/>
      <c r="G236" s="616"/>
      <c r="H236" s="616"/>
      <c r="I236" s="616"/>
      <c r="J236" s="616"/>
      <c r="K236" s="1670">
        <f t="shared" si="20"/>
        <v>0</v>
      </c>
      <c r="L236" s="466"/>
    </row>
    <row r="237" spans="1:12" x14ac:dyDescent="0.2">
      <c r="A237" s="1503" t="s">
        <v>165</v>
      </c>
      <c r="B237" s="614">
        <v>2190</v>
      </c>
      <c r="C237" s="616"/>
      <c r="D237" s="466">
        <v>735</v>
      </c>
      <c r="E237" s="616"/>
      <c r="F237" s="616"/>
      <c r="G237" s="616"/>
      <c r="H237" s="616"/>
      <c r="I237" s="616"/>
      <c r="J237" s="616"/>
      <c r="K237" s="1670">
        <f t="shared" si="20"/>
        <v>735</v>
      </c>
      <c r="L237" s="466">
        <v>696</v>
      </c>
    </row>
    <row r="238" spans="1:12" ht="12.75" customHeight="1" thickBot="1" x14ac:dyDescent="0.25">
      <c r="A238" s="1667" t="s">
        <v>560</v>
      </c>
      <c r="B238" s="1674" t="s">
        <v>716</v>
      </c>
      <c r="C238" s="616"/>
      <c r="D238" s="1669">
        <f>SUM(D232:D237)</f>
        <v>735</v>
      </c>
      <c r="E238" s="616"/>
      <c r="F238" s="616"/>
      <c r="G238" s="616"/>
      <c r="H238" s="616"/>
      <c r="I238" s="616"/>
      <c r="J238" s="616"/>
      <c r="K238" s="1669">
        <f>SUM(K232:K237)</f>
        <v>735</v>
      </c>
      <c r="L238" s="1669">
        <f>SUM(L232:L237)</f>
        <v>696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c r="E240" s="616"/>
      <c r="F240" s="616"/>
      <c r="G240" s="616"/>
      <c r="H240" s="616"/>
      <c r="I240" s="616"/>
      <c r="J240" s="616"/>
      <c r="K240" s="1671">
        <f>D240</f>
        <v>0</v>
      </c>
      <c r="L240" s="481"/>
    </row>
    <row r="241" spans="1:12" x14ac:dyDescent="0.2">
      <c r="A241" s="1503" t="s">
        <v>815</v>
      </c>
      <c r="B241" s="614">
        <v>2220</v>
      </c>
      <c r="C241" s="616"/>
      <c r="D241" s="466"/>
      <c r="E241" s="616"/>
      <c r="F241" s="616"/>
      <c r="G241" s="616"/>
      <c r="H241" s="616"/>
      <c r="I241" s="616"/>
      <c r="J241" s="616"/>
      <c r="K241" s="1671">
        <f>D241</f>
        <v>0</v>
      </c>
      <c r="L241" s="466"/>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0</v>
      </c>
      <c r="E243" s="616"/>
      <c r="F243" s="616"/>
      <c r="G243" s="616"/>
      <c r="H243" s="616"/>
      <c r="I243" s="616"/>
      <c r="J243" s="616"/>
      <c r="K243" s="1669">
        <f>SUM(K240:K242)</f>
        <v>0</v>
      </c>
      <c r="L243" s="1669">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c r="E245" s="616"/>
      <c r="F245" s="616"/>
      <c r="G245" s="616"/>
      <c r="H245" s="616"/>
      <c r="I245" s="616"/>
      <c r="J245" s="616"/>
      <c r="K245" s="1671">
        <f>D245</f>
        <v>0</v>
      </c>
      <c r="L245" s="481"/>
    </row>
    <row r="246" spans="1:12" x14ac:dyDescent="0.2">
      <c r="A246" s="1503" t="s">
        <v>818</v>
      </c>
      <c r="B246" s="614">
        <v>2320</v>
      </c>
      <c r="C246" s="616"/>
      <c r="D246" s="466">
        <v>1629</v>
      </c>
      <c r="E246" s="616"/>
      <c r="F246" s="616"/>
      <c r="G246" s="616"/>
      <c r="H246" s="616"/>
      <c r="I246" s="616"/>
      <c r="J246" s="616"/>
      <c r="K246" s="1671">
        <f t="shared" ref="K246:K256" si="21">D246</f>
        <v>1629</v>
      </c>
      <c r="L246" s="466">
        <v>1628</v>
      </c>
    </row>
    <row r="247" spans="1:12" x14ac:dyDescent="0.2">
      <c r="A247" s="1503" t="s">
        <v>819</v>
      </c>
      <c r="B247" s="614">
        <v>2330</v>
      </c>
      <c r="C247" s="616"/>
      <c r="D247" s="466"/>
      <c r="E247" s="616"/>
      <c r="F247" s="616"/>
      <c r="G247" s="616"/>
      <c r="H247" s="616"/>
      <c r="I247" s="616"/>
      <c r="J247" s="616"/>
      <c r="K247" s="1671">
        <f t="shared" si="21"/>
        <v>0</v>
      </c>
      <c r="L247" s="466"/>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1629</v>
      </c>
      <c r="E257" s="616"/>
      <c r="F257" s="616"/>
      <c r="G257" s="616"/>
      <c r="H257" s="616"/>
      <c r="I257" s="616"/>
      <c r="J257" s="616"/>
      <c r="K257" s="1669">
        <f>SUM(K245:K256)</f>
        <v>1629</v>
      </c>
      <c r="L257" s="1669">
        <f>SUM(L245:L256)</f>
        <v>1628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c r="E259" s="616"/>
      <c r="F259" s="616"/>
      <c r="G259" s="616"/>
      <c r="H259" s="616"/>
      <c r="I259" s="616"/>
      <c r="J259" s="616"/>
      <c r="K259" s="1671">
        <f>D259</f>
        <v>0</v>
      </c>
      <c r="L259" s="481"/>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0</v>
      </c>
      <c r="E261" s="616"/>
      <c r="F261" s="616"/>
      <c r="G261" s="616"/>
      <c r="H261" s="616"/>
      <c r="I261" s="616"/>
      <c r="J261" s="616"/>
      <c r="K261" s="1669">
        <f>SUM(K259:K260)</f>
        <v>0</v>
      </c>
      <c r="L261" s="1669">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6463</v>
      </c>
      <c r="E264" s="616"/>
      <c r="F264" s="616"/>
      <c r="G264" s="616"/>
      <c r="H264" s="616"/>
      <c r="I264" s="616"/>
      <c r="J264" s="616"/>
      <c r="K264" s="1671">
        <f t="shared" ref="K264:K269" si="22">D264</f>
        <v>6463</v>
      </c>
      <c r="L264" s="466">
        <v>7621</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1310</v>
      </c>
      <c r="E266" s="616"/>
      <c r="F266" s="616"/>
      <c r="G266" s="616"/>
      <c r="H266" s="616"/>
      <c r="I266" s="616"/>
      <c r="J266" s="616"/>
      <c r="K266" s="1671">
        <f t="shared" si="22"/>
        <v>1310</v>
      </c>
      <c r="L266" s="466">
        <v>2512</v>
      </c>
    </row>
    <row r="267" spans="1:14" x14ac:dyDescent="0.2">
      <c r="A267" s="1503" t="s">
        <v>953</v>
      </c>
      <c r="B267" s="614">
        <v>2550</v>
      </c>
      <c r="C267" s="616"/>
      <c r="D267" s="466">
        <v>4471</v>
      </c>
      <c r="E267" s="616"/>
      <c r="F267" s="616"/>
      <c r="G267" s="616"/>
      <c r="H267" s="616"/>
      <c r="I267" s="616"/>
      <c r="J267" s="616"/>
      <c r="K267" s="1671">
        <f t="shared" si="22"/>
        <v>4471</v>
      </c>
      <c r="L267" s="466">
        <v>5294</v>
      </c>
    </row>
    <row r="268" spans="1:14" x14ac:dyDescent="0.2">
      <c r="A268" s="1503" t="s">
        <v>100</v>
      </c>
      <c r="B268" s="614">
        <v>2560</v>
      </c>
      <c r="C268" s="616"/>
      <c r="D268" s="466">
        <v>3158</v>
      </c>
      <c r="E268" s="616"/>
      <c r="F268" s="616"/>
      <c r="G268" s="616"/>
      <c r="H268" s="616"/>
      <c r="I268" s="616"/>
      <c r="J268" s="616"/>
      <c r="K268" s="1671">
        <f t="shared" si="22"/>
        <v>3158</v>
      </c>
      <c r="L268" s="466">
        <v>3411</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15402</v>
      </c>
      <c r="E270" s="616"/>
      <c r="F270" s="616"/>
      <c r="G270" s="616"/>
      <c r="H270" s="616"/>
      <c r="I270" s="616"/>
      <c r="J270" s="616"/>
      <c r="K270" s="1669">
        <f>SUM(K263:K269)</f>
        <v>15402</v>
      </c>
      <c r="L270" s="1669">
        <f>SUM(L263:L269)</f>
        <v>18838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17766</v>
      </c>
      <c r="E279" s="616"/>
      <c r="F279" s="616"/>
      <c r="G279" s="616"/>
      <c r="H279" s="616"/>
      <c r="I279" s="616"/>
      <c r="J279" s="616"/>
      <c r="K279" s="1676">
        <f>SUM(K238,K243,K257,K261,K270,K277,K278)</f>
        <v>17766</v>
      </c>
      <c r="L279" s="1676">
        <f>SUM(L238,L243,L257,L261,L270,L277,L278)</f>
        <v>21162</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69">
        <f>SUM(D229,D279,D280,D285)</f>
        <v>27460</v>
      </c>
      <c r="E295" s="616"/>
      <c r="F295" s="616"/>
      <c r="G295" s="616"/>
      <c r="H295" s="1669">
        <f>H293</f>
        <v>0</v>
      </c>
      <c r="I295" s="616"/>
      <c r="J295" s="616"/>
      <c r="K295" s="1669">
        <f>SUM(K229,K279,K280,K285,K293,K294)</f>
        <v>27460</v>
      </c>
      <c r="L295" s="1669">
        <f>SUM(L229,L279,L280,L285,L293,L294)</f>
        <v>31102</v>
      </c>
    </row>
    <row r="296" spans="1:14" ht="13.5" thickTop="1" x14ac:dyDescent="0.2">
      <c r="A296" s="2187" t="s">
        <v>996</v>
      </c>
      <c r="B296" s="2188"/>
      <c r="C296" s="616"/>
      <c r="D296" s="618"/>
      <c r="E296" s="616"/>
      <c r="F296" s="616"/>
      <c r="G296" s="616"/>
      <c r="H296" s="687"/>
      <c r="I296" s="616"/>
      <c r="J296" s="616"/>
      <c r="K296" s="1683">
        <f>'Revenues 9-14'!G268-'Expenditures 15-22'!K295</f>
        <v>1966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c r="H301" s="466"/>
      <c r="I301" s="467"/>
      <c r="J301" s="467"/>
      <c r="K301" s="1670">
        <f>SUM(C301:J301)</f>
        <v>0</v>
      </c>
      <c r="L301" s="467"/>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1" t="s">
        <v>996</v>
      </c>
      <c r="B313" s="2172"/>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v>1248</v>
      </c>
      <c r="F320" s="467"/>
      <c r="G320" s="467"/>
      <c r="H320" s="467"/>
      <c r="I320" s="467"/>
      <c r="J320" s="467"/>
      <c r="K320" s="1670">
        <f t="shared" ref="K320:K327" si="24">SUM(C320:J320)</f>
        <v>1248</v>
      </c>
      <c r="L320" s="467">
        <v>6951</v>
      </c>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284</v>
      </c>
      <c r="C322" s="467"/>
      <c r="D322" s="467"/>
      <c r="E322" s="467">
        <v>1412</v>
      </c>
      <c r="F322" s="467"/>
      <c r="G322" s="467"/>
      <c r="H322" s="467"/>
      <c r="I322" s="467"/>
      <c r="J322" s="467"/>
      <c r="K322" s="1670">
        <f t="shared" si="24"/>
        <v>1412</v>
      </c>
      <c r="L322" s="467">
        <v>10962</v>
      </c>
      <c r="M322" s="665"/>
      <c r="N322" s="665"/>
    </row>
    <row r="323" spans="1:14" s="674" customFormat="1" x14ac:dyDescent="0.2">
      <c r="A323" s="1518"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v>116994</v>
      </c>
      <c r="D325" s="467"/>
      <c r="E325" s="467"/>
      <c r="F325" s="467"/>
      <c r="G325" s="467"/>
      <c r="H325" s="467"/>
      <c r="I325" s="467"/>
      <c r="J325" s="467"/>
      <c r="K325" s="1670">
        <f t="shared" si="24"/>
        <v>116994</v>
      </c>
      <c r="L325" s="467">
        <v>102781</v>
      </c>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v>1250</v>
      </c>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116994</v>
      </c>
      <c r="D330" s="1669">
        <f t="shared" ref="D330:J330" si="25">SUM(D319:D329)</f>
        <v>0</v>
      </c>
      <c r="E330" s="1669">
        <f t="shared" si="25"/>
        <v>2660</v>
      </c>
      <c r="F330" s="1669">
        <f t="shared" si="25"/>
        <v>0</v>
      </c>
      <c r="G330" s="1669">
        <f t="shared" si="25"/>
        <v>0</v>
      </c>
      <c r="H330" s="1669">
        <f t="shared" si="25"/>
        <v>0</v>
      </c>
      <c r="I330" s="1669">
        <f t="shared" si="25"/>
        <v>0</v>
      </c>
      <c r="J330" s="1669">
        <f t="shared" si="25"/>
        <v>0</v>
      </c>
      <c r="K330" s="1669">
        <f>SUM(K319:K329)</f>
        <v>119654</v>
      </c>
      <c r="L330" s="1669">
        <f>SUM(L319:L329)</f>
        <v>121944</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116994</v>
      </c>
      <c r="D342" s="1669">
        <f>SUM(D330)</f>
        <v>0</v>
      </c>
      <c r="E342" s="1669">
        <f>SUM(E330)</f>
        <v>2660</v>
      </c>
      <c r="F342" s="1669">
        <f>SUM(F330)</f>
        <v>0</v>
      </c>
      <c r="G342" s="1669">
        <f>SUM(G330)</f>
        <v>0</v>
      </c>
      <c r="H342" s="1669">
        <f>SUM(H330,H334,H340)</f>
        <v>0</v>
      </c>
      <c r="I342" s="1669">
        <f>SUM(I330)</f>
        <v>0</v>
      </c>
      <c r="J342" s="1669">
        <f>SUM(J330)</f>
        <v>0</v>
      </c>
      <c r="K342" s="1669">
        <f>SUM(K330,K334,K340)</f>
        <v>119654</v>
      </c>
      <c r="L342" s="1676">
        <f>SUM(L330,L340,L341)</f>
        <v>121944</v>
      </c>
    </row>
    <row r="343" spans="1:14" ht="12.75" customHeight="1" thickTop="1" x14ac:dyDescent="0.2">
      <c r="A343" s="2173" t="s">
        <v>996</v>
      </c>
      <c r="B343" s="2174"/>
      <c r="C343" s="616"/>
      <c r="D343" s="616"/>
      <c r="E343" s="616"/>
      <c r="F343" s="616"/>
      <c r="G343" s="616"/>
      <c r="H343" s="616"/>
      <c r="I343" s="616"/>
      <c r="J343" s="616"/>
      <c r="K343" s="1683">
        <f>'Revenues 9-14'!J268-'Expenditures 15-22'!K342</f>
        <v>-13730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87" t="s">
        <v>996</v>
      </c>
      <c r="B368" s="2188"/>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90" zoomScaleNormal="90" workbookViewId="0">
      <selection activeCell="C17" sqref="C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9" t="s">
        <v>1802</v>
      </c>
      <c r="B2" s="1527" t="s">
        <v>1951</v>
      </c>
      <c r="C2" s="714" t="s">
        <v>1952</v>
      </c>
      <c r="D2" s="714" t="s">
        <v>1953</v>
      </c>
      <c r="E2" s="714" t="s">
        <v>1954</v>
      </c>
      <c r="F2" s="714" t="s">
        <v>1955</v>
      </c>
    </row>
    <row r="3" spans="1:6" ht="12" customHeight="1" x14ac:dyDescent="0.2">
      <c r="A3" s="2190"/>
      <c r="B3" s="1524"/>
      <c r="C3" s="1525"/>
      <c r="D3" s="1526" t="s">
        <v>256</v>
      </c>
      <c r="E3" s="1525"/>
      <c r="F3" s="1526" t="s">
        <v>257</v>
      </c>
    </row>
    <row r="4" spans="1:6" ht="13.7" customHeight="1" x14ac:dyDescent="0.2">
      <c r="A4" s="715" t="s">
        <v>1155</v>
      </c>
      <c r="B4" s="1748">
        <f>'Revenues 9-14'!C5</f>
        <v>534450</v>
      </c>
      <c r="C4" s="1523">
        <v>301127</v>
      </c>
      <c r="D4" s="1751">
        <f>B4-C4</f>
        <v>233323</v>
      </c>
      <c r="E4" s="1523">
        <v>628464</v>
      </c>
      <c r="F4" s="1751">
        <f>E4-C4</f>
        <v>327337</v>
      </c>
    </row>
    <row r="5" spans="1:6" ht="13.7" customHeight="1" x14ac:dyDescent="0.2">
      <c r="A5" s="715" t="s">
        <v>870</v>
      </c>
      <c r="B5" s="1749">
        <f>'Revenues 9-14'!D5</f>
        <v>139976</v>
      </c>
      <c r="C5" s="585">
        <v>78867.28</v>
      </c>
      <c r="D5" s="1752">
        <f t="shared" ref="D5:D18" si="0">B5-C5</f>
        <v>61108.72</v>
      </c>
      <c r="E5" s="585">
        <v>164598</v>
      </c>
      <c r="F5" s="1752">
        <f>E5-C5</f>
        <v>85730.72</v>
      </c>
    </row>
    <row r="6" spans="1:6" ht="13.7" customHeight="1" x14ac:dyDescent="0.2">
      <c r="A6" s="715" t="s">
        <v>411</v>
      </c>
      <c r="B6" s="1749">
        <f>'Revenues 9-14'!E5</f>
        <v>0</v>
      </c>
      <c r="C6" s="585"/>
      <c r="D6" s="1752">
        <f t="shared" si="0"/>
        <v>0</v>
      </c>
      <c r="E6" s="585"/>
      <c r="F6" s="1752">
        <f t="shared" ref="F6:F18" si="1">E6-C6</f>
        <v>0</v>
      </c>
    </row>
    <row r="7" spans="1:6" ht="13.7" customHeight="1" x14ac:dyDescent="0.2">
      <c r="A7" s="715" t="s">
        <v>155</v>
      </c>
      <c r="B7" s="1749">
        <f>'Revenues 9-14'!F5</f>
        <v>30540</v>
      </c>
      <c r="C7" s="585">
        <v>17207</v>
      </c>
      <c r="D7" s="1752">
        <f t="shared" si="0"/>
        <v>13333</v>
      </c>
      <c r="E7" s="585">
        <v>35912</v>
      </c>
      <c r="F7" s="1752">
        <f t="shared" si="1"/>
        <v>18705</v>
      </c>
    </row>
    <row r="8" spans="1:6" ht="13.7" customHeight="1" x14ac:dyDescent="0.2">
      <c r="A8" s="715" t="s">
        <v>1179</v>
      </c>
      <c r="B8" s="1749">
        <f>'Revenues 9-14'!G5</f>
        <v>6449</v>
      </c>
      <c r="C8" s="585">
        <v>3638</v>
      </c>
      <c r="D8" s="1752">
        <f t="shared" si="0"/>
        <v>2811</v>
      </c>
      <c r="E8" s="585">
        <v>7592</v>
      </c>
      <c r="F8" s="1752">
        <f t="shared" si="1"/>
        <v>3954</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12726</v>
      </c>
      <c r="C10" s="585">
        <v>7170</v>
      </c>
      <c r="D10" s="1752">
        <f t="shared" si="0"/>
        <v>5556</v>
      </c>
      <c r="E10" s="585">
        <v>14963</v>
      </c>
      <c r="F10" s="1752">
        <f t="shared" si="1"/>
        <v>7793</v>
      </c>
    </row>
    <row r="11" spans="1:6" x14ac:dyDescent="0.2">
      <c r="A11" s="715" t="s">
        <v>409</v>
      </c>
      <c r="B11" s="1749">
        <f>'Revenues 9-14'!J5</f>
        <v>105914</v>
      </c>
      <c r="C11" s="585">
        <v>59798</v>
      </c>
      <c r="D11" s="1752">
        <f t="shared" si="0"/>
        <v>46116</v>
      </c>
      <c r="E11" s="585">
        <v>124800</v>
      </c>
      <c r="F11" s="1752">
        <f t="shared" si="1"/>
        <v>65002</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5090</v>
      </c>
      <c r="C14" s="585">
        <v>2868</v>
      </c>
      <c r="D14" s="1752">
        <f t="shared" si="0"/>
        <v>2222</v>
      </c>
      <c r="E14" s="585">
        <v>5985</v>
      </c>
      <c r="F14" s="1752">
        <f t="shared" si="1"/>
        <v>3117</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21195</v>
      </c>
      <c r="C16" s="585">
        <v>11960</v>
      </c>
      <c r="D16" s="1752">
        <f t="shared" si="0"/>
        <v>9235</v>
      </c>
      <c r="E16" s="585">
        <v>24960</v>
      </c>
      <c r="F16" s="1752">
        <f t="shared" si="1"/>
        <v>13000</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856340</v>
      </c>
      <c r="C19" s="1750">
        <f>SUM(C4:C18)</f>
        <v>482635.28</v>
      </c>
      <c r="D19" s="1750">
        <f>SUM(D4:D18)</f>
        <v>373704.72</v>
      </c>
      <c r="E19" s="1750">
        <f>SUM(E4:E18)</f>
        <v>1007274</v>
      </c>
      <c r="F19" s="1750">
        <f>SUM(F4:F18)</f>
        <v>524638.71999999997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4" colorId="8" zoomScale="90" zoomScaleNormal="90" workbookViewId="0">
      <selection activeCell="A31" sqref="A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629</v>
      </c>
      <c r="B1" s="2196"/>
      <c r="C1" s="721"/>
    </row>
    <row r="2" spans="1:7" ht="33.75" x14ac:dyDescent="0.2">
      <c r="A2" s="2204" t="s">
        <v>1802</v>
      </c>
      <c r="B2" s="2205"/>
      <c r="C2" s="1883" t="s">
        <v>1956</v>
      </c>
      <c r="D2" s="723" t="s">
        <v>1957</v>
      </c>
      <c r="E2" s="723" t="s">
        <v>1958</v>
      </c>
      <c r="F2" s="1883" t="s">
        <v>1959</v>
      </c>
    </row>
    <row r="3" spans="1:7" ht="15.75" customHeight="1" x14ac:dyDescent="0.2">
      <c r="A3" s="2208" t="s">
        <v>1114</v>
      </c>
      <c r="B3" s="2209"/>
      <c r="C3" s="2197"/>
      <c r="D3" s="2198"/>
      <c r="E3" s="2198"/>
      <c r="F3" s="2199"/>
    </row>
    <row r="4" spans="1:7" ht="12.75" customHeight="1" thickBot="1" x14ac:dyDescent="0.25">
      <c r="A4" s="2206" t="s">
        <v>630</v>
      </c>
      <c r="B4" s="2207"/>
      <c r="C4" s="581"/>
      <c r="D4" s="581"/>
      <c r="E4" s="581"/>
      <c r="F4" s="1754">
        <f>SUM(C4+D4)-E4</f>
        <v>0</v>
      </c>
    </row>
    <row r="5" spans="1:7" ht="15.75" customHeight="1" thickTop="1" x14ac:dyDescent="0.2">
      <c r="A5" s="2191" t="s">
        <v>1110</v>
      </c>
      <c r="B5" s="2192"/>
      <c r="C5" s="2200"/>
      <c r="D5" s="2201"/>
      <c r="E5" s="2201"/>
      <c r="F5" s="2202"/>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3" t="s">
        <v>631</v>
      </c>
      <c r="B15" s="2194"/>
      <c r="C15" s="1754">
        <f>SUM(C6:C14)</f>
        <v>0</v>
      </c>
      <c r="D15" s="1754">
        <f>SUM(D6:D14)</f>
        <v>0</v>
      </c>
      <c r="E15" s="1754">
        <f>SUM(E6:E14)</f>
        <v>0</v>
      </c>
      <c r="F15" s="1754">
        <f>SUM(F6:F14)</f>
        <v>0</v>
      </c>
      <c r="G15" s="552"/>
    </row>
    <row r="16" spans="1:7" s="202" customFormat="1" ht="15.75" customHeight="1" thickTop="1" x14ac:dyDescent="0.2">
      <c r="A16" s="2203" t="s">
        <v>1111</v>
      </c>
      <c r="B16" s="2192"/>
      <c r="C16" s="2200"/>
      <c r="D16" s="2201"/>
      <c r="E16" s="2201"/>
      <c r="F16" s="2202"/>
    </row>
    <row r="17" spans="1:11" ht="12.75" customHeight="1" thickBot="1" x14ac:dyDescent="0.25">
      <c r="A17" s="2216" t="s">
        <v>64</v>
      </c>
      <c r="B17" s="2217"/>
      <c r="C17" s="726"/>
      <c r="D17" s="585"/>
      <c r="E17" s="726"/>
      <c r="F17" s="1754">
        <f>SUM(C17+D17)-E17</f>
        <v>0</v>
      </c>
    </row>
    <row r="18" spans="1:11" ht="12.75" customHeight="1" thickTop="1" thickBot="1" x14ac:dyDescent="0.25">
      <c r="A18" s="2216" t="s">
        <v>6</v>
      </c>
      <c r="B18" s="2217"/>
      <c r="C18" s="726"/>
      <c r="D18" s="585"/>
      <c r="E18" s="726"/>
      <c r="F18" s="1754">
        <f>SUM(C18+D18)-E18</f>
        <v>0</v>
      </c>
    </row>
    <row r="19" spans="1:11" ht="12.75" customHeight="1" thickTop="1" thickBot="1" x14ac:dyDescent="0.25">
      <c r="A19" s="2216" t="s">
        <v>388</v>
      </c>
      <c r="B19" s="2217"/>
      <c r="C19" s="726"/>
      <c r="D19" s="585"/>
      <c r="E19" s="726"/>
      <c r="F19" s="1754">
        <f>SUM(C19+D19)-E19</f>
        <v>0</v>
      </c>
    </row>
    <row r="20" spans="1:11" ht="12.75" customHeight="1" thickTop="1" thickBot="1" x14ac:dyDescent="0.25">
      <c r="A20" s="2216" t="s">
        <v>448</v>
      </c>
      <c r="B20" s="2217"/>
      <c r="C20" s="726"/>
      <c r="D20" s="585"/>
      <c r="E20" s="726"/>
      <c r="F20" s="1754">
        <f>SUM(C20+D20)-E20</f>
        <v>0</v>
      </c>
    </row>
    <row r="21" spans="1:11" ht="14.25" thickTop="1" thickBot="1" x14ac:dyDescent="0.25">
      <c r="A21" s="2193" t="s">
        <v>632</v>
      </c>
      <c r="B21" s="2194"/>
      <c r="C21" s="1754">
        <f>SUM(C17:C20)</f>
        <v>0</v>
      </c>
      <c r="D21" s="1754">
        <f>SUM(D17:D20)</f>
        <v>0</v>
      </c>
      <c r="E21" s="1754">
        <f>SUM(E17:E20)</f>
        <v>0</v>
      </c>
      <c r="F21" s="1754">
        <f>SUM(F17:F20)</f>
        <v>0</v>
      </c>
      <c r="G21" s="552"/>
    </row>
    <row r="22" spans="1:11" ht="15.75" customHeight="1" thickTop="1" x14ac:dyDescent="0.2">
      <c r="A22" s="2218" t="s">
        <v>1112</v>
      </c>
      <c r="B22" s="2192"/>
      <c r="C22" s="2200"/>
      <c r="D22" s="2201"/>
      <c r="E22" s="2201"/>
      <c r="F22" s="2202"/>
    </row>
    <row r="23" spans="1:11" ht="13.5" thickBot="1" x14ac:dyDescent="0.25">
      <c r="A23" s="2206" t="s">
        <v>633</v>
      </c>
      <c r="B23" s="2207"/>
      <c r="C23" s="581"/>
      <c r="D23" s="581"/>
      <c r="E23" s="581"/>
      <c r="F23" s="1754">
        <f>SUM(C23+D23)-E23</f>
        <v>0</v>
      </c>
      <c r="G23" s="552"/>
    </row>
    <row r="24" spans="1:11" ht="15.75" customHeight="1" thickTop="1" x14ac:dyDescent="0.2">
      <c r="A24" s="2218" t="s">
        <v>1113</v>
      </c>
      <c r="B24" s="2192"/>
      <c r="C24" s="2200"/>
      <c r="D24" s="2201"/>
      <c r="E24" s="2201"/>
      <c r="F24" s="2202"/>
    </row>
    <row r="25" spans="1:11" ht="13.5" thickBot="1" x14ac:dyDescent="0.25">
      <c r="A25" s="2206" t="s">
        <v>634</v>
      </c>
      <c r="B25" s="2207"/>
      <c r="C25" s="581"/>
      <c r="D25" s="581"/>
      <c r="E25" s="581"/>
      <c r="F25" s="1754">
        <f>SUM(C25+D25)-E25</f>
        <v>0</v>
      </c>
      <c r="G25" s="552"/>
    </row>
    <row r="26" spans="1:11" ht="15.75" customHeight="1" thickTop="1" x14ac:dyDescent="0.2">
      <c r="A26" s="2191" t="s">
        <v>657</v>
      </c>
      <c r="B26" s="2192"/>
      <c r="C26" s="727"/>
      <c r="D26" s="727"/>
      <c r="E26" s="727"/>
      <c r="F26" s="728"/>
    </row>
    <row r="27" spans="1:11" ht="13.5" thickBot="1" x14ac:dyDescent="0.25">
      <c r="A27" s="2193" t="s">
        <v>1070</v>
      </c>
      <c r="B27" s="2194"/>
      <c r="C27" s="585"/>
      <c r="D27" s="585"/>
      <c r="E27" s="585"/>
      <c r="F27" s="1754">
        <f>SUM(C27+D27)-E27</f>
        <v>0</v>
      </c>
      <c r="G27" s="552"/>
    </row>
    <row r="28" spans="1:11" ht="7.5" customHeight="1" thickTop="1" x14ac:dyDescent="0.2">
      <c r="A28" s="593"/>
    </row>
    <row r="29" spans="1:11" ht="23.25" customHeight="1" x14ac:dyDescent="0.2">
      <c r="A29" s="2219" t="s">
        <v>582</v>
      </c>
      <c r="B29" s="2196"/>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0</v>
      </c>
      <c r="D49" s="745"/>
      <c r="E49" s="1755">
        <f t="shared" ref="E49:J49" si="2">SUM(E31:E48)</f>
        <v>0</v>
      </c>
      <c r="F49" s="1755">
        <f t="shared" si="2"/>
        <v>0</v>
      </c>
      <c r="G49" s="1755">
        <f t="shared" si="2"/>
        <v>0</v>
      </c>
      <c r="H49" s="1755">
        <f t="shared" si="2"/>
        <v>0</v>
      </c>
      <c r="I49" s="1755">
        <f t="shared" si="2"/>
        <v>0</v>
      </c>
      <c r="J49" s="1755">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10" t="s">
        <v>584</v>
      </c>
      <c r="C52" s="2211"/>
      <c r="D52" s="2211"/>
      <c r="E52" s="749" t="s">
        <v>845</v>
      </c>
      <c r="F52" s="2212"/>
      <c r="G52" s="2213"/>
      <c r="H52" s="736"/>
      <c r="I52" s="736"/>
      <c r="J52" s="746"/>
    </row>
    <row r="53" spans="1:11" ht="11.25" customHeight="1" x14ac:dyDescent="0.2">
      <c r="A53" s="750" t="s">
        <v>913</v>
      </c>
      <c r="B53" s="751" t="s">
        <v>951</v>
      </c>
      <c r="C53" s="746"/>
      <c r="D53" s="737"/>
      <c r="E53" s="749" t="s">
        <v>497</v>
      </c>
      <c r="F53" s="2214"/>
      <c r="G53" s="2215"/>
      <c r="H53" s="736"/>
      <c r="I53" s="736"/>
      <c r="J53" s="746"/>
    </row>
    <row r="54" spans="1:11" ht="11.25" customHeight="1" x14ac:dyDescent="0.2">
      <c r="A54" s="752" t="s">
        <v>914</v>
      </c>
      <c r="B54" s="747" t="s">
        <v>952</v>
      </c>
      <c r="C54" s="746"/>
      <c r="D54" s="737"/>
      <c r="E54" s="749" t="s">
        <v>498</v>
      </c>
      <c r="F54" s="2214"/>
      <c r="G54" s="221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2" colorId="8" zoomScaleNormal="10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856</v>
      </c>
      <c r="B1" s="2245"/>
      <c r="C1" s="2245"/>
      <c r="D1" s="2245"/>
      <c r="E1" s="2245"/>
      <c r="F1" s="2245"/>
      <c r="G1" s="2246"/>
      <c r="H1" s="1529"/>
      <c r="I1" s="760"/>
      <c r="J1" s="433"/>
    </row>
    <row r="2" spans="1:11" ht="26.25" x14ac:dyDescent="0.2">
      <c r="A2" s="2223" t="s">
        <v>1677</v>
      </c>
      <c r="B2" s="2224"/>
      <c r="C2" s="2224"/>
      <c r="D2" s="2224"/>
      <c r="E2" s="2225"/>
      <c r="F2" s="761" t="s">
        <v>904</v>
      </c>
      <c r="G2" s="762" t="s">
        <v>1674</v>
      </c>
      <c r="H2" s="762" t="s">
        <v>410</v>
      </c>
      <c r="I2" s="762" t="s">
        <v>1158</v>
      </c>
      <c r="J2" s="762" t="s">
        <v>1812</v>
      </c>
      <c r="K2" s="762" t="s">
        <v>138</v>
      </c>
    </row>
    <row r="3" spans="1:11" x14ac:dyDescent="0.2">
      <c r="A3" s="2226" t="s">
        <v>1964</v>
      </c>
      <c r="B3" s="2227"/>
      <c r="C3" s="2227"/>
      <c r="D3" s="2227"/>
      <c r="E3" s="2228"/>
      <c r="F3" s="763"/>
      <c r="G3" s="764"/>
      <c r="H3" s="764"/>
      <c r="I3" s="764"/>
      <c r="J3" s="765"/>
      <c r="K3" s="765"/>
    </row>
    <row r="4" spans="1:11" x14ac:dyDescent="0.2">
      <c r="A4" s="2229" t="s">
        <v>369</v>
      </c>
      <c r="B4" s="2230"/>
      <c r="C4" s="2230"/>
      <c r="D4" s="2230"/>
      <c r="E4" s="2211"/>
      <c r="F4" s="766"/>
      <c r="G4" s="767"/>
      <c r="H4" s="768"/>
      <c r="I4" s="767"/>
      <c r="J4" s="769"/>
      <c r="K4" s="769"/>
    </row>
    <row r="5" spans="1:11" x14ac:dyDescent="0.2">
      <c r="A5" s="2247" t="s">
        <v>1069</v>
      </c>
      <c r="B5" s="2220"/>
      <c r="C5" s="2220"/>
      <c r="D5" s="2220"/>
      <c r="E5" s="2248"/>
      <c r="F5" s="770" t="s">
        <v>848</v>
      </c>
      <c r="G5" s="771"/>
      <c r="H5" s="764">
        <v>5090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7" t="s">
        <v>1813</v>
      </c>
      <c r="B10" s="2220"/>
      <c r="C10" s="2220"/>
      <c r="D10" s="2220"/>
      <c r="E10" s="2249"/>
      <c r="F10" s="783" t="s">
        <v>862</v>
      </c>
      <c r="G10" s="782"/>
      <c r="H10" s="784"/>
      <c r="I10" s="764"/>
      <c r="J10" s="765"/>
      <c r="K10" s="765"/>
    </row>
    <row r="11" spans="1:11" x14ac:dyDescent="0.2">
      <c r="A11" s="2247" t="s">
        <v>160</v>
      </c>
      <c r="B11" s="2220"/>
      <c r="C11" s="2220"/>
      <c r="D11" s="2220"/>
      <c r="E11" s="2248"/>
      <c r="F11" s="770" t="s">
        <v>852</v>
      </c>
      <c r="G11" s="771"/>
      <c r="H11" s="764"/>
      <c r="I11" s="764"/>
      <c r="J11" s="765"/>
      <c r="K11" s="773"/>
    </row>
    <row r="12" spans="1:11" ht="13.5" thickBot="1" x14ac:dyDescent="0.25">
      <c r="A12" s="2237" t="s">
        <v>905</v>
      </c>
      <c r="B12" s="2238"/>
      <c r="C12" s="2238"/>
      <c r="D12" s="2238"/>
      <c r="E12" s="2239"/>
      <c r="F12" s="1756"/>
      <c r="G12" s="1757">
        <f>SUM(G5:G11)</f>
        <v>0</v>
      </c>
      <c r="H12" s="1757">
        <f>SUM(H5:H11)</f>
        <v>5090</v>
      </c>
      <c r="I12" s="1757">
        <f>SUM(I5:I11)</f>
        <v>0</v>
      </c>
      <c r="J12" s="1757">
        <f>SUM(J5:J11)</f>
        <v>0</v>
      </c>
      <c r="K12" s="1757">
        <f>SUM(K5:K11)</f>
        <v>0</v>
      </c>
    </row>
    <row r="13" spans="1:11" ht="13.5" thickTop="1" x14ac:dyDescent="0.2">
      <c r="A13" s="2231" t="s">
        <v>370</v>
      </c>
      <c r="B13" s="2232"/>
      <c r="C13" s="2232"/>
      <c r="D13" s="2232"/>
      <c r="E13" s="2233"/>
      <c r="F13" s="785"/>
      <c r="G13" s="786"/>
      <c r="H13" s="787"/>
      <c r="I13" s="788"/>
      <c r="J13" s="788"/>
      <c r="K13" s="788"/>
    </row>
    <row r="14" spans="1:11" x14ac:dyDescent="0.2">
      <c r="A14" s="2253" t="s">
        <v>456</v>
      </c>
      <c r="B14" s="2253"/>
      <c r="C14" s="2253"/>
      <c r="D14" s="2253"/>
      <c r="E14" s="2254"/>
      <c r="F14" s="789" t="s">
        <v>854</v>
      </c>
      <c r="G14" s="782"/>
      <c r="H14" s="764">
        <v>5090</v>
      </c>
      <c r="I14" s="771"/>
      <c r="J14" s="773"/>
      <c r="K14" s="765"/>
    </row>
    <row r="15" spans="1:11" x14ac:dyDescent="0.2">
      <c r="A15" s="2220" t="s">
        <v>4</v>
      </c>
      <c r="B15" s="2220"/>
      <c r="C15" s="2220"/>
      <c r="D15" s="2220"/>
      <c r="E15" s="2248"/>
      <c r="F15" s="789" t="s">
        <v>855</v>
      </c>
      <c r="G15" s="771"/>
      <c r="H15" s="764"/>
      <c r="I15" s="764"/>
      <c r="J15" s="765"/>
      <c r="K15" s="765"/>
    </row>
    <row r="16" spans="1:11" x14ac:dyDescent="0.2">
      <c r="A16" s="2220" t="s">
        <v>298</v>
      </c>
      <c r="B16" s="2220"/>
      <c r="C16" s="2220"/>
      <c r="D16" s="2220"/>
      <c r="E16" s="2248"/>
      <c r="F16" s="789" t="s">
        <v>923</v>
      </c>
      <c r="G16" s="772"/>
      <c r="H16" s="767"/>
      <c r="I16" s="767"/>
      <c r="J16" s="769"/>
      <c r="K16" s="769"/>
    </row>
    <row r="17" spans="1:11" x14ac:dyDescent="0.2">
      <c r="A17" s="2242" t="s">
        <v>935</v>
      </c>
      <c r="B17" s="2242"/>
      <c r="C17" s="2242"/>
      <c r="D17" s="2242"/>
      <c r="E17" s="2243"/>
      <c r="F17" s="790"/>
      <c r="G17" s="791"/>
      <c r="H17" s="792"/>
      <c r="I17" s="792"/>
      <c r="J17" s="793"/>
      <c r="K17" s="794"/>
    </row>
    <row r="18" spans="1:11" x14ac:dyDescent="0.2">
      <c r="A18" s="2234" t="s">
        <v>368</v>
      </c>
      <c r="B18" s="2235"/>
      <c r="C18" s="2235"/>
      <c r="D18" s="2235"/>
      <c r="E18" s="2236"/>
      <c r="F18" s="789" t="s">
        <v>932</v>
      </c>
      <c r="G18" s="782"/>
      <c r="H18" s="782"/>
      <c r="I18" s="782"/>
      <c r="J18" s="765"/>
      <c r="K18" s="795"/>
    </row>
    <row r="19" spans="1:11" ht="21.75" customHeight="1" x14ac:dyDescent="0.2">
      <c r="A19" s="2255" t="s">
        <v>1809</v>
      </c>
      <c r="B19" s="2255"/>
      <c r="C19" s="2255"/>
      <c r="D19" s="2255"/>
      <c r="E19" s="2256"/>
      <c r="F19" s="789" t="s">
        <v>933</v>
      </c>
      <c r="G19" s="782"/>
      <c r="H19" s="782"/>
      <c r="I19" s="782"/>
      <c r="J19" s="765"/>
      <c r="K19" s="795"/>
    </row>
    <row r="20" spans="1:11" x14ac:dyDescent="0.2">
      <c r="A20" s="2234" t="s">
        <v>1814</v>
      </c>
      <c r="B20" s="2235"/>
      <c r="C20" s="2235"/>
      <c r="D20" s="2235"/>
      <c r="E20" s="2236"/>
      <c r="F20" s="789" t="s">
        <v>934</v>
      </c>
      <c r="G20" s="782"/>
      <c r="H20" s="782"/>
      <c r="I20" s="782"/>
      <c r="J20" s="765"/>
      <c r="K20" s="795"/>
    </row>
    <row r="21" spans="1:11" ht="13.5" thickBot="1" x14ac:dyDescent="0.25">
      <c r="A21" s="2240" t="s">
        <v>638</v>
      </c>
      <c r="B21" s="2240"/>
      <c r="C21" s="2240"/>
      <c r="D21" s="2240"/>
      <c r="E21" s="2240"/>
      <c r="F21" s="1758"/>
      <c r="G21" s="792"/>
      <c r="H21" s="796"/>
      <c r="I21" s="796"/>
      <c r="J21" s="1759">
        <f>SUM(J18:J20)</f>
        <v>0</v>
      </c>
      <c r="K21" s="793"/>
    </row>
    <row r="22" spans="1:11" ht="13.5" thickTop="1" x14ac:dyDescent="0.2">
      <c r="A22" s="2220" t="s">
        <v>1815</v>
      </c>
      <c r="B22" s="2220"/>
      <c r="C22" s="2220"/>
      <c r="D22" s="2220"/>
      <c r="E22" s="2248"/>
      <c r="F22" s="789" t="s">
        <v>862</v>
      </c>
      <c r="G22" s="782"/>
      <c r="H22" s="764"/>
      <c r="I22" s="764"/>
      <c r="J22" s="797"/>
      <c r="K22" s="765"/>
    </row>
    <row r="23" spans="1:11" ht="13.5" thickBot="1" x14ac:dyDescent="0.25">
      <c r="A23" s="2241" t="s">
        <v>906</v>
      </c>
      <c r="B23" s="2240"/>
      <c r="C23" s="2240"/>
      <c r="D23" s="2240"/>
      <c r="E23" s="2240"/>
      <c r="F23" s="1760"/>
      <c r="G23" s="1757">
        <f>SUM(G14:G16,G21,G22)</f>
        <v>0</v>
      </c>
      <c r="H23" s="1757">
        <f>SUM(H14:H16,H21,H22)</f>
        <v>5090</v>
      </c>
      <c r="I23" s="1757">
        <f>SUM(I14:I16,I21,I22)</f>
        <v>0</v>
      </c>
      <c r="J23" s="1757">
        <f>SUM(J14:J16,J21,J22)</f>
        <v>0</v>
      </c>
      <c r="K23" s="1757">
        <f>SUM(K14:K16,K21,K22)</f>
        <v>0</v>
      </c>
    </row>
    <row r="24" spans="1:11" ht="14.25" thickTop="1" thickBot="1" x14ac:dyDescent="0.25">
      <c r="A24" s="2241" t="s">
        <v>1965</v>
      </c>
      <c r="B24" s="2240"/>
      <c r="C24" s="2240"/>
      <c r="D24" s="2240"/>
      <c r="E24" s="2240"/>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t="s">
        <v>2065</v>
      </c>
      <c r="E30" s="808" t="s">
        <v>768</v>
      </c>
      <c r="F30" s="202"/>
      <c r="G30" s="805"/>
    </row>
    <row r="31" spans="1:11" x14ac:dyDescent="0.2">
      <c r="A31" s="809"/>
      <c r="D31" s="237"/>
      <c r="E31" s="810" t="s">
        <v>769</v>
      </c>
      <c r="F31" s="811" t="s">
        <v>539</v>
      </c>
      <c r="G31" s="764"/>
      <c r="H31" s="2250"/>
      <c r="I31" s="2251"/>
      <c r="J31" s="2251"/>
      <c r="K31" s="2251"/>
    </row>
    <row r="32" spans="1:11" x14ac:dyDescent="0.2">
      <c r="A32" s="809"/>
      <c r="B32" s="237"/>
      <c r="C32" s="237"/>
      <c r="D32" s="237"/>
      <c r="E32" s="805"/>
      <c r="F32" s="811" t="s">
        <v>540</v>
      </c>
      <c r="G32" s="764"/>
      <c r="H32" s="2252"/>
      <c r="I32" s="2251"/>
      <c r="J32" s="2251"/>
      <c r="K32" s="2251"/>
    </row>
    <row r="33" spans="1:11" ht="1.5" customHeight="1" x14ac:dyDescent="0.2">
      <c r="A33" s="812" t="s">
        <v>1169</v>
      </c>
      <c r="B33" s="364"/>
      <c r="C33" s="364"/>
      <c r="D33" s="364"/>
      <c r="E33" s="364"/>
      <c r="F33" s="364"/>
      <c r="G33" s="813"/>
      <c r="H33" s="2252"/>
      <c r="I33" s="2251"/>
      <c r="J33" s="2251"/>
      <c r="K33" s="225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21"/>
      <c r="C41" s="2221"/>
      <c r="D41" s="2221"/>
      <c r="E41" s="2221"/>
      <c r="F41" s="222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90" zoomScaleNormal="90" workbookViewId="0">
      <selection activeCell="C12" sqref="C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1909</v>
      </c>
      <c r="B1" s="2260"/>
      <c r="C1" s="2261"/>
      <c r="D1" s="826"/>
      <c r="E1" s="827"/>
      <c r="F1" s="827"/>
      <c r="G1" s="828"/>
      <c r="H1" s="829"/>
      <c r="I1" s="830"/>
      <c r="J1" s="2257"/>
      <c r="K1" s="2258"/>
      <c r="L1" s="2258"/>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11979</v>
      </c>
      <c r="D5" s="841"/>
      <c r="E5" s="841"/>
      <c r="F5" s="1759">
        <f>(C5+D5)-E5</f>
        <v>11979</v>
      </c>
      <c r="G5" s="837"/>
      <c r="H5" s="842"/>
      <c r="I5" s="842"/>
      <c r="J5" s="842"/>
      <c r="K5" s="793"/>
      <c r="L5" s="1768">
        <f>F5-K5</f>
        <v>11979</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1747544</v>
      </c>
      <c r="D8" s="844"/>
      <c r="E8" s="844"/>
      <c r="F8" s="1759">
        <f>(C8+D8)-E8</f>
        <v>1747544</v>
      </c>
      <c r="G8" s="843">
        <v>50</v>
      </c>
      <c r="H8" s="765">
        <v>909293.01</v>
      </c>
      <c r="I8" s="765">
        <v>34950.879999999997</v>
      </c>
      <c r="J8" s="765"/>
      <c r="K8" s="1768">
        <f>(H8+I8)-J8</f>
        <v>944243.89</v>
      </c>
      <c r="L8" s="1768">
        <f>F8-K8</f>
        <v>803300.11</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293543</v>
      </c>
      <c r="D10" s="846"/>
      <c r="E10" s="846"/>
      <c r="F10" s="1763">
        <f>(C10+D10)-E10</f>
        <v>293543</v>
      </c>
      <c r="G10" s="843">
        <v>20</v>
      </c>
      <c r="H10" s="847">
        <v>70780.789999999994</v>
      </c>
      <c r="I10" s="847">
        <v>12219.8</v>
      </c>
      <c r="J10" s="847"/>
      <c r="K10" s="1768">
        <f>(H10+I10)-J10</f>
        <v>83000.59</v>
      </c>
      <c r="L10" s="1768">
        <f>F10-K10</f>
        <v>210542.41</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123777</v>
      </c>
      <c r="D12" s="844"/>
      <c r="E12" s="844"/>
      <c r="F12" s="1759">
        <f>(C12+D12)-E12</f>
        <v>123777</v>
      </c>
      <c r="G12" s="843">
        <v>10</v>
      </c>
      <c r="H12" s="765">
        <v>85300.03</v>
      </c>
      <c r="I12" s="765">
        <v>5423.32</v>
      </c>
      <c r="J12" s="765"/>
      <c r="K12" s="1768">
        <f>(H12+I12)-J12</f>
        <v>90723.35</v>
      </c>
      <c r="L12" s="1768">
        <f>F12-K12</f>
        <v>33053.649999999994</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2176843</v>
      </c>
      <c r="D16" s="1759">
        <f>SUM(D3,D5:D6,D8:D10,D12:D15)</f>
        <v>0</v>
      </c>
      <c r="E16" s="1759">
        <f>SUM(E3,E5:E6,E8:E10,E12:E15)</f>
        <v>0</v>
      </c>
      <c r="F16" s="1759">
        <f>SUM(F3,F5:F6,F8:F10,F12:F15)</f>
        <v>2176843</v>
      </c>
      <c r="G16" s="843"/>
      <c r="H16" s="1759">
        <f>SUM(H3,H6,H8:H10,H12:H14,)</f>
        <v>1065373.83</v>
      </c>
      <c r="I16" s="1759">
        <f>SUM(I3,I6,I8:I10,I12:I14,)</f>
        <v>52593.999999999993</v>
      </c>
      <c r="J16" s="1759">
        <f>SUM(J3,J6,J8:J10,J12:J14,)</f>
        <v>0</v>
      </c>
      <c r="K16" s="1759">
        <f>(H16+I16)-J16</f>
        <v>1117967.83</v>
      </c>
      <c r="L16" s="1759">
        <f>F16-K16</f>
        <v>1058875.17</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52593.999999999993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Normal="100" workbookViewId="0">
      <pane ySplit="5" topLeftCell="A163"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1975</v>
      </c>
      <c r="B1" s="2266"/>
      <c r="C1" s="2266"/>
      <c r="D1" s="2266"/>
      <c r="E1" s="2266"/>
      <c r="F1" s="2267"/>
      <c r="G1" s="855"/>
    </row>
    <row r="2" spans="1:7" ht="15" customHeight="1" thickBot="1" x14ac:dyDescent="0.25">
      <c r="A2" s="2268" t="s">
        <v>477</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788735</v>
      </c>
      <c r="G8" s="865"/>
    </row>
    <row r="9" spans="1:7" x14ac:dyDescent="0.2">
      <c r="A9" s="869" t="s">
        <v>460</v>
      </c>
      <c r="B9" s="870" t="s">
        <v>1877</v>
      </c>
      <c r="C9" s="871"/>
      <c r="D9" s="869" t="s">
        <v>501</v>
      </c>
      <c r="E9" s="868"/>
      <c r="F9" s="1908">
        <f>'Expenditures 15-22'!K151</f>
        <v>125396</v>
      </c>
      <c r="G9" s="872"/>
    </row>
    <row r="10" spans="1:7" x14ac:dyDescent="0.2">
      <c r="A10" s="869" t="s">
        <v>499</v>
      </c>
      <c r="B10" s="870" t="s">
        <v>1878</v>
      </c>
      <c r="C10" s="871"/>
      <c r="D10" s="869" t="s">
        <v>501</v>
      </c>
      <c r="E10" s="868"/>
      <c r="F10" s="1908">
        <f>'Expenditures 15-22'!K174</f>
        <v>0</v>
      </c>
      <c r="G10" s="872"/>
    </row>
    <row r="11" spans="1:7" x14ac:dyDescent="0.2">
      <c r="A11" s="869" t="s">
        <v>461</v>
      </c>
      <c r="B11" s="870" t="s">
        <v>1879</v>
      </c>
      <c r="C11" s="871"/>
      <c r="D11" s="869" t="s">
        <v>501</v>
      </c>
      <c r="E11" s="868"/>
      <c r="F11" s="1908">
        <f>'Expenditures 15-22'!K210</f>
        <v>56457</v>
      </c>
      <c r="G11" s="872"/>
    </row>
    <row r="12" spans="1:7" x14ac:dyDescent="0.2">
      <c r="A12" s="869" t="s">
        <v>462</v>
      </c>
      <c r="B12" s="870" t="s">
        <v>1880</v>
      </c>
      <c r="C12" s="871"/>
      <c r="D12" s="869" t="s">
        <v>501</v>
      </c>
      <c r="E12" s="868"/>
      <c r="F12" s="1908">
        <f>'Expenditures 15-22'!K295</f>
        <v>27460</v>
      </c>
      <c r="G12" s="872"/>
    </row>
    <row r="13" spans="1:7" x14ac:dyDescent="0.2">
      <c r="A13" s="869" t="s">
        <v>106</v>
      </c>
      <c r="B13" s="870" t="s">
        <v>1881</v>
      </c>
      <c r="C13" s="871"/>
      <c r="D13" s="869" t="s">
        <v>501</v>
      </c>
      <c r="E13" s="868"/>
      <c r="F13" s="1908">
        <f>'Expenditures 15-22'!K342</f>
        <v>119654</v>
      </c>
      <c r="G13" s="873"/>
    </row>
    <row r="14" spans="1:7" ht="12" customHeight="1" thickBot="1" x14ac:dyDescent="0.25">
      <c r="A14" s="1769"/>
      <c r="B14" s="1770"/>
      <c r="C14" s="1771"/>
      <c r="D14" s="1772" t="s">
        <v>501</v>
      </c>
      <c r="E14" s="1773" t="s">
        <v>958</v>
      </c>
      <c r="F14" s="1774">
        <f>SUM(F8:F13)</f>
        <v>1117702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3">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2002</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2">
        <f>'Expenditures 15-22'!K102</f>
        <v>71298</v>
      </c>
      <c r="G53" s="865"/>
    </row>
    <row r="54" spans="1:7" x14ac:dyDescent="0.2">
      <c r="A54" s="869" t="s">
        <v>459</v>
      </c>
      <c r="B54" s="869" t="s">
        <v>1476</v>
      </c>
      <c r="C54" s="889" t="s">
        <v>982</v>
      </c>
      <c r="D54" s="885" t="s">
        <v>1095</v>
      </c>
      <c r="E54" s="868"/>
      <c r="F54" s="1912">
        <f>'Expenditures 15-22'!G114</f>
        <v>1843</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2">
        <f>'Expenditures 15-22'!K139</f>
        <v>0</v>
      </c>
      <c r="G57" s="865"/>
    </row>
    <row r="58" spans="1:7" x14ac:dyDescent="0.2">
      <c r="A58" s="869" t="s">
        <v>460</v>
      </c>
      <c r="B58" s="869" t="s">
        <v>1883</v>
      </c>
      <c r="C58" s="886" t="s">
        <v>982</v>
      </c>
      <c r="D58" s="885" t="s">
        <v>1095</v>
      </c>
      <c r="E58" s="868"/>
      <c r="F58" s="1914">
        <f>'Expenditures 15-22'!G151</f>
        <v>0</v>
      </c>
      <c r="G58" s="865"/>
    </row>
    <row r="59" spans="1:7" x14ac:dyDescent="0.2">
      <c r="A59" s="893" t="s">
        <v>460</v>
      </c>
      <c r="B59" s="856" t="s">
        <v>1884</v>
      </c>
      <c r="C59" s="894" t="s">
        <v>982</v>
      </c>
      <c r="D59" s="856" t="s">
        <v>291</v>
      </c>
      <c r="F59" s="1915">
        <f>'Expenditures 15-22'!I151</f>
        <v>0</v>
      </c>
      <c r="G59" s="865"/>
    </row>
    <row r="60" spans="1:7" x14ac:dyDescent="0.2">
      <c r="A60" s="893" t="s">
        <v>499</v>
      </c>
      <c r="B60" s="856" t="s">
        <v>1885</v>
      </c>
      <c r="C60" s="894">
        <v>4000</v>
      </c>
      <c r="D60" s="856" t="s">
        <v>312</v>
      </c>
      <c r="F60" s="1913">
        <f>'Expenditures 15-22'!K160</f>
        <v>0</v>
      </c>
      <c r="G60" s="865"/>
    </row>
    <row r="61" spans="1:7" x14ac:dyDescent="0.2">
      <c r="A61" s="895" t="s">
        <v>499</v>
      </c>
      <c r="B61" s="895" t="s">
        <v>1886</v>
      </c>
      <c r="C61" s="896" t="str">
        <f>'Expenditures 15-22'!B170</f>
        <v>5300</v>
      </c>
      <c r="D61" s="897" t="s">
        <v>311</v>
      </c>
      <c r="E61" s="879"/>
      <c r="F61" s="1912">
        <f>'Expenditures 15-22'!K170</f>
        <v>0</v>
      </c>
      <c r="G61" s="865"/>
    </row>
    <row r="62" spans="1:7" x14ac:dyDescent="0.2">
      <c r="A62" s="869" t="s">
        <v>461</v>
      </c>
      <c r="B62" s="869" t="s">
        <v>1887</v>
      </c>
      <c r="C62" s="886">
        <f>'Expenditures 15-22'!B185</f>
        <v>3000</v>
      </c>
      <c r="D62" s="876" t="s">
        <v>449</v>
      </c>
      <c r="E62" s="868"/>
      <c r="F62" s="1912">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1889</v>
      </c>
      <c r="C64" s="896" t="str">
        <f>'Expenditures 15-22'!B206</f>
        <v>5300</v>
      </c>
      <c r="D64" s="892" t="s">
        <v>311</v>
      </c>
      <c r="E64" s="868"/>
      <c r="F64" s="1912">
        <f>'Expenditures 15-22'!K206</f>
        <v>0</v>
      </c>
      <c r="G64" s="865"/>
    </row>
    <row r="65" spans="1:8" x14ac:dyDescent="0.2">
      <c r="A65" s="869" t="s">
        <v>461</v>
      </c>
      <c r="B65" s="869" t="s">
        <v>1890</v>
      </c>
      <c r="C65" s="886" t="s">
        <v>982</v>
      </c>
      <c r="D65" s="885" t="s">
        <v>1095</v>
      </c>
      <c r="E65" s="868"/>
      <c r="F65" s="1912">
        <f>'Expenditures 15-22'!G210</f>
        <v>30</v>
      </c>
      <c r="G65" s="865"/>
    </row>
    <row r="66" spans="1:8" x14ac:dyDescent="0.2">
      <c r="A66" s="869" t="s">
        <v>461</v>
      </c>
      <c r="B66" s="869" t="s">
        <v>1891</v>
      </c>
      <c r="C66" s="886" t="s">
        <v>982</v>
      </c>
      <c r="D66" s="885" t="s">
        <v>291</v>
      </c>
      <c r="E66" s="868"/>
      <c r="F66" s="1912">
        <f>'Expenditures 15-22'!I210</f>
        <v>0</v>
      </c>
      <c r="G66" s="865"/>
    </row>
    <row r="67" spans="1:8" x14ac:dyDescent="0.2">
      <c r="A67" s="869" t="s">
        <v>462</v>
      </c>
      <c r="B67" s="869" t="s">
        <v>1892</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1894</v>
      </c>
      <c r="C70" s="886">
        <f>'Expenditures 15-22'!B221</f>
        <v>1300</v>
      </c>
      <c r="D70" s="887" t="str">
        <f>'Expenditures 15-22'!A221</f>
        <v>Adult/Continuing Education Programs</v>
      </c>
      <c r="E70" s="868"/>
      <c r="F70" s="1912">
        <f>'Expenditures 15-22'!K221</f>
        <v>0</v>
      </c>
      <c r="G70" s="865"/>
    </row>
    <row r="71" spans="1:8" x14ac:dyDescent="0.2">
      <c r="A71" s="869" t="s">
        <v>462</v>
      </c>
      <c r="B71" s="869" t="s">
        <v>1895</v>
      </c>
      <c r="C71" s="886">
        <f>'Expenditures 15-22'!B224</f>
        <v>1600</v>
      </c>
      <c r="D71" s="887" t="str">
        <f>'Expenditures 15-22'!A224</f>
        <v>Summer School Programs</v>
      </c>
      <c r="E71" s="868"/>
      <c r="F71" s="1912">
        <f>'Expenditures 15-22'!K224</f>
        <v>0</v>
      </c>
      <c r="G71" s="865"/>
    </row>
    <row r="72" spans="1:8" x14ac:dyDescent="0.2">
      <c r="A72" s="869" t="s">
        <v>462</v>
      </c>
      <c r="B72" s="869" t="s">
        <v>1896</v>
      </c>
      <c r="C72" s="886">
        <f>'Expenditures 15-22'!B280</f>
        <v>3000</v>
      </c>
      <c r="D72" s="876" t="s">
        <v>449</v>
      </c>
      <c r="E72" s="868"/>
      <c r="F72" s="1912">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1898</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73171</v>
      </c>
      <c r="G76" s="865"/>
    </row>
    <row r="77" spans="1:8" s="893" customFormat="1" ht="12" customHeight="1" thickTop="1" thickBot="1" x14ac:dyDescent="0.25">
      <c r="A77" s="1778"/>
      <c r="B77" s="1775"/>
      <c r="C77" s="1771"/>
      <c r="D77" s="1776" t="s">
        <v>1900</v>
      </c>
      <c r="E77" s="1773"/>
      <c r="F77" s="1779">
        <f>(F14-F76)</f>
        <v>1044531</v>
      </c>
      <c r="G77" s="869"/>
    </row>
    <row r="78" spans="1:8" s="893" customFormat="1" ht="12" customHeight="1" thickTop="1" x14ac:dyDescent="0.2">
      <c r="A78" s="1780"/>
      <c r="B78" s="1775"/>
      <c r="C78" s="1771"/>
      <c r="D78" s="1776" t="s">
        <v>2062</v>
      </c>
      <c r="E78" s="1773"/>
      <c r="F78" s="898">
        <v>71.290000000000006</v>
      </c>
      <c r="G78" s="899"/>
      <c r="H78" s="869"/>
    </row>
    <row r="79" spans="1:8" s="893" customFormat="1" ht="12" customHeight="1" thickBot="1" x14ac:dyDescent="0.25">
      <c r="A79" s="1781"/>
      <c r="B79" s="1775"/>
      <c r="C79" s="1771"/>
      <c r="D79" s="1776" t="s">
        <v>1901</v>
      </c>
      <c r="E79" s="1773" t="s">
        <v>958</v>
      </c>
      <c r="F79" s="1782">
        <f>IF(F78&gt;0,F77/F78," Complete Line 78")</f>
        <v>14651.858605695046</v>
      </c>
      <c r="G79" s="869"/>
    </row>
    <row r="80" spans="1:8" s="893" customFormat="1" ht="8.25" customHeight="1" thickTop="1" x14ac:dyDescent="0.2">
      <c r="A80" s="900"/>
      <c r="B80" s="869"/>
      <c r="C80" s="871"/>
      <c r="D80" s="901"/>
      <c r="E80" s="868"/>
      <c r="F80" s="902"/>
      <c r="G80" s="869"/>
    </row>
    <row r="81" spans="1:7" s="893" customFormat="1" ht="12" thickBot="1" x14ac:dyDescent="0.25">
      <c r="A81" s="2262" t="s">
        <v>1105</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11473</v>
      </c>
      <c r="G94" s="912"/>
    </row>
    <row r="95" spans="1:7" x14ac:dyDescent="0.2">
      <c r="A95" s="908" t="s">
        <v>140</v>
      </c>
      <c r="B95" s="908" t="s">
        <v>175</v>
      </c>
      <c r="C95" s="910">
        <v>1700</v>
      </c>
      <c r="D95" s="918" t="str">
        <f>'Revenues 9-14'!A82</f>
        <v>Total District/School Activity Income</v>
      </c>
      <c r="E95" s="906"/>
      <c r="F95" s="1788">
        <f>SUM('Revenues 9-14'!C82,'Revenues 9-14'!D82)</f>
        <v>7674</v>
      </c>
      <c r="G95" s="912"/>
    </row>
    <row r="96" spans="1:7" x14ac:dyDescent="0.2">
      <c r="A96" s="908" t="s">
        <v>459</v>
      </c>
      <c r="B96" s="908" t="s">
        <v>176</v>
      </c>
      <c r="C96" s="910">
        <f>'Revenues 9-14'!B84</f>
        <v>1811</v>
      </c>
      <c r="D96" s="911" t="str">
        <f>'Revenues 9-14'!A84</f>
        <v>Rentals - Regular Textbooks</v>
      </c>
      <c r="E96" s="906"/>
      <c r="F96" s="1788">
        <f>'Revenues 9-14'!C84</f>
        <v>2713</v>
      </c>
      <c r="G96" s="912"/>
    </row>
    <row r="97" spans="1:7" x14ac:dyDescent="0.2">
      <c r="A97" s="908" t="s">
        <v>459</v>
      </c>
      <c r="B97" s="908" t="s">
        <v>177</v>
      </c>
      <c r="C97" s="910">
        <f>'Revenues 9-14'!B87</f>
        <v>1819</v>
      </c>
      <c r="D97" s="911" t="str">
        <f>'Revenues 9-14'!A87</f>
        <v>Rentals - Other (Describe &amp; Itemize)</v>
      </c>
      <c r="E97" s="906"/>
      <c r="F97" s="1788">
        <f>'Revenues 9-14'!C87</f>
        <v>358</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130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14767</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2003</v>
      </c>
      <c r="C105" s="913">
        <v>3100</v>
      </c>
      <c r="D105" s="919" t="str">
        <f>'Revenues 9-14'!A132</f>
        <v>Total Special Education</v>
      </c>
      <c r="E105" s="906"/>
      <c r="F105" s="1788">
        <f>SUM('Revenues 9-14'!C132:D132,'Revenues 9-14'!F132)</f>
        <v>2775</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257</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0</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67576</v>
      </c>
      <c r="G111" s="912"/>
    </row>
    <row r="112" spans="1:7" x14ac:dyDescent="0.2">
      <c r="A112" s="908" t="s">
        <v>459</v>
      </c>
      <c r="B112" s="908" t="s">
        <v>2010</v>
      </c>
      <c r="C112" s="920">
        <f>'Revenues 9-14'!B156</f>
        <v>3610</v>
      </c>
      <c r="D112" s="911" t="str">
        <f>'Revenues 9-14'!A156</f>
        <v>Learning Improvement - Change Grants</v>
      </c>
      <c r="E112" s="906"/>
      <c r="F112" s="1788">
        <f>'Revenues 9-14'!C156</f>
        <v>0</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6">
        <f>SUM('Revenues 9-14'!C163:G163)</f>
        <v>0</v>
      </c>
      <c r="G118" s="912"/>
    </row>
    <row r="119" spans="1:7" x14ac:dyDescent="0.2">
      <c r="A119" s="923" t="s">
        <v>504</v>
      </c>
      <c r="B119" s="923" t="s">
        <v>2017</v>
      </c>
      <c r="C119" s="924">
        <f>'Revenues 9-14'!B164</f>
        <v>3815</v>
      </c>
      <c r="D119" s="925" t="str">
        <f>'Revenues 9-14'!A164</f>
        <v>State Charter Schools</v>
      </c>
      <c r="E119" s="906"/>
      <c r="F119" s="1906">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16335</v>
      </c>
      <c r="G125" s="930"/>
    </row>
    <row r="126" spans="1:7" x14ac:dyDescent="0.2">
      <c r="A126" s="927" t="s">
        <v>668</v>
      </c>
      <c r="B126" s="927" t="s">
        <v>2024</v>
      </c>
      <c r="C126" s="932">
        <v>4300</v>
      </c>
      <c r="D126" s="933" t="str">
        <f>'Revenues 9-14'!A204</f>
        <v>Total Title I</v>
      </c>
      <c r="E126" s="906"/>
      <c r="F126" s="1788">
        <f>SUM('Revenues 9-14'!C204,'Revenues 9-14'!D204,'Revenues 9-14'!F204,'Revenues 9-14'!G204)</f>
        <v>29735</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10000</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8300</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6">
        <f>SUM('Revenues 9-14'!C259,'Revenues 9-14'!D259,'Revenues 9-14'!F259,'Revenues 9-14'!G259)</f>
        <v>5134</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6858</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1920</v>
      </c>
      <c r="C171" s="1919">
        <v>3100</v>
      </c>
      <c r="D171" s="1920" t="s">
        <v>1922</v>
      </c>
      <c r="E171" s="906"/>
      <c r="F171" s="1905">
        <v>71763.98</v>
      </c>
      <c r="G171" s="927"/>
    </row>
    <row r="172" spans="1:7" x14ac:dyDescent="0.2">
      <c r="A172" s="1917" t="s">
        <v>664</v>
      </c>
      <c r="B172" s="1918" t="s">
        <v>1920</v>
      </c>
      <c r="C172" s="1919">
        <v>3300</v>
      </c>
      <c r="D172" s="1920" t="s">
        <v>1923</v>
      </c>
      <c r="E172" s="906"/>
      <c r="F172" s="1905">
        <v>0</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255848.97999999998</v>
      </c>
    </row>
    <row r="175" spans="1:7" ht="12" customHeight="1" x14ac:dyDescent="0.2">
      <c r="A175" s="1769"/>
      <c r="B175" s="1783"/>
      <c r="C175" s="1784"/>
      <c r="D175" s="1785" t="s">
        <v>2057</v>
      </c>
      <c r="E175" s="1786"/>
      <c r="F175" s="1788">
        <f>'PCTC-OEPP 27-28'!F77-F174</f>
        <v>788682.02</v>
      </c>
    </row>
    <row r="176" spans="1:7" ht="12" customHeight="1" x14ac:dyDescent="0.2">
      <c r="A176" s="1769"/>
      <c r="B176" s="1783"/>
      <c r="C176" s="1784"/>
      <c r="D176" s="1785" t="s">
        <v>1817</v>
      </c>
      <c r="E176" s="1786"/>
      <c r="F176" s="1788">
        <f>'Cap Outlay Deprec 26'!I18</f>
        <v>52593.999999999993</v>
      </c>
    </row>
    <row r="177" spans="1:7" ht="12" customHeight="1" x14ac:dyDescent="0.2">
      <c r="A177" s="1769"/>
      <c r="B177" s="1783"/>
      <c r="C177" s="1784"/>
      <c r="D177" s="1785" t="s">
        <v>2058</v>
      </c>
      <c r="E177" s="1786"/>
      <c r="F177" s="1788">
        <f>F175+F176</f>
        <v>841276.02</v>
      </c>
    </row>
    <row r="178" spans="1:7" ht="12" customHeight="1" x14ac:dyDescent="0.2">
      <c r="A178" s="1769"/>
      <c r="B178" s="1789"/>
      <c r="C178" s="1784"/>
      <c r="D178" s="1785" t="str">
        <f>D78</f>
        <v>9 Month ADA from District Average Daily Attendance/Prior General State Aid Inquiry 2018-2019</v>
      </c>
      <c r="E178" s="1786"/>
      <c r="F178" s="1790">
        <f>'PCTC-OEPP 27-28'!F78</f>
        <v>71.290000000000006</v>
      </c>
      <c r="G178" s="930"/>
    </row>
    <row r="179" spans="1:7" ht="12" customHeight="1" thickBot="1" x14ac:dyDescent="0.25">
      <c r="A179" s="1769"/>
      <c r="B179" s="1789"/>
      <c r="C179" s="1784"/>
      <c r="D179" s="1785" t="s">
        <v>2059</v>
      </c>
      <c r="E179" s="1786" t="s">
        <v>1545</v>
      </c>
      <c r="F179" s="1791">
        <f>F177/F178</f>
        <v>11800.757750035067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B17" sqref="B17"/>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6" t="s">
        <v>1818</v>
      </c>
      <c r="B4" s="2277"/>
      <c r="C4" s="2277"/>
      <c r="D4" s="2277"/>
      <c r="E4" s="2277"/>
      <c r="F4" s="2277"/>
      <c r="G4" s="2278"/>
    </row>
    <row r="5" spans="1:7" x14ac:dyDescent="0.25">
      <c r="A5" s="2279"/>
      <c r="B5" s="2280"/>
      <c r="C5" s="2280"/>
      <c r="D5" s="2280"/>
      <c r="E5" s="2280"/>
      <c r="F5" s="2280"/>
      <c r="G5" s="2281"/>
    </row>
    <row r="6" spans="1:7" ht="18.75" x14ac:dyDescent="0.25">
      <c r="A6" s="1533" t="s">
        <v>1819</v>
      </c>
      <c r="B6" s="1534"/>
      <c r="C6" s="1534"/>
      <c r="D6" s="1534"/>
      <c r="E6" s="1534"/>
      <c r="F6" s="1534"/>
      <c r="G6" s="1535"/>
    </row>
    <row r="7" spans="1:7" ht="30.75" customHeight="1" x14ac:dyDescent="0.25">
      <c r="A7" s="2282" t="s">
        <v>1932</v>
      </c>
      <c r="B7" s="2283"/>
      <c r="C7" s="2283"/>
      <c r="D7" s="2283"/>
      <c r="E7" s="2283"/>
      <c r="F7" s="2283"/>
      <c r="G7" s="2284"/>
    </row>
    <row r="8" spans="1:7" ht="15.75" customHeight="1" x14ac:dyDescent="0.25">
      <c r="A8" s="2285" t="s">
        <v>1907</v>
      </c>
      <c r="B8" s="2286"/>
      <c r="C8" s="2286"/>
      <c r="D8" s="2286"/>
      <c r="E8" s="2286"/>
      <c r="F8" s="2286"/>
      <c r="G8" s="2287"/>
    </row>
    <row r="9" spans="1:7" ht="35.25" customHeight="1" x14ac:dyDescent="0.25">
      <c r="A9" s="2282" t="s">
        <v>1935</v>
      </c>
      <c r="B9" s="2283"/>
      <c r="C9" s="2283"/>
      <c r="D9" s="2283"/>
      <c r="E9" s="2283"/>
      <c r="F9" s="2283"/>
      <c r="G9" s="2284"/>
    </row>
    <row r="10" spans="1:7" ht="15" customHeight="1" x14ac:dyDescent="0.25">
      <c r="A10" s="1536" t="s">
        <v>1820</v>
      </c>
      <c r="B10" s="1537"/>
      <c r="C10" s="1537"/>
      <c r="D10" s="1537"/>
      <c r="E10" s="1537"/>
      <c r="F10" s="1537"/>
      <c r="G10" s="1538"/>
    </row>
    <row r="11" spans="1:7" ht="17.25" customHeight="1" x14ac:dyDescent="0.25">
      <c r="A11" s="2282" t="s">
        <v>1934</v>
      </c>
      <c r="B11" s="2283"/>
      <c r="C11" s="2283"/>
      <c r="D11" s="2283"/>
      <c r="E11" s="2283"/>
      <c r="F11" s="2283"/>
      <c r="G11" s="2284"/>
    </row>
    <row r="12" spans="1:7" ht="15" customHeight="1" x14ac:dyDescent="0.25">
      <c r="A12" s="1536" t="s">
        <v>1825</v>
      </c>
      <c r="B12" s="1537"/>
      <c r="C12" s="1537"/>
      <c r="D12" s="1537"/>
      <c r="E12" s="1537"/>
      <c r="F12" s="1537"/>
      <c r="G12" s="1538"/>
    </row>
    <row r="13" spans="1:7" ht="32.25" customHeight="1" x14ac:dyDescent="0.25">
      <c r="A13" s="2273" t="s">
        <v>1976</v>
      </c>
      <c r="B13" s="2274"/>
      <c r="C13" s="2274"/>
      <c r="D13" s="2274"/>
      <c r="E13" s="2274"/>
      <c r="F13" s="2274"/>
      <c r="G13" s="2275"/>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9" t="s">
        <v>2082</v>
      </c>
      <c r="B17" s="1938" t="s">
        <v>2083</v>
      </c>
      <c r="C17" s="1936" t="s">
        <v>2084</v>
      </c>
      <c r="D17" s="1937">
        <v>14389</v>
      </c>
      <c r="E17" s="1539">
        <f t="shared" ref="E17:E141" si="0">IF(D17&lt;=25000,D17,IF(D17&gt;25000,25000,0))</f>
        <v>14389</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2">
        <f>IF(F17=0,0,D17-F17)</f>
        <v>0</v>
      </c>
      <c r="H17" s="1646"/>
    </row>
    <row r="18" spans="1:8" x14ac:dyDescent="0.25">
      <c r="A18" s="1652"/>
      <c r="B18" s="1933"/>
      <c r="C18" s="1655"/>
      <c r="D18" s="1843"/>
      <c r="E18" s="1539">
        <f t="shared" ref="E18:E140" si="2">IF(D18&lt;=25000,D18,IF(D18&gt;25000,25000,0))</f>
        <v>0</v>
      </c>
      <c r="F18" s="1931">
        <f t="shared" si="1"/>
        <v>0</v>
      </c>
      <c r="G18" s="1792">
        <f t="shared" ref="G18:G140" si="3">IF(F18=0,0,D18-F18)</f>
        <v>0</v>
      </c>
    </row>
    <row r="19" spans="1:8" x14ac:dyDescent="0.25">
      <c r="A19" s="1652"/>
      <c r="B19" s="1933"/>
      <c r="C19" s="1655"/>
      <c r="D19" s="1843"/>
      <c r="E19" s="1539">
        <f t="shared" si="2"/>
        <v>0</v>
      </c>
      <c r="F19" s="1931">
        <f t="shared" si="1"/>
        <v>0</v>
      </c>
      <c r="G19" s="1792">
        <f t="shared" si="3"/>
        <v>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14389</v>
      </c>
      <c r="E141" s="1540">
        <f t="shared" si="0"/>
        <v>14389</v>
      </c>
      <c r="F141" s="1932">
        <f>SUM(F17:F140)</f>
        <v>0</v>
      </c>
      <c r="G141" s="1794">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8" t="s">
        <v>1679</v>
      </c>
      <c r="B5" s="2289"/>
      <c r="C5" s="2289"/>
      <c r="D5" s="2289"/>
      <c r="E5" s="2289"/>
      <c r="F5" s="2289"/>
      <c r="G5" s="229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93" t="s">
        <v>1977</v>
      </c>
      <c r="B11" s="2294"/>
      <c r="C11" s="2294"/>
      <c r="D11" s="2295"/>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517015</v>
      </c>
      <c r="F19" s="1798"/>
      <c r="G19" s="1800">
        <f>'Expenditures 15-22'!K33-SUM('Expenditures 15-22'!G33,'Expenditures 15-22'!I33)+'Expenditures 15-22'!D229</f>
        <v>517015</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25556</v>
      </c>
      <c r="F21" s="1801"/>
      <c r="G21" s="1804">
        <f>'Expenditures 15-22'!K42-SUM('Expenditures 15-22'!G42,'Expenditures 15-22'!I42)+'Expenditures 15-22'!K120-SUM('Expenditures 15-22'!G120,'Expenditures 15-22'!I120)+'Expenditures 15-22'!K180-SUM('Expenditures 15-22'!G180,'Expenditures 15-22'!I180)+'Expenditures 15-22'!D238</f>
        <v>25556</v>
      </c>
      <c r="H21" s="987"/>
      <c r="I21" s="162"/>
    </row>
    <row r="22" spans="1:9" s="668" customFormat="1" ht="12" customHeight="1" x14ac:dyDescent="0.2">
      <c r="A22" s="994" t="s">
        <v>564</v>
      </c>
      <c r="B22" s="995"/>
      <c r="C22" s="993">
        <v>2200</v>
      </c>
      <c r="D22" s="1801"/>
      <c r="E22" s="1803">
        <f>'Expenditures 15-22'!K47-SUM('Expenditures 15-22'!G47,'Expenditures 15-22'!I47)+'Expenditures 15-22'!D243</f>
        <v>6172</v>
      </c>
      <c r="F22" s="1801"/>
      <c r="G22" s="1804">
        <f>'Expenditures 15-22'!K47-SUM('Expenditures 15-22'!G47,'Expenditures 15-22'!I47)+'Expenditures 15-22'!D243</f>
        <v>6172</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205539</v>
      </c>
      <c r="F23" s="1801"/>
      <c r="G23" s="1803">
        <f>'Expenditures 15-22'!K53-SUM('Expenditures 15-22'!G53,'Expenditures 15-22'!I53)+'Expenditures 15-22'!D257+'Expenditures 15-22'!K330-SUM('Expenditures 15-22'!G330,'Expenditures 15-22'!I330)</f>
        <v>205539</v>
      </c>
      <c r="H23" s="987"/>
      <c r="I23" s="162"/>
    </row>
    <row r="24" spans="1:9" s="668" customFormat="1" ht="12" customHeight="1" x14ac:dyDescent="0.2">
      <c r="A24" s="994" t="s">
        <v>566</v>
      </c>
      <c r="B24" s="995"/>
      <c r="C24" s="993">
        <v>2400</v>
      </c>
      <c r="D24" s="1801"/>
      <c r="E24" s="1803">
        <f>'Expenditures 15-22'!K57-SUM('Expenditures 15-22'!G57,'Expenditures 15-22'!I57)+'Expenditures 15-22'!D261</f>
        <v>0</v>
      </c>
      <c r="F24" s="1801"/>
      <c r="G24" s="1804">
        <f>'Expenditures 15-22'!K57-SUM('Expenditures 15-22'!G57,'Expenditures 15-22'!I57)+'Expenditures 15-22'!D261</f>
        <v>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67029</v>
      </c>
      <c r="E27" s="1803">
        <f>E8</f>
        <v>0</v>
      </c>
      <c r="F27" s="1803">
        <f>'Expenditures 15-22'!K60-SUM('Expenditures 15-22'!G60,'Expenditures 15-22'!I60)+'Expenditures 15-22'!D264-E8</f>
        <v>67029</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126706</v>
      </c>
      <c r="F28" s="1805">
        <f>'Expenditures 15-22'!K61-SUM('Expenditures 15-22'!G61,'Expenditures 15-22'!I61)+'Expenditures 15-22'!K124-SUM('Expenditures 15-22'!G124,'Expenditures 15-22'!I124)+'Expenditures 15-22'!D266-E9</f>
        <v>126706</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60898</v>
      </c>
      <c r="F29" s="1801"/>
      <c r="G29" s="1804">
        <f>'Expenditures 15-22'!K62-SUM('Expenditures 15-22'!G62,'Expenditures 15-22'!I62)+'Expenditures 15-22'!K125-SUM('Expenditures 15-22'!G125,'Expenditures 15-22'!I125)+'Expenditures 15-22'!K182-SUM('Expenditures 15-22'!G182,'Expenditures 15-22'!I182)+'Expenditures 15-22'!D267</f>
        <v>60898</v>
      </c>
      <c r="H29" s="985"/>
    </row>
    <row r="30" spans="1:9" ht="12" customHeight="1" x14ac:dyDescent="0.2">
      <c r="A30" s="994" t="s">
        <v>100</v>
      </c>
      <c r="B30" s="997"/>
      <c r="C30" s="993">
        <v>2560</v>
      </c>
      <c r="D30" s="1801"/>
      <c r="E30" s="1803">
        <f>'Expenditures 15-22'!K63-SUM('Expenditures 15-22'!G63,'Expenditures 15-22'!I63)+'Expenditures 15-22'!D268-E10</f>
        <v>35616</v>
      </c>
      <c r="F30" s="1801"/>
      <c r="G30" s="1803">
        <f>'Expenditures 15-22'!K63-SUM('Expenditures 15-22'!G63,'Expenditures 15-22'!I63)+'Expenditures 15-22'!D268-E10</f>
        <v>35616</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29'!G141</f>
        <v>0</v>
      </c>
      <c r="F40" s="1801"/>
      <c r="G40" s="1805">
        <f>-'Contracts Paid in CY 29'!G141</f>
        <v>0</v>
      </c>
    </row>
    <row r="41" spans="1:7" ht="12" customHeight="1" x14ac:dyDescent="0.2">
      <c r="A41" s="998" t="s">
        <v>156</v>
      </c>
      <c r="B41" s="999"/>
      <c r="C41" s="1000"/>
      <c r="D41" s="1805">
        <f>SUM(D19:D39)</f>
        <v>67029</v>
      </c>
      <c r="E41" s="1805">
        <f>SUM(E19:E40)</f>
        <v>977502</v>
      </c>
      <c r="F41" s="1805">
        <f>SUM(F19:F39)</f>
        <v>193735</v>
      </c>
      <c r="G41" s="1805">
        <f>SUM(G19:G40)</f>
        <v>850796</v>
      </c>
    </row>
    <row r="42" spans="1:7" x14ac:dyDescent="0.2">
      <c r="A42" s="987"/>
      <c r="B42" s="162"/>
      <c r="C42" s="1001"/>
      <c r="D42" s="2291" t="s">
        <v>522</v>
      </c>
      <c r="E42" s="2292"/>
      <c r="F42" s="1002" t="s">
        <v>523</v>
      </c>
      <c r="G42" s="1003"/>
    </row>
    <row r="43" spans="1:7" ht="12" customHeight="1" x14ac:dyDescent="0.2">
      <c r="A43" s="987"/>
      <c r="B43" s="162"/>
      <c r="C43" s="1001"/>
      <c r="D43" s="1806" t="s">
        <v>473</v>
      </c>
      <c r="E43" s="1807">
        <f>D41</f>
        <v>67029</v>
      </c>
      <c r="F43" s="1806" t="s">
        <v>473</v>
      </c>
      <c r="G43" s="1807">
        <f>F41</f>
        <v>193735</v>
      </c>
    </row>
    <row r="44" spans="1:7" ht="12" customHeight="1" x14ac:dyDescent="0.2">
      <c r="A44" s="987"/>
      <c r="B44" s="162"/>
      <c r="C44" s="1001"/>
      <c r="D44" s="1806" t="s">
        <v>474</v>
      </c>
      <c r="E44" s="1807">
        <f>E41</f>
        <v>977502</v>
      </c>
      <c r="F44" s="1806" t="s">
        <v>474</v>
      </c>
      <c r="G44" s="1807">
        <f>G41</f>
        <v>850796</v>
      </c>
    </row>
    <row r="45" spans="1:7" ht="12" customHeight="1" x14ac:dyDescent="0.2">
      <c r="A45" s="987"/>
      <c r="B45" s="162"/>
      <c r="C45" s="162"/>
      <c r="D45" s="1808" t="s">
        <v>1006</v>
      </c>
      <c r="E45" s="1809">
        <f>(E43/E44)</f>
        <v>6.8571726707464531E-2</v>
      </c>
      <c r="F45" s="1808" t="s">
        <v>1006</v>
      </c>
      <c r="G45" s="1809">
        <f>(G43/G44)</f>
        <v>0.22771028542682381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E12" sqref="E12"/>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9" t="s">
        <v>1379</v>
      </c>
      <c r="B1" s="2299"/>
      <c r="C1" s="2299"/>
      <c r="D1" s="2299"/>
      <c r="E1" s="2299"/>
      <c r="F1" s="2299"/>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00" t="s">
        <v>1546</v>
      </c>
      <c r="B5" s="2301"/>
      <c r="C5" s="2302"/>
      <c r="D5" s="2302"/>
      <c r="E5" s="2302"/>
      <c r="F5" s="2302"/>
    </row>
    <row r="6" spans="1:10" ht="12" customHeight="1" x14ac:dyDescent="0.25">
      <c r="A6" s="1849"/>
      <c r="B6" s="1850"/>
      <c r="C6" s="2303" t="str">
        <f>COVER!A17</f>
        <v>Eswood CCSD 269</v>
      </c>
      <c r="D6" s="2303"/>
      <c r="E6" s="2303"/>
      <c r="F6" s="1851"/>
    </row>
    <row r="7" spans="1:10" ht="11.25" customHeight="1" thickBot="1" x14ac:dyDescent="0.3">
      <c r="A7" s="1849"/>
      <c r="B7" s="1850"/>
      <c r="C7" s="2304">
        <f>COVER!A13</f>
        <v>47071269004</v>
      </c>
      <c r="D7" s="2304"/>
      <c r="E7" s="2304"/>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940" t="s">
        <v>2065</v>
      </c>
      <c r="D19" s="1940" t="s">
        <v>2065</v>
      </c>
      <c r="E19" s="1942"/>
      <c r="F19" s="1941" t="s">
        <v>2085</v>
      </c>
      <c r="H19" s="1877">
        <f t="shared" si="0"/>
        <v>5</v>
      </c>
      <c r="I19" s="1877">
        <f t="shared" si="1"/>
        <v>5</v>
      </c>
      <c r="J19" s="1877">
        <f t="shared" si="2"/>
        <v>0</v>
      </c>
    </row>
    <row r="20" spans="1:12" ht="12" customHeight="1" x14ac:dyDescent="0.2">
      <c r="A20" s="1862" t="s">
        <v>1528</v>
      </c>
      <c r="B20" s="1863"/>
      <c r="C20" s="1940"/>
      <c r="D20" s="1940"/>
      <c r="E20" s="1942"/>
      <c r="F20" s="1941"/>
      <c r="H20" s="1877">
        <f t="shared" si="0"/>
        <v>0</v>
      </c>
      <c r="I20" s="1877">
        <f t="shared" si="1"/>
        <v>0</v>
      </c>
      <c r="J20" s="1877">
        <f t="shared" si="2"/>
        <v>0</v>
      </c>
    </row>
    <row r="21" spans="1:12" ht="12" customHeight="1" x14ac:dyDescent="0.2">
      <c r="A21" s="1862" t="s">
        <v>1529</v>
      </c>
      <c r="B21" s="1863"/>
      <c r="C21" s="1940"/>
      <c r="D21" s="1940"/>
      <c r="E21" s="1942"/>
      <c r="F21" s="1941"/>
      <c r="H21" s="1877">
        <f t="shared" si="0"/>
        <v>0</v>
      </c>
      <c r="I21" s="1877">
        <f t="shared" si="1"/>
        <v>0</v>
      </c>
      <c r="J21" s="1877">
        <f t="shared" si="2"/>
        <v>0</v>
      </c>
    </row>
    <row r="22" spans="1:12" ht="12" customHeight="1" x14ac:dyDescent="0.2">
      <c r="A22" s="1862" t="s">
        <v>1530</v>
      </c>
      <c r="B22" s="1863"/>
      <c r="C22" s="1940"/>
      <c r="D22" s="1940"/>
      <c r="E22" s="1942"/>
      <c r="F22" s="1941"/>
      <c r="H22" s="1877">
        <f t="shared" si="0"/>
        <v>0</v>
      </c>
      <c r="I22" s="1877">
        <f t="shared" si="1"/>
        <v>0</v>
      </c>
      <c r="J22" s="1877">
        <f t="shared" si="2"/>
        <v>0</v>
      </c>
    </row>
    <row r="23" spans="1:12" ht="12" customHeight="1" x14ac:dyDescent="0.2">
      <c r="A23" s="1862" t="s">
        <v>1531</v>
      </c>
      <c r="B23" s="1863"/>
      <c r="C23" s="1940"/>
      <c r="D23" s="1940"/>
      <c r="E23" s="1942"/>
      <c r="F23" s="1941"/>
      <c r="H23" s="1877">
        <f t="shared" si="0"/>
        <v>0</v>
      </c>
      <c r="I23" s="1877">
        <f t="shared" si="1"/>
        <v>0</v>
      </c>
      <c r="J23" s="1877">
        <f t="shared" si="2"/>
        <v>0</v>
      </c>
    </row>
    <row r="24" spans="1:12" ht="12" customHeight="1" x14ac:dyDescent="0.2">
      <c r="A24" s="1862" t="s">
        <v>1532</v>
      </c>
      <c r="B24" s="1863"/>
      <c r="C24" s="1940"/>
      <c r="D24" s="1940"/>
      <c r="E24" s="1942"/>
      <c r="F24" s="1941"/>
      <c r="H24" s="1877">
        <f t="shared" si="0"/>
        <v>0</v>
      </c>
      <c r="I24" s="1877">
        <f t="shared" si="1"/>
        <v>0</v>
      </c>
      <c r="J24" s="1877">
        <f t="shared" si="2"/>
        <v>0</v>
      </c>
    </row>
    <row r="25" spans="1:12" ht="12" customHeight="1" x14ac:dyDescent="0.2">
      <c r="A25" s="1862" t="s">
        <v>1533</v>
      </c>
      <c r="B25" s="1863"/>
      <c r="C25" s="1940"/>
      <c r="D25" s="1940"/>
      <c r="E25" s="1942"/>
      <c r="F25" s="1941"/>
      <c r="H25" s="1877">
        <f t="shared" si="0"/>
        <v>0</v>
      </c>
      <c r="I25" s="1877">
        <f t="shared" si="1"/>
        <v>0</v>
      </c>
      <c r="J25" s="1877">
        <f t="shared" si="2"/>
        <v>0</v>
      </c>
    </row>
    <row r="26" spans="1:12" ht="12" customHeight="1" x14ac:dyDescent="0.2">
      <c r="A26" s="1862" t="s">
        <v>1534</v>
      </c>
      <c r="B26" s="1863"/>
      <c r="C26" s="1940" t="s">
        <v>2065</v>
      </c>
      <c r="D26" s="1940" t="s">
        <v>2065</v>
      </c>
      <c r="E26" s="1942"/>
      <c r="F26" s="1941" t="s">
        <v>2086</v>
      </c>
      <c r="H26" s="1877">
        <f t="shared" si="0"/>
        <v>5</v>
      </c>
      <c r="I26" s="1877">
        <f t="shared" si="1"/>
        <v>5</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10</v>
      </c>
      <c r="I34" s="1877">
        <f>SUM(I11:I32)</f>
        <v>10</v>
      </c>
      <c r="J34" s="1877">
        <f>SUM(J11:J32)</f>
        <v>0</v>
      </c>
      <c r="K34" s="1877">
        <f>SUM(H34:J34)</f>
        <v>20</v>
      </c>
    </row>
    <row r="35" spans="1:11" ht="12" customHeight="1" x14ac:dyDescent="0.2">
      <c r="A35" s="1870" t="s">
        <v>1392</v>
      </c>
      <c r="B35" s="1871"/>
      <c r="C35" s="2305"/>
      <c r="D35" s="2305"/>
      <c r="E35" s="2305"/>
      <c r="F35" s="2306"/>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310"/>
      <c r="B38" s="2311"/>
      <c r="C38" s="2311"/>
      <c r="D38" s="2311"/>
      <c r="E38" s="2311"/>
      <c r="F38" s="2312"/>
    </row>
    <row r="39" spans="1:11" ht="4.5" hidden="1" customHeight="1" x14ac:dyDescent="0.2">
      <c r="A39" s="1872"/>
      <c r="B39" s="1872"/>
      <c r="C39" s="1872"/>
      <c r="D39" s="1872"/>
      <c r="E39" s="1872"/>
      <c r="F39" s="1872"/>
    </row>
    <row r="40" spans="1:11" s="1869" customFormat="1" ht="12" customHeight="1" x14ac:dyDescent="0.25">
      <c r="A40" s="1873" t="s">
        <v>1391</v>
      </c>
      <c r="B40" s="1874"/>
      <c r="C40" s="2313"/>
      <c r="D40" s="2313"/>
      <c r="E40" s="2313"/>
      <c r="F40" s="2314"/>
      <c r="H40" s="1878"/>
      <c r="I40" s="1878"/>
      <c r="J40" s="1878"/>
      <c r="K40" s="1878"/>
    </row>
    <row r="41" spans="1:11" s="1869" customFormat="1" ht="12" customHeight="1" x14ac:dyDescent="0.25">
      <c r="A41" s="2315"/>
      <c r="B41" s="2316"/>
      <c r="C41" s="2316"/>
      <c r="D41" s="2316"/>
      <c r="E41" s="2316"/>
      <c r="F41" s="2317"/>
      <c r="H41" s="1878"/>
      <c r="I41" s="1878"/>
      <c r="J41" s="1878"/>
      <c r="K41" s="1878"/>
    </row>
    <row r="42" spans="1:11" s="1869" customFormat="1" ht="12" customHeight="1" x14ac:dyDescent="0.25">
      <c r="A42" s="2315"/>
      <c r="B42" s="2316"/>
      <c r="C42" s="2316"/>
      <c r="D42" s="2316"/>
      <c r="E42" s="2316"/>
      <c r="F42" s="2317"/>
      <c r="H42" s="1878"/>
      <c r="I42" s="1878"/>
      <c r="J42" s="1878"/>
      <c r="K42" s="1878"/>
    </row>
    <row r="43" spans="1:11" s="1869" customFormat="1" ht="15" x14ac:dyDescent="0.25">
      <c r="A43" s="2307"/>
      <c r="B43" s="2308"/>
      <c r="C43" s="2308"/>
      <c r="D43" s="2308"/>
      <c r="E43" s="2308"/>
      <c r="F43" s="2309"/>
      <c r="H43" s="1878"/>
      <c r="I43" s="1878"/>
      <c r="J43" s="1878"/>
      <c r="K43" s="1878"/>
    </row>
    <row r="44" spans="1:11" s="1869" customFormat="1" ht="12" hidden="1" customHeight="1" x14ac:dyDescent="0.25">
      <c r="A44" s="2307"/>
      <c r="B44" s="2308"/>
      <c r="C44" s="2308"/>
      <c r="D44" s="2308"/>
      <c r="E44" s="2308"/>
      <c r="F44" s="2309"/>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23" t="str">
        <f>COVER!A17</f>
        <v>Eswood CCSD 269</v>
      </c>
      <c r="J6" s="2324"/>
      <c r="Q6" s="1663"/>
    </row>
    <row r="7" spans="1:17" x14ac:dyDescent="0.2">
      <c r="A7" s="2325" t="s">
        <v>869</v>
      </c>
      <c r="B7" s="2326"/>
      <c r="C7" s="2326"/>
      <c r="D7" s="2326"/>
      <c r="E7" s="2327"/>
      <c r="F7" s="1017"/>
      <c r="G7" s="1009"/>
      <c r="H7" s="1016" t="s">
        <v>372</v>
      </c>
      <c r="I7" s="2328">
        <f>COVER!A13</f>
        <v>47071269004</v>
      </c>
      <c r="J7" s="232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9" t="s">
        <v>481</v>
      </c>
      <c r="B11" s="2330"/>
      <c r="C11" s="233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80202</v>
      </c>
      <c r="F12" s="1039"/>
      <c r="G12" s="1810">
        <f t="shared" ref="G12:G18" si="0">SUM(E12:F12)</f>
        <v>80202</v>
      </c>
      <c r="H12" s="1040">
        <v>84212</v>
      </c>
      <c r="I12" s="1039"/>
      <c r="J12" s="1810">
        <f t="shared" ref="J12:J18" si="1">SUM(H12:I12)</f>
        <v>84212</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32" t="s">
        <v>7</v>
      </c>
      <c r="C18" s="2333"/>
      <c r="D18" s="2334"/>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80202</v>
      </c>
      <c r="F19" s="1812">
        <f t="shared" si="2"/>
        <v>0</v>
      </c>
      <c r="G19" s="1812">
        <f t="shared" si="2"/>
        <v>80202</v>
      </c>
      <c r="H19" s="1812">
        <f t="shared" si="2"/>
        <v>84212</v>
      </c>
      <c r="I19" s="1812">
        <f t="shared" si="2"/>
        <v>0</v>
      </c>
      <c r="J19" s="1812">
        <f t="shared" si="2"/>
        <v>84212</v>
      </c>
    </row>
    <row r="20" spans="1:10" ht="13.5" thickTop="1" x14ac:dyDescent="0.2">
      <c r="A20" s="1035">
        <v>9</v>
      </c>
      <c r="B20" s="2335" t="s">
        <v>1981</v>
      </c>
      <c r="C20" s="2335"/>
      <c r="D20" s="2336"/>
      <c r="E20" s="1046"/>
      <c r="F20" s="1046"/>
      <c r="G20" s="1046"/>
      <c r="H20" s="1046"/>
      <c r="I20" s="1046"/>
      <c r="J20" s="1813">
        <f>IF(AND(G19&gt;0,J19&gt;0),(((J19-G19)/G19)),"Enter Budget Data")</f>
        <v>4.9998753148300538E-2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1033</v>
      </c>
      <c r="D27" s="1052"/>
      <c r="E27" s="1053"/>
      <c r="F27" s="2337" t="s">
        <v>1509</v>
      </c>
      <c r="G27" s="2337"/>
    </row>
    <row r="28" spans="1:10" ht="28.5" customHeight="1" x14ac:dyDescent="0.2">
      <c r="B28" s="1047"/>
      <c r="C28" s="2339"/>
      <c r="D28" s="2339"/>
      <c r="E28" s="1054"/>
      <c r="F28" s="2339"/>
      <c r="G28" s="2339"/>
    </row>
    <row r="29" spans="1:10" x14ac:dyDescent="0.2">
      <c r="B29" s="1047"/>
      <c r="C29" s="1055" t="s">
        <v>1561</v>
      </c>
      <c r="E29" s="1056"/>
      <c r="F29" s="2338" t="s">
        <v>1510</v>
      </c>
      <c r="G29" s="233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1983</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882</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110" zoomScaleNormal="110" workbookViewId="0">
      <selection activeCell="B16" sqref="B1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944">
        <v>1</v>
      </c>
      <c r="B5" s="1945" t="s">
        <v>2091</v>
      </c>
    </row>
    <row r="6" spans="1:2" x14ac:dyDescent="0.2">
      <c r="A6" s="1944">
        <v>2</v>
      </c>
      <c r="B6" s="1945" t="s">
        <v>2087</v>
      </c>
    </row>
    <row r="7" spans="1:2" x14ac:dyDescent="0.2">
      <c r="A7" s="1944">
        <v>3</v>
      </c>
      <c r="B7" s="1945" t="s">
        <v>2088</v>
      </c>
    </row>
    <row r="8" spans="1:2" x14ac:dyDescent="0.2">
      <c r="A8" s="1944">
        <v>4</v>
      </c>
      <c r="B8" s="1943" t="s">
        <v>2092</v>
      </c>
    </row>
    <row r="9" spans="1:2" x14ac:dyDescent="0.2">
      <c r="A9" s="1944">
        <v>5</v>
      </c>
      <c r="B9" s="1943" t="s">
        <v>2093</v>
      </c>
    </row>
    <row r="10" spans="1:2" x14ac:dyDescent="0.2">
      <c r="A10" s="1944">
        <v>6</v>
      </c>
      <c r="B10" s="1945" t="s">
        <v>2089</v>
      </c>
    </row>
    <row r="11" spans="1:2" x14ac:dyDescent="0.2">
      <c r="A11" s="1944">
        <v>7</v>
      </c>
      <c r="B11" s="1945" t="s">
        <v>2090</v>
      </c>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8" t="str">
        <f>COVER!A17</f>
        <v>Eswood CCSD 269</v>
      </c>
    </row>
    <row r="64" spans="1:2" x14ac:dyDescent="0.2">
      <c r="B64" s="1069">
        <f>COVER!A13</f>
        <v>47071269004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2" sqref="C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2" t="s">
        <v>1685</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6" r:id="rId4">
          <objectPr defaultSize="0" r:id="rId5">
            <anchor moveWithCells="1">
              <from>
                <xdr:col>1</xdr:col>
                <xdr:colOff>0</xdr:colOff>
                <xdr:row>7</xdr:row>
                <xdr:rowOff>0</xdr:rowOff>
              </from>
              <to>
                <xdr:col>1</xdr:col>
                <xdr:colOff>914400</xdr:colOff>
                <xdr:row>11</xdr:row>
                <xdr:rowOff>123825</xdr:rowOff>
              </to>
            </anchor>
          </objectPr>
        </oleObject>
      </mc:Choice>
      <mc:Fallback>
        <oleObject progId="Acrobat Document" dvAspect="DVASPECT_ICON" shapeId="35846" r:id="rId4"/>
      </mc:Fallback>
    </mc:AlternateContent>
    <mc:AlternateContent xmlns:mc="http://schemas.openxmlformats.org/markup-compatibility/2006">
      <mc:Choice Requires="x14">
        <oleObject progId="Acrobat Document" dvAspect="DVASPECT_ICON" shapeId="35847" r:id="rId6">
          <objectPr defaultSize="0" r:id="rId7">
            <anchor moveWithCells="1">
              <from>
                <xdr:col>1</xdr:col>
                <xdr:colOff>28575</xdr:colOff>
                <xdr:row>0</xdr:row>
                <xdr:rowOff>85725</xdr:rowOff>
              </from>
              <to>
                <xdr:col>1</xdr:col>
                <xdr:colOff>942975</xdr:colOff>
                <xdr:row>5</xdr:row>
                <xdr:rowOff>47625</xdr:rowOff>
              </to>
            </anchor>
          </objectPr>
        </oleObject>
      </mc:Choice>
      <mc:Fallback>
        <oleObject progId="Acrobat Document" dvAspect="DVASPECT_ICON" shapeId="35847" r:id="rId6"/>
      </mc:Fallback>
    </mc:AlternateContent>
    <mc:AlternateContent xmlns:mc="http://schemas.openxmlformats.org/markup-compatibility/2006">
      <mc:Choice Requires="x14">
        <oleObject progId="Acrobat Document" dvAspect="DVASPECT_ICON" shapeId="35848" r:id="rId8">
          <objectPr defaultSize="0" r:id="rId9">
            <anchor moveWithCells="1">
              <from>
                <xdr:col>1</xdr:col>
                <xdr:colOff>1285875</xdr:colOff>
                <xdr:row>4</xdr:row>
                <xdr:rowOff>28575</xdr:rowOff>
              </from>
              <to>
                <xdr:col>1</xdr:col>
                <xdr:colOff>2200275</xdr:colOff>
                <xdr:row>8</xdr:row>
                <xdr:rowOff>152400</xdr:rowOff>
              </to>
            </anchor>
          </objectPr>
        </oleObject>
      </mc:Choice>
      <mc:Fallback>
        <oleObject progId="Acrobat Document" dvAspect="DVASPECT_ICON" shapeId="35848"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1987</v>
      </c>
      <c r="B2" s="2354"/>
      <c r="C2" s="2354"/>
      <c r="D2" s="2354"/>
      <c r="E2" s="2354"/>
      <c r="F2" s="2355"/>
      <c r="G2" s="1073"/>
      <c r="H2" s="1073"/>
    </row>
    <row r="3" spans="1:8" ht="57" customHeight="1" x14ac:dyDescent="0.2">
      <c r="A3" s="2356" t="s">
        <v>1686</v>
      </c>
      <c r="B3" s="2357"/>
      <c r="C3" s="2357"/>
      <c r="D3" s="2357"/>
      <c r="E3" s="2357"/>
      <c r="F3" s="2358"/>
      <c r="G3" s="1073"/>
      <c r="H3" s="1073"/>
    </row>
    <row r="4" spans="1:8" ht="14.25" customHeight="1" x14ac:dyDescent="0.2">
      <c r="A4" s="2362" t="s">
        <v>1988</v>
      </c>
      <c r="B4" s="2363"/>
      <c r="C4" s="2363"/>
      <c r="D4" s="2363"/>
      <c r="E4" s="2363"/>
      <c r="F4" s="2364"/>
      <c r="G4" s="1073"/>
      <c r="H4" s="1073"/>
    </row>
    <row r="5" spans="1:8" ht="14.25" customHeight="1" x14ac:dyDescent="0.2">
      <c r="A5" s="2365" t="s">
        <v>1984</v>
      </c>
      <c r="B5" s="2366"/>
      <c r="C5" s="2366"/>
      <c r="D5" s="2366"/>
      <c r="E5" s="2366"/>
      <c r="F5" s="2367"/>
      <c r="G5" s="1073"/>
      <c r="H5" s="1073"/>
    </row>
    <row r="6" spans="1:8" s="1074" customFormat="1" ht="41.25" customHeight="1" x14ac:dyDescent="0.2">
      <c r="A6" s="2359" t="s">
        <v>1691</v>
      </c>
      <c r="B6" s="2360"/>
      <c r="C6" s="2360"/>
      <c r="D6" s="2360"/>
      <c r="E6" s="2360"/>
      <c r="F6" s="2361"/>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810444</v>
      </c>
      <c r="C8" s="1814">
        <f>'Acct Summary 7-8'!D8</f>
        <v>156655</v>
      </c>
      <c r="D8" s="1814">
        <f>'Acct Summary 7-8'!F8</f>
        <v>98194</v>
      </c>
      <c r="E8" s="1814">
        <f>'Acct Summary 7-8'!I8</f>
        <v>12846</v>
      </c>
      <c r="F8" s="1814">
        <f>SUM(B8:E8)</f>
        <v>1078139</v>
      </c>
    </row>
    <row r="9" spans="1:8" s="1078" customFormat="1" ht="14.25" customHeight="1" thickBot="1" x14ac:dyDescent="0.25">
      <c r="A9" s="1077" t="s">
        <v>1369</v>
      </c>
      <c r="B9" s="1815">
        <f>'Acct Summary 7-8'!C17</f>
        <v>788735</v>
      </c>
      <c r="C9" s="1815">
        <f>'Acct Summary 7-8'!D17</f>
        <v>125396</v>
      </c>
      <c r="D9" s="1815">
        <f>'Acct Summary 7-8'!F17</f>
        <v>56457</v>
      </c>
      <c r="E9" s="1814"/>
      <c r="F9" s="1814">
        <f>SUM(B9:E9)</f>
        <v>970588</v>
      </c>
    </row>
    <row r="10" spans="1:8" s="1078" customFormat="1" ht="14.25" thickTop="1" thickBot="1" x14ac:dyDescent="0.25">
      <c r="A10" s="1079" t="s">
        <v>1370</v>
      </c>
      <c r="B10" s="1816">
        <f>(B8-B9)</f>
        <v>21709</v>
      </c>
      <c r="C10" s="1816">
        <f>(C8-C9)</f>
        <v>31259</v>
      </c>
      <c r="D10" s="1816">
        <f>(D8-D9)</f>
        <v>41737</v>
      </c>
      <c r="E10" s="1815">
        <f>(E8-E9)</f>
        <v>12846</v>
      </c>
      <c r="F10" s="1817">
        <f>SUM(F8-F9)</f>
        <v>107551</v>
      </c>
    </row>
    <row r="11" spans="1:8" s="1078" customFormat="1" ht="14.25" thickTop="1" thickBot="1" x14ac:dyDescent="0.25">
      <c r="A11" s="1080" t="s">
        <v>1985</v>
      </c>
      <c r="B11" s="1818">
        <f>'Acct Summary 7-8'!C81</f>
        <v>898079</v>
      </c>
      <c r="C11" s="1818">
        <f>'Acct Summary 7-8'!D81</f>
        <v>397436</v>
      </c>
      <c r="D11" s="1818">
        <f>'Acct Summary 7-8'!F81</f>
        <v>159608</v>
      </c>
      <c r="E11" s="1818">
        <f>'Acct Summary 7-8'!I81</f>
        <v>87427</v>
      </c>
      <c r="F11" s="1819">
        <f>SUM(B11:E11)</f>
        <v>1542550</v>
      </c>
    </row>
    <row r="12" spans="1:8" ht="16.5" customHeight="1" thickTop="1" x14ac:dyDescent="0.2">
      <c r="A12" s="1081"/>
      <c r="B12" s="1082"/>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3"/>
      <c r="B13" s="1084"/>
      <c r="C13" s="2347"/>
      <c r="D13" s="2348"/>
      <c r="E13" s="2348"/>
      <c r="F13" s="2349"/>
      <c r="H13" s="1073"/>
    </row>
    <row r="14" spans="1:8" ht="19.5" customHeight="1" x14ac:dyDescent="0.2">
      <c r="A14" s="1083"/>
      <c r="B14" s="1084"/>
      <c r="C14" s="2347"/>
      <c r="D14" s="2348"/>
      <c r="E14" s="2348"/>
      <c r="F14" s="2349"/>
      <c r="H14" s="1073"/>
    </row>
    <row r="15" spans="1:8" ht="17.25" customHeight="1" x14ac:dyDescent="0.2">
      <c r="A15" s="1083"/>
      <c r="B15" s="1084"/>
      <c r="C15" s="2350"/>
      <c r="D15" s="2351"/>
      <c r="E15" s="2351"/>
      <c r="F15" s="2352"/>
      <c r="H15" s="1073"/>
    </row>
    <row r="16" spans="1:8" s="310" customFormat="1" ht="51.75" hidden="1" customHeight="1" x14ac:dyDescent="0.2">
      <c r="A16" s="2346" t="s">
        <v>1687</v>
      </c>
      <c r="B16" s="2346"/>
      <c r="C16" s="2346"/>
      <c r="D16" s="2346"/>
      <c r="E16" s="2346"/>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3" colorId="8" zoomScale="110" zoomScaleNormal="110" workbookViewId="0">
      <selection activeCell="D57" sqref="D5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8" t="s">
        <v>665</v>
      </c>
      <c r="B3" s="2369"/>
      <c r="C3" s="2369"/>
      <c r="D3" s="2370"/>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9" t="s">
        <v>1504</v>
      </c>
      <c r="D7" s="2380"/>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1" t="s">
        <v>1008</v>
      </c>
      <c r="B15" s="2372"/>
      <c r="C15" s="2372"/>
      <c r="D15" s="2373"/>
    </row>
    <row r="16" spans="1:4" s="668" customFormat="1" ht="24" customHeight="1" x14ac:dyDescent="0.2">
      <c r="A16" s="2374" t="s">
        <v>663</v>
      </c>
      <c r="B16" s="2375"/>
      <c r="C16" s="2375"/>
      <c r="D16" s="2376"/>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3" t="s">
        <v>314</v>
      </c>
      <c r="D21" s="2384"/>
    </row>
    <row r="22" spans="1:10" ht="12.75" x14ac:dyDescent="0.2">
      <c r="A22" s="1138"/>
      <c r="B22" s="1139">
        <v>2</v>
      </c>
      <c r="C22" s="2381" t="s">
        <v>1524</v>
      </c>
      <c r="D22" s="2382"/>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5" t="s">
        <v>536</v>
      </c>
      <c r="D43" s="2386"/>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7" t="s">
        <v>784</v>
      </c>
      <c r="D56" s="2378"/>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77" t="s">
        <v>1696</v>
      </c>
      <c r="D70" s="2378"/>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47071269004</v>
      </c>
    </row>
    <row r="3" spans="1:2" x14ac:dyDescent="0.2">
      <c r="A3" t="s">
        <v>956</v>
      </c>
      <c r="B3" s="138" t="str">
        <f>COVER!A15</f>
        <v>OGLE</v>
      </c>
    </row>
    <row r="4" spans="1:2" x14ac:dyDescent="0.2">
      <c r="A4" t="s">
        <v>1007</v>
      </c>
      <c r="B4" s="138" t="str">
        <f>COVER!A17</f>
        <v>Eswood CCSD 269</v>
      </c>
    </row>
    <row r="5" spans="1:2" x14ac:dyDescent="0.2">
      <c r="A5" t="s">
        <v>704</v>
      </c>
      <c r="B5" s="138" t="str">
        <f>COVER!A38</f>
        <v>JOSEPH SCHWARTZ</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066-004656</v>
      </c>
    </row>
    <row r="16" spans="1:2" x14ac:dyDescent="0.2">
      <c r="A16" t="s">
        <v>422</v>
      </c>
      <c r="B16" s="138" t="str">
        <f>COVER!T13</f>
        <v>NEWKIRK &amp; ASSOCIATES, INC.</v>
      </c>
    </row>
    <row r="17" spans="1:2" x14ac:dyDescent="0.2">
      <c r="A17" t="s">
        <v>884</v>
      </c>
      <c r="B17" s="138" t="str">
        <f>COVER!T15</f>
        <v>WILLIAM J. NEWKIRK</v>
      </c>
    </row>
    <row r="18" spans="1:2" x14ac:dyDescent="0.2">
      <c r="A18" t="s">
        <v>1150</v>
      </c>
      <c r="B18" s="138" t="str">
        <f>COVER!T17</f>
        <v>2 W. MAIN STREET</v>
      </c>
    </row>
    <row r="19" spans="1:2" x14ac:dyDescent="0.2">
      <c r="A19" t="s">
        <v>886</v>
      </c>
      <c r="B19" s="138" t="str">
        <f>COVER!T25</f>
        <v>BNEWKIRK@NEWKIRKCPAS.COM</v>
      </c>
    </row>
    <row r="20" spans="1:2" x14ac:dyDescent="0.2">
      <c r="A20" t="s">
        <v>887</v>
      </c>
      <c r="B20" s="138" t="str">
        <f>COVER!T19</f>
        <v>PLANO</v>
      </c>
    </row>
    <row r="21" spans="1:2" x14ac:dyDescent="0.2">
      <c r="A21" t="s">
        <v>479</v>
      </c>
      <c r="B21" s="138" t="str">
        <f>COVER!X19</f>
        <v>IL</v>
      </c>
    </row>
    <row r="22" spans="1:2" x14ac:dyDescent="0.2">
      <c r="A22" t="s">
        <v>888</v>
      </c>
      <c r="B22" s="138">
        <f>COVER!Z19</f>
        <v>60545</v>
      </c>
    </row>
    <row r="23" spans="1:2" x14ac:dyDescent="0.2">
      <c r="A23" t="s">
        <v>1152</v>
      </c>
      <c r="B23" s="138" t="str">
        <f>COVER!T21</f>
        <v>630-552-1040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898079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898079</v>
      </c>
      <c r="D92" s="2" t="str">
        <f t="shared" si="0"/>
        <v>Error?</v>
      </c>
    </row>
    <row r="93" spans="1:4" x14ac:dyDescent="0.2">
      <c r="A93" s="5">
        <v>32</v>
      </c>
      <c r="B93" s="138">
        <f>'Assets-Liab 5-6'!C41</f>
        <v>898079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397436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397436</v>
      </c>
      <c r="D123" s="2" t="str">
        <f t="shared" si="0"/>
        <v>Error?</v>
      </c>
    </row>
    <row r="124" spans="1:4" x14ac:dyDescent="0.2">
      <c r="A124" s="5">
        <v>63</v>
      </c>
      <c r="B124" s="138">
        <f>'Assets-Liab 5-6'!D41</f>
        <v>397436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159608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159608</v>
      </c>
      <c r="D170" s="2" t="str">
        <f t="shared" si="1"/>
        <v>Error?</v>
      </c>
    </row>
    <row r="171" spans="1:4" x14ac:dyDescent="0.2">
      <c r="A171" s="5">
        <v>110</v>
      </c>
      <c r="B171" s="138">
        <f>'Assets-Liab 5-6'!F41</f>
        <v>159608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52152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52152</v>
      </c>
      <c r="D189" s="2" t="str">
        <f t="shared" si="1"/>
        <v>Error?</v>
      </c>
    </row>
    <row r="190" spans="1:4" x14ac:dyDescent="0.2">
      <c r="A190" s="5">
        <v>129</v>
      </c>
      <c r="B190" s="138">
        <f>'Assets-Liab 5-6'!G41</f>
        <v>52152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11979</v>
      </c>
      <c r="D273" s="2" t="str">
        <f t="shared" si="3"/>
        <v>Error?</v>
      </c>
    </row>
    <row r="274" spans="1:4" x14ac:dyDescent="0.2">
      <c r="A274" s="5">
        <v>213</v>
      </c>
      <c r="B274" s="138">
        <f>'Assets-Liab 5-6'!M17</f>
        <v>803300</v>
      </c>
      <c r="D274" s="2" t="str">
        <f t="shared" si="3"/>
        <v>Error?</v>
      </c>
    </row>
    <row r="275" spans="1:4" x14ac:dyDescent="0.2">
      <c r="A275" s="5">
        <v>214</v>
      </c>
      <c r="B275" s="138">
        <f>'Assets-Liab 5-6'!M18</f>
        <v>210542</v>
      </c>
      <c r="D275" s="2" t="str">
        <f t="shared" si="3"/>
        <v>Error?</v>
      </c>
    </row>
    <row r="276" spans="1:4" x14ac:dyDescent="0.2">
      <c r="A276" s="5">
        <v>215</v>
      </c>
      <c r="B276" s="138">
        <f>'Assets-Liab 5-6'!M19</f>
        <v>33054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1058875</v>
      </c>
      <c r="C279" s="2" t="s">
        <v>573</v>
      </c>
      <c r="D279" s="2" t="str">
        <f t="shared" si="3"/>
        <v>Error?</v>
      </c>
    </row>
    <row r="280" spans="1:4" x14ac:dyDescent="0.2">
      <c r="A280" s="5">
        <v>219</v>
      </c>
      <c r="B280" s="138">
        <f>'Assets-Liab 5-6'!M40</f>
        <v>1058875</v>
      </c>
      <c r="D280" s="2" t="str">
        <f t="shared" si="3"/>
        <v>Error?</v>
      </c>
    </row>
    <row r="281" spans="1:4" x14ac:dyDescent="0.2">
      <c r="A281" s="5">
        <v>220</v>
      </c>
      <c r="B281" s="138">
        <f>'Assets-Liab 5-6'!M41</f>
        <v>1058875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360053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5342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395305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9604</v>
      </c>
      <c r="D726" s="2" t="str">
        <f t="shared" si="10"/>
        <v>Error?</v>
      </c>
    </row>
    <row r="727" spans="1:4" x14ac:dyDescent="0.2">
      <c r="A727" s="5">
        <v>666</v>
      </c>
      <c r="B727" s="138">
        <f>'Expenditures 15-22'!C42</f>
        <v>9604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62334</v>
      </c>
      <c r="D733" s="2" t="str">
        <f t="shared" si="10"/>
        <v>Error?</v>
      </c>
    </row>
    <row r="734" spans="1:4" x14ac:dyDescent="0.2">
      <c r="A734" s="5">
        <v>673</v>
      </c>
      <c r="B734" s="138">
        <f>'Expenditures 15-22'!C53</f>
        <v>62334</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37440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20816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58256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130194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525499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83108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561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83669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14533</v>
      </c>
      <c r="D791" s="2" t="str">
        <f t="shared" si="11"/>
        <v>Error?</v>
      </c>
    </row>
    <row r="792" spans="1:4" x14ac:dyDescent="0.2">
      <c r="A792" s="5">
        <v>731</v>
      </c>
      <c r="B792" s="138">
        <f>'Expenditures 15-22'!D53</f>
        <v>14533</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7445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7445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21978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105647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5404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6254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450</v>
      </c>
      <c r="D839" s="2" t="str">
        <f t="shared" si="12"/>
        <v>Error?</v>
      </c>
    </row>
    <row r="840" spans="1:4" x14ac:dyDescent="0.2">
      <c r="A840" s="5">
        <v>779</v>
      </c>
      <c r="B840" s="138">
        <f>'Expenditures 15-22'!E39</f>
        <v>143</v>
      </c>
      <c r="D840" s="2" t="str">
        <f t="shared" si="12"/>
        <v>Error?</v>
      </c>
    </row>
    <row r="841" spans="1:4" x14ac:dyDescent="0.2">
      <c r="A841" s="5">
        <v>780</v>
      </c>
      <c r="B841" s="138">
        <f>'Expenditures 15-22'!E40</f>
        <v>14389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14982</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4054</v>
      </c>
      <c r="D848" s="2" t="str">
        <f t="shared" si="12"/>
        <v>Error?</v>
      </c>
    </row>
    <row r="849" spans="1:4" x14ac:dyDescent="0.2">
      <c r="A849" s="5">
        <v>788</v>
      </c>
      <c r="B849" s="138">
        <f>'Expenditures 15-22'!E50</f>
        <v>688</v>
      </c>
      <c r="D849" s="2" t="str">
        <f t="shared" si="12"/>
        <v>Error?</v>
      </c>
    </row>
    <row r="850" spans="1:4" x14ac:dyDescent="0.2">
      <c r="A850" s="5">
        <v>789</v>
      </c>
      <c r="B850" s="138">
        <f>'Expenditures 15-22'!E53</f>
        <v>4742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979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1256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2235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21959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28213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17077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17966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5972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5972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1017</v>
      </c>
      <c r="D907" s="2" t="str">
        <f t="shared" si="13"/>
        <v>Error?</v>
      </c>
    </row>
    <row r="908" spans="1:4" x14ac:dyDescent="0.2">
      <c r="A908" s="5">
        <v>847</v>
      </c>
      <c r="B908" s="138">
        <f>'Expenditures 15-22'!F53</f>
        <v>1017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12071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10335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22406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29578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47544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1843</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1843</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1843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1843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4127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52</v>
      </c>
      <c r="D1016" s="2" t="str">
        <f t="shared" si="14"/>
        <v>Error?</v>
      </c>
    </row>
    <row r="1017" spans="1:4" x14ac:dyDescent="0.2">
      <c r="A1017" s="5">
        <v>956</v>
      </c>
      <c r="B1017" s="138">
        <f>'Expenditures 15-22'!H42</f>
        <v>52</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1630</v>
      </c>
      <c r="D1023" s="2" t="str">
        <f t="shared" ref="D1023:D1086" si="15">IF(ISBLANK(B1023),"OK",IF(A1023-B1023=0,"OK","Error?"))</f>
        <v>Error?</v>
      </c>
    </row>
    <row r="1024" spans="1:4" x14ac:dyDescent="0.2">
      <c r="A1024" s="5">
        <v>963</v>
      </c>
      <c r="B1024" s="138">
        <f>'Expenditures 15-22'!H53</f>
        <v>1630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2631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2682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4564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71298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79989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469549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7862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507321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633</v>
      </c>
      <c r="C1111" s="2" t="s">
        <v>573</v>
      </c>
      <c r="D1111" s="2" t="str">
        <f t="shared" si="16"/>
        <v>Error?</v>
      </c>
    </row>
    <row r="1112" spans="1:4" x14ac:dyDescent="0.2">
      <c r="A1112" s="5">
        <v>1051</v>
      </c>
      <c r="B1112" s="138">
        <f>'Expenditures 15-22'!K39</f>
        <v>143</v>
      </c>
      <c r="C1112" s="2" t="s">
        <v>573</v>
      </c>
      <c r="D1112" s="2" t="str">
        <f t="shared" si="16"/>
        <v>Error?</v>
      </c>
    </row>
    <row r="1113" spans="1:4" x14ac:dyDescent="0.2">
      <c r="A1113" s="5">
        <v>1052</v>
      </c>
      <c r="B1113" s="138">
        <f>'Expenditures 15-22'!K40</f>
        <v>14389</v>
      </c>
      <c r="C1113" s="2" t="s">
        <v>573</v>
      </c>
      <c r="D1113" s="2" t="str">
        <f t="shared" si="16"/>
        <v>Error?</v>
      </c>
    </row>
    <row r="1114" spans="1:4" x14ac:dyDescent="0.2">
      <c r="A1114" s="5">
        <v>1053</v>
      </c>
      <c r="B1114" s="138">
        <f>'Expenditures 15-22'!K41</f>
        <v>9656</v>
      </c>
      <c r="C1114" s="2" t="s">
        <v>573</v>
      </c>
      <c r="D1114" s="2" t="str">
        <f t="shared" si="16"/>
        <v>Error?</v>
      </c>
    </row>
    <row r="1115" spans="1:4" x14ac:dyDescent="0.2">
      <c r="A1115" s="5">
        <v>1054</v>
      </c>
      <c r="B1115" s="138">
        <f>'Expenditures 15-22'!K42</f>
        <v>24821</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6172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6172</v>
      </c>
      <c r="C1119" s="2" t="s">
        <v>573</v>
      </c>
      <c r="D1119" s="2" t="str">
        <f t="shared" si="16"/>
        <v>Error?</v>
      </c>
    </row>
    <row r="1120" spans="1:4" x14ac:dyDescent="0.2">
      <c r="A1120" s="5">
        <v>1059</v>
      </c>
      <c r="B1120" s="138">
        <f>'Expenditures 15-22'!K49</f>
        <v>5897</v>
      </c>
      <c r="C1120" s="2" t="s">
        <v>573</v>
      </c>
      <c r="D1120" s="2" t="str">
        <f t="shared" si="16"/>
        <v>Error?</v>
      </c>
    </row>
    <row r="1121" spans="1:4" x14ac:dyDescent="0.2">
      <c r="A1121" s="5">
        <v>1060</v>
      </c>
      <c r="B1121" s="138">
        <f>'Expenditures 15-22'!K50</f>
        <v>80202</v>
      </c>
      <c r="C1121" s="2" t="s">
        <v>573</v>
      </c>
      <c r="D1121" s="2" t="str">
        <f t="shared" si="16"/>
        <v>Error?</v>
      </c>
    </row>
    <row r="1122" spans="1:4" x14ac:dyDescent="0.2">
      <c r="A1122" s="5">
        <v>1061</v>
      </c>
      <c r="B1122" s="138">
        <f>'Expenditures 15-22'!K53</f>
        <v>86099</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60566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32458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93024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210116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71298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788735</v>
      </c>
      <c r="C1152" s="2" t="s">
        <v>573</v>
      </c>
      <c r="D1152" s="2" t="str">
        <f t="shared" si="17"/>
        <v>Error?</v>
      </c>
    </row>
    <row r="1153" spans="1:4" x14ac:dyDescent="0.2">
      <c r="A1153" s="5">
        <v>1092</v>
      </c>
      <c r="B1153" s="138">
        <f>'Expenditures 15-22'!K115</f>
        <v>21709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3657</v>
      </c>
      <c r="D1221" s="2" t="str">
        <f t="shared" si="18"/>
        <v>Error?</v>
      </c>
    </row>
    <row r="1222" spans="1:4" x14ac:dyDescent="0.2">
      <c r="A1222" s="10">
        <v>1161</v>
      </c>
      <c r="D1222" s="2" t="str">
        <f t="shared" si="18"/>
        <v>OK</v>
      </c>
    </row>
    <row r="1223" spans="1:4" x14ac:dyDescent="0.2">
      <c r="A1223" s="5">
        <v>1162</v>
      </c>
      <c r="B1223" s="138">
        <f>'Expenditures 15-22'!C127</f>
        <v>3657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3657</v>
      </c>
      <c r="C1225" s="2" t="s">
        <v>573</v>
      </c>
      <c r="D1225" s="2" t="str">
        <f t="shared" si="18"/>
        <v>Error?</v>
      </c>
    </row>
    <row r="1226" spans="1:4" x14ac:dyDescent="0.2">
      <c r="A1226" s="5">
        <v>1165</v>
      </c>
      <c r="B1226" s="138">
        <f>'Expenditures 15-22'!C151</f>
        <v>3657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v>
      </c>
      <c r="D1229" s="2" t="str">
        <f t="shared" si="18"/>
        <v>Error?</v>
      </c>
    </row>
    <row r="1230" spans="1:4" x14ac:dyDescent="0.2">
      <c r="A1230" s="10">
        <v>1169</v>
      </c>
      <c r="D1230" s="2" t="str">
        <f t="shared" si="18"/>
        <v>OK</v>
      </c>
    </row>
    <row r="1231" spans="1:4" x14ac:dyDescent="0.2">
      <c r="A1231" s="5">
        <v>1170</v>
      </c>
      <c r="B1231" s="138">
        <f>'Expenditures 15-22'!D127</f>
        <v>19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v>
      </c>
      <c r="C1233" s="2" t="s">
        <v>573</v>
      </c>
      <c r="D1233" s="2" t="str">
        <f t="shared" si="18"/>
        <v>Error?</v>
      </c>
    </row>
    <row r="1234" spans="1:4" x14ac:dyDescent="0.2">
      <c r="A1234" s="5">
        <v>1173</v>
      </c>
      <c r="B1234" s="138">
        <f>'Expenditures 15-22'!D151</f>
        <v>19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85519</v>
      </c>
      <c r="D1237" s="2" t="str">
        <f t="shared" si="18"/>
        <v>Error?</v>
      </c>
    </row>
    <row r="1238" spans="1:4" x14ac:dyDescent="0.2">
      <c r="A1238" s="10">
        <v>1177</v>
      </c>
      <c r="D1238" s="2" t="str">
        <f t="shared" si="18"/>
        <v>OK</v>
      </c>
    </row>
    <row r="1239" spans="1:4" x14ac:dyDescent="0.2">
      <c r="A1239" s="5">
        <v>1178</v>
      </c>
      <c r="B1239" s="138">
        <f>'Expenditures 15-22'!E127</f>
        <v>85519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85519</v>
      </c>
      <c r="C1241" s="2" t="s">
        <v>573</v>
      </c>
      <c r="D1241" s="2" t="str">
        <f t="shared" si="18"/>
        <v>Error?</v>
      </c>
    </row>
    <row r="1242" spans="1:4" x14ac:dyDescent="0.2">
      <c r="A1242" s="5">
        <v>1181</v>
      </c>
      <c r="B1242" s="138">
        <f>'Expenditures 15-22'!E151</f>
        <v>85519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36201</v>
      </c>
      <c r="D1245" s="2" t="str">
        <f t="shared" si="18"/>
        <v>Error?</v>
      </c>
    </row>
    <row r="1246" spans="1:4" x14ac:dyDescent="0.2">
      <c r="A1246" s="10">
        <v>1185</v>
      </c>
      <c r="D1246" s="2" t="str">
        <f t="shared" si="18"/>
        <v>OK</v>
      </c>
    </row>
    <row r="1247" spans="1:4" x14ac:dyDescent="0.2">
      <c r="A1247" s="5">
        <v>1186</v>
      </c>
      <c r="B1247" s="138">
        <f>'Expenditures 15-22'!F127</f>
        <v>36201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36201</v>
      </c>
      <c r="C1249" s="2" t="s">
        <v>573</v>
      </c>
      <c r="D1249" s="2" t="str">
        <f t="shared" si="18"/>
        <v>Error?</v>
      </c>
    </row>
    <row r="1250" spans="1:4" x14ac:dyDescent="0.2">
      <c r="A1250" s="5">
        <v>1189</v>
      </c>
      <c r="B1250" s="138">
        <f>'Expenditures 15-22'!F151</f>
        <v>36201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125396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125396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125396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125396</v>
      </c>
      <c r="C1288" s="2" t="s">
        <v>573</v>
      </c>
      <c r="D1288" s="2" t="str">
        <f t="shared" si="19"/>
        <v>Error?</v>
      </c>
    </row>
    <row r="1289" spans="1:4" x14ac:dyDescent="0.2">
      <c r="A1289" s="5">
        <v>1228</v>
      </c>
      <c r="B1289" s="138">
        <f>'Expenditures 15-22'!K152</f>
        <v>31259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14300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14300</v>
      </c>
      <c r="C1339" s="2" t="s">
        <v>573</v>
      </c>
      <c r="D1339" s="2" t="str">
        <f t="shared" si="19"/>
        <v>Error?</v>
      </c>
    </row>
    <row r="1340" spans="1:4" x14ac:dyDescent="0.2">
      <c r="A1340" s="5">
        <v>1279</v>
      </c>
      <c r="B1340" s="138">
        <f>'Expenditures 15-22'!C210</f>
        <v>14300</v>
      </c>
      <c r="C1340" s="2" t="s">
        <v>573</v>
      </c>
      <c r="D1340" s="2" t="str">
        <f t="shared" si="19"/>
        <v>Error?</v>
      </c>
    </row>
    <row r="1341" spans="1:4" x14ac:dyDescent="0.2">
      <c r="A1341" s="5">
        <v>1280</v>
      </c>
      <c r="B1341" s="138">
        <f>'Expenditures 15-22'!D182</f>
        <v>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v>
      </c>
      <c r="C1345" s="2" t="s">
        <v>573</v>
      </c>
      <c r="D1345" s="2" t="str">
        <f t="shared" si="20"/>
        <v>Error?</v>
      </c>
    </row>
    <row r="1346" spans="1:4" x14ac:dyDescent="0.2">
      <c r="A1346" s="5">
        <v>1285</v>
      </c>
      <c r="B1346" s="138">
        <f>'Expenditures 15-22'!D210</f>
        <v>19</v>
      </c>
      <c r="C1346" s="2" t="s">
        <v>573</v>
      </c>
      <c r="D1346" s="2" t="str">
        <f t="shared" si="20"/>
        <v>Error?</v>
      </c>
    </row>
    <row r="1347" spans="1:4" x14ac:dyDescent="0.2">
      <c r="A1347" s="5">
        <v>1286</v>
      </c>
      <c r="B1347" s="138">
        <f>'Expenditures 15-22'!E182</f>
        <v>36251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36251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36251</v>
      </c>
      <c r="C1353" s="2" t="s">
        <v>573</v>
      </c>
      <c r="D1353" s="2" t="str">
        <f t="shared" si="20"/>
        <v>Error?</v>
      </c>
    </row>
    <row r="1354" spans="1:4" x14ac:dyDescent="0.2">
      <c r="A1354" s="5">
        <v>1293</v>
      </c>
      <c r="B1354" s="138">
        <f>'Expenditures 15-22'!F182</f>
        <v>5797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5797</v>
      </c>
      <c r="C1358" s="2" t="s">
        <v>573</v>
      </c>
      <c r="D1358" s="2" t="str">
        <f t="shared" si="20"/>
        <v>Error?</v>
      </c>
    </row>
    <row r="1359" spans="1:4" x14ac:dyDescent="0.2">
      <c r="A1359" s="5">
        <v>1298</v>
      </c>
      <c r="B1359" s="138">
        <f>'Expenditures 15-22'!F210</f>
        <v>5797</v>
      </c>
      <c r="C1359" s="2" t="s">
        <v>573</v>
      </c>
      <c r="D1359" s="2" t="str">
        <f t="shared" si="20"/>
        <v>Error?</v>
      </c>
    </row>
    <row r="1360" spans="1:4" x14ac:dyDescent="0.2">
      <c r="A1360" s="5">
        <v>1299</v>
      </c>
      <c r="B1360" s="138">
        <f>'Expenditures 15-22'!G182</f>
        <v>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30</v>
      </c>
      <c r="C1364" s="2" t="s">
        <v>573</v>
      </c>
      <c r="D1364" s="2" t="str">
        <f t="shared" si="20"/>
        <v>Error?</v>
      </c>
    </row>
    <row r="1365" spans="1:4" x14ac:dyDescent="0.2">
      <c r="A1365" s="5">
        <v>1304</v>
      </c>
      <c r="B1365" s="138">
        <f>'Expenditures 15-22'!G210</f>
        <v>30</v>
      </c>
      <c r="C1365" s="2" t="s">
        <v>573</v>
      </c>
      <c r="D1365" s="2" t="str">
        <f t="shared" si="20"/>
        <v>Error?</v>
      </c>
    </row>
    <row r="1366" spans="1:4" x14ac:dyDescent="0.2">
      <c r="A1366" s="5">
        <v>1305</v>
      </c>
      <c r="B1366" s="138">
        <f>'Expenditures 15-22'!H182</f>
        <v>60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60</v>
      </c>
      <c r="C1376" s="2" t="s">
        <v>573</v>
      </c>
      <c r="D1376" s="2" t="str">
        <f t="shared" si="20"/>
        <v>Error?</v>
      </c>
    </row>
    <row r="1377" spans="1:4" x14ac:dyDescent="0.2">
      <c r="A1377" s="5">
        <v>1316</v>
      </c>
      <c r="B1377" s="138">
        <f>'Expenditures 15-22'!K182</f>
        <v>56457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56457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56457</v>
      </c>
      <c r="C1388" s="2" t="s">
        <v>573</v>
      </c>
      <c r="D1388" s="2" t="str">
        <f t="shared" si="20"/>
        <v>Error?</v>
      </c>
    </row>
    <row r="1389" spans="1:4" x14ac:dyDescent="0.2">
      <c r="A1389" s="5">
        <v>1328</v>
      </c>
      <c r="B1389" s="138">
        <f>'Expenditures 15-22'!K211</f>
        <v>41737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9694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735</v>
      </c>
      <c r="D1416" s="2" t="str">
        <f t="shared" si="21"/>
        <v>Error?</v>
      </c>
    </row>
    <row r="1417" spans="1:4" x14ac:dyDescent="0.2">
      <c r="A1417" s="5">
        <v>1356</v>
      </c>
      <c r="B1417" s="138">
        <f>'Expenditures 15-22'!D238</f>
        <v>735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1629</v>
      </c>
      <c r="D1423" s="2" t="str">
        <f t="shared" si="21"/>
        <v>Error?</v>
      </c>
    </row>
    <row r="1424" spans="1:4" x14ac:dyDescent="0.2">
      <c r="A1424" s="5">
        <v>1363</v>
      </c>
      <c r="B1424" s="138">
        <f>'Expenditures 15-22'!D257</f>
        <v>1629</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1310</v>
      </c>
      <c r="D1431" s="2" t="str">
        <f t="shared" si="21"/>
        <v>Error?</v>
      </c>
    </row>
    <row r="1432" spans="1:4" x14ac:dyDescent="0.2">
      <c r="A1432" s="5">
        <v>1371</v>
      </c>
      <c r="B1432" s="138">
        <f>'Expenditures 15-22'!D267</f>
        <v>4471</v>
      </c>
      <c r="D1432" s="2" t="str">
        <f t="shared" si="21"/>
        <v>Error?</v>
      </c>
    </row>
    <row r="1433" spans="1:4" x14ac:dyDescent="0.2">
      <c r="A1433" s="5">
        <v>1372</v>
      </c>
      <c r="B1433" s="138">
        <f>'Expenditures 15-22'!D268</f>
        <v>3158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15402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17766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27460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168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9694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735</v>
      </c>
      <c r="C1480" s="2" t="s">
        <v>573</v>
      </c>
      <c r="D1480" s="2" t="str">
        <f t="shared" si="22"/>
        <v>Error?</v>
      </c>
    </row>
    <row r="1481" spans="1:4" x14ac:dyDescent="0.2">
      <c r="A1481" s="5">
        <v>1420</v>
      </c>
      <c r="B1481" s="138">
        <f>'Expenditures 15-22'!K238</f>
        <v>735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1629</v>
      </c>
      <c r="C1487" s="2" t="s">
        <v>573</v>
      </c>
      <c r="D1487" s="2" t="str">
        <f t="shared" si="22"/>
        <v>Error?</v>
      </c>
    </row>
    <row r="1488" spans="1:4" x14ac:dyDescent="0.2">
      <c r="A1488" s="5">
        <v>1427</v>
      </c>
      <c r="B1488" s="138">
        <f>'Expenditures 15-22'!K257</f>
        <v>1629</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6463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1310</v>
      </c>
      <c r="C1495" s="2" t="s">
        <v>573</v>
      </c>
      <c r="D1495" s="2" t="str">
        <f t="shared" si="22"/>
        <v>Error?</v>
      </c>
    </row>
    <row r="1496" spans="1:4" x14ac:dyDescent="0.2">
      <c r="A1496" s="5">
        <v>1435</v>
      </c>
      <c r="B1496" s="138">
        <f>'Expenditures 15-22'!K267</f>
        <v>4471</v>
      </c>
      <c r="C1496" s="2" t="s">
        <v>573</v>
      </c>
      <c r="D1496" s="2" t="str">
        <f t="shared" si="22"/>
        <v>Error?</v>
      </c>
    </row>
    <row r="1497" spans="1:4" x14ac:dyDescent="0.2">
      <c r="A1497" s="5">
        <v>1436</v>
      </c>
      <c r="B1497" s="138">
        <f>'Expenditures 15-22'!K268</f>
        <v>3158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15402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17766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27460</v>
      </c>
      <c r="C1517" s="2" t="s">
        <v>573</v>
      </c>
      <c r="D1517" s="2" t="str">
        <f t="shared" si="22"/>
        <v>Error?</v>
      </c>
    </row>
    <row r="1518" spans="1:4" x14ac:dyDescent="0.2">
      <c r="A1518" s="5">
        <v>1457</v>
      </c>
      <c r="B1518" s="138">
        <f>'Expenditures 15-22'!K296</f>
        <v>1966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846370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898079</v>
      </c>
      <c r="C1630" s="2" t="s">
        <v>573</v>
      </c>
      <c r="D1630" s="2" t="str">
        <f t="shared" si="24"/>
        <v>Error?</v>
      </c>
    </row>
    <row r="1631" spans="1:4" x14ac:dyDescent="0.2">
      <c r="A1631" s="5">
        <v>1570</v>
      </c>
      <c r="B1631" s="138">
        <f>'Acct Summary 7-8'!D79</f>
        <v>382177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397436</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117871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159608</v>
      </c>
      <c r="C1672" s="2" t="s">
        <v>573</v>
      </c>
      <c r="D1672" s="2" t="str">
        <f t="shared" si="25"/>
        <v>Error?</v>
      </c>
    </row>
    <row r="1673" spans="1:4" x14ac:dyDescent="0.2">
      <c r="A1673" s="5">
        <v>1612</v>
      </c>
      <c r="B1673" s="138">
        <f>'Acct Summary 7-8'!G79</f>
        <v>50186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52152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534450</v>
      </c>
      <c r="C1744" s="2" t="s">
        <v>573</v>
      </c>
      <c r="D1744" s="2" t="str">
        <f t="shared" si="26"/>
        <v>Error?</v>
      </c>
    </row>
    <row r="1745" spans="1:5" x14ac:dyDescent="0.2">
      <c r="A1745" s="5">
        <v>1684</v>
      </c>
      <c r="B1745" s="138">
        <f>'Tax Sched 23'!B5</f>
        <v>139976</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30540</v>
      </c>
      <c r="C1747" s="2" t="s">
        <v>573</v>
      </c>
      <c r="D1747" s="2" t="str">
        <f t="shared" si="26"/>
        <v>Error?</v>
      </c>
    </row>
    <row r="1748" spans="1:5" x14ac:dyDescent="0.2">
      <c r="A1748" s="5">
        <v>1687</v>
      </c>
      <c r="B1748" s="138">
        <f>'Tax Sched 23'!B8</f>
        <v>6449</v>
      </c>
      <c r="C1748" s="2" t="s">
        <v>573</v>
      </c>
      <c r="D1748" s="2" t="str">
        <f t="shared" si="26"/>
        <v>Error?</v>
      </c>
    </row>
    <row r="1749" spans="1:5" x14ac:dyDescent="0.2">
      <c r="A1749" s="5">
        <v>1688</v>
      </c>
      <c r="B1749" s="138">
        <f>'Tax Sched 23'!B10</f>
        <v>12726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105914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5090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856340</v>
      </c>
      <c r="C1759" s="2" t="s">
        <v>573</v>
      </c>
      <c r="D1759" s="2" t="str">
        <f t="shared" si="26"/>
        <v>Error?</v>
      </c>
    </row>
    <row r="1760" spans="1:5" x14ac:dyDescent="0.2">
      <c r="A1760" s="5">
        <v>1699</v>
      </c>
      <c r="B1760" s="138">
        <f>'Tax Sched 23'!D4</f>
        <v>233323</v>
      </c>
      <c r="C1760" s="2" t="s">
        <v>573</v>
      </c>
      <c r="D1760" s="2" t="str">
        <f t="shared" si="26"/>
        <v>Error?</v>
      </c>
    </row>
    <row r="1761" spans="1:5" x14ac:dyDescent="0.2">
      <c r="A1761" s="5">
        <v>1700</v>
      </c>
      <c r="B1761" s="138">
        <f>'Tax Sched 23'!D5</f>
        <v>61108.72</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13333</v>
      </c>
      <c r="C1763" s="2" t="s">
        <v>573</v>
      </c>
      <c r="D1763" s="2" t="str">
        <f t="shared" si="26"/>
        <v>Error?</v>
      </c>
    </row>
    <row r="1764" spans="1:5" x14ac:dyDescent="0.2">
      <c r="A1764" s="5">
        <v>1703</v>
      </c>
      <c r="B1764" s="138">
        <f>'Tax Sched 23'!D8</f>
        <v>2811</v>
      </c>
      <c r="C1764" s="2" t="s">
        <v>573</v>
      </c>
      <c r="D1764" s="2" t="str">
        <f t="shared" si="26"/>
        <v>Error?</v>
      </c>
    </row>
    <row r="1765" spans="1:5" x14ac:dyDescent="0.2">
      <c r="A1765" s="5">
        <v>1704</v>
      </c>
      <c r="B1765" s="138">
        <f>'Tax Sched 23'!D10</f>
        <v>5556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46116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2222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373704.72</v>
      </c>
      <c r="C1775" s="2" t="s">
        <v>573</v>
      </c>
      <c r="D1775" s="2" t="str">
        <f t="shared" si="26"/>
        <v>Error?</v>
      </c>
    </row>
    <row r="1776" spans="1:5" x14ac:dyDescent="0.2">
      <c r="A1776" s="5">
        <v>1715</v>
      </c>
      <c r="B1776" s="138">
        <f>'Tax Sched 23'!C4</f>
        <v>301127</v>
      </c>
      <c r="D1776" s="2" t="str">
        <f t="shared" si="26"/>
        <v>Error?</v>
      </c>
    </row>
    <row r="1777" spans="1:4" x14ac:dyDescent="0.2">
      <c r="A1777" s="5">
        <v>1716</v>
      </c>
      <c r="B1777" s="138">
        <f>'Tax Sched 23'!C5</f>
        <v>78867.28</v>
      </c>
      <c r="D1777" s="2" t="str">
        <f t="shared" si="26"/>
        <v>Error?</v>
      </c>
    </row>
    <row r="1778" spans="1:4" x14ac:dyDescent="0.2">
      <c r="A1778" s="5">
        <v>1717</v>
      </c>
      <c r="B1778" s="138">
        <f>'Tax Sched 23'!C6</f>
        <v>0</v>
      </c>
      <c r="D1778" s="2" t="str">
        <f t="shared" si="26"/>
        <v>Error?</v>
      </c>
    </row>
    <row r="1779" spans="1:4" x14ac:dyDescent="0.2">
      <c r="A1779" s="5">
        <v>1718</v>
      </c>
      <c r="B1779" s="138">
        <f>'Tax Sched 23'!C7</f>
        <v>17207</v>
      </c>
      <c r="D1779" s="2" t="str">
        <f t="shared" si="26"/>
        <v>Error?</v>
      </c>
    </row>
    <row r="1780" spans="1:4" x14ac:dyDescent="0.2">
      <c r="A1780" s="5">
        <v>1719</v>
      </c>
      <c r="B1780" s="138">
        <f>'Tax Sched 23'!C8</f>
        <v>3638</v>
      </c>
      <c r="D1780" s="2" t="str">
        <f t="shared" si="26"/>
        <v>Error?</v>
      </c>
    </row>
    <row r="1781" spans="1:4" x14ac:dyDescent="0.2">
      <c r="A1781" s="5">
        <v>1720</v>
      </c>
      <c r="B1781" s="138">
        <f>'Tax Sched 23'!C10</f>
        <v>7170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59798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2868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482635.28</v>
      </c>
      <c r="C1791" s="2" t="s">
        <v>573</v>
      </c>
      <c r="D1791" s="2" t="str">
        <f t="shared" ref="D1791:D1854" si="27">IF(ISBLANK(B1791),"OK",IF(A1791-B1791=0,"OK","Error?"))</f>
        <v>Error?</v>
      </c>
    </row>
    <row r="1792" spans="1:4" x14ac:dyDescent="0.2">
      <c r="A1792" s="5">
        <v>1731</v>
      </c>
      <c r="B1792" s="138">
        <f>'Tax Sched 23'!F4</f>
        <v>327337</v>
      </c>
      <c r="C1792" s="2" t="s">
        <v>573</v>
      </c>
      <c r="D1792" s="2" t="str">
        <f t="shared" si="27"/>
        <v>Error?</v>
      </c>
    </row>
    <row r="1793" spans="1:4" x14ac:dyDescent="0.2">
      <c r="A1793" s="5">
        <v>1732</v>
      </c>
      <c r="B1793" s="138">
        <f>'Tax Sched 23'!F5</f>
        <v>85730.72</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18705</v>
      </c>
      <c r="C1795" s="2" t="s">
        <v>573</v>
      </c>
      <c r="D1795" s="2" t="str">
        <f t="shared" si="27"/>
        <v>Error?</v>
      </c>
    </row>
    <row r="1796" spans="1:4" x14ac:dyDescent="0.2">
      <c r="A1796" s="5">
        <v>1735</v>
      </c>
      <c r="B1796" s="138">
        <f>'Tax Sched 23'!F8</f>
        <v>3954</v>
      </c>
      <c r="C1796" s="2" t="s">
        <v>573</v>
      </c>
      <c r="D1796" s="2" t="str">
        <f t="shared" si="27"/>
        <v>Error?</v>
      </c>
    </row>
    <row r="1797" spans="1:4" x14ac:dyDescent="0.2">
      <c r="A1797" s="5">
        <v>1736</v>
      </c>
      <c r="B1797" s="138">
        <f>'Tax Sched 23'!F10</f>
        <v>7793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65002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3117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524638.71999999997</v>
      </c>
      <c r="C1807" s="2" t="s">
        <v>573</v>
      </c>
      <c r="D1807" s="2" t="str">
        <f t="shared" si="27"/>
        <v>Error?</v>
      </c>
    </row>
    <row r="1808" spans="1:4" x14ac:dyDescent="0.2">
      <c r="A1808" s="5">
        <v>1747</v>
      </c>
      <c r="B1808" s="138">
        <f>'Tax Sched 23'!E4</f>
        <v>628464</v>
      </c>
      <c r="D1808" s="2" t="str">
        <f t="shared" si="27"/>
        <v>Error?</v>
      </c>
    </row>
    <row r="1809" spans="1:4" x14ac:dyDescent="0.2">
      <c r="A1809" s="5">
        <v>1748</v>
      </c>
      <c r="B1809" s="138">
        <f>'Tax Sched 23'!E5</f>
        <v>164598</v>
      </c>
      <c r="D1809" s="2" t="str">
        <f t="shared" si="27"/>
        <v>Error?</v>
      </c>
    </row>
    <row r="1810" spans="1:4" x14ac:dyDescent="0.2">
      <c r="A1810" s="5">
        <v>1749</v>
      </c>
      <c r="B1810" s="138">
        <f>'Tax Sched 23'!E6</f>
        <v>0</v>
      </c>
      <c r="D1810" s="2" t="str">
        <f t="shared" si="27"/>
        <v>Error?</v>
      </c>
    </row>
    <row r="1811" spans="1:4" x14ac:dyDescent="0.2">
      <c r="A1811" s="5">
        <v>1750</v>
      </c>
      <c r="B1811" s="138">
        <f>'Tax Sched 23'!E7</f>
        <v>35912</v>
      </c>
      <c r="D1811" s="2" t="str">
        <f t="shared" si="27"/>
        <v>Error?</v>
      </c>
    </row>
    <row r="1812" spans="1:4" x14ac:dyDescent="0.2">
      <c r="A1812" s="5">
        <v>1751</v>
      </c>
      <c r="B1812" s="138">
        <f>'Tax Sched 23'!E8</f>
        <v>7592</v>
      </c>
      <c r="D1812" s="2" t="str">
        <f t="shared" si="27"/>
        <v>Error?</v>
      </c>
    </row>
    <row r="1813" spans="1:4" x14ac:dyDescent="0.2">
      <c r="A1813" s="5">
        <v>1752</v>
      </c>
      <c r="B1813" s="138">
        <f>'Tax Sched 23'!E10</f>
        <v>14963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124800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5985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1007274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5090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5090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5090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11979</v>
      </c>
      <c r="D2008" s="2" t="str">
        <f t="shared" si="30"/>
        <v>Error?</v>
      </c>
    </row>
    <row r="2009" spans="1:4" x14ac:dyDescent="0.2">
      <c r="A2009" s="5">
        <v>1948</v>
      </c>
      <c r="B2009" s="138">
        <f>'Cap Outlay Deprec 26'!C8</f>
        <v>1747544</v>
      </c>
      <c r="D2009" s="2" t="str">
        <f t="shared" si="30"/>
        <v>Error?</v>
      </c>
    </row>
    <row r="2010" spans="1:4" x14ac:dyDescent="0.2">
      <c r="A2010" s="5">
        <v>1949</v>
      </c>
      <c r="B2010" s="138">
        <f>'Cap Outlay Deprec 26'!C10</f>
        <v>293543</v>
      </c>
      <c r="D2010" s="2" t="str">
        <f t="shared" si="30"/>
        <v>Error?</v>
      </c>
    </row>
    <row r="2011" spans="1:4" x14ac:dyDescent="0.2">
      <c r="A2011" s="5">
        <v>1950</v>
      </c>
      <c r="B2011" s="138">
        <f>'Cap Outlay Deprec 26'!C12</f>
        <v>123777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2176843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11979</v>
      </c>
      <c r="C2026" s="2" t="s">
        <v>573</v>
      </c>
      <c r="D2026" s="2" t="str">
        <f t="shared" si="30"/>
        <v>Error?</v>
      </c>
    </row>
    <row r="2027" spans="1:4" x14ac:dyDescent="0.2">
      <c r="A2027" s="5">
        <v>1966</v>
      </c>
      <c r="B2027" s="138">
        <f>'Cap Outlay Deprec 26'!F8</f>
        <v>1747544</v>
      </c>
      <c r="C2027" s="2" t="s">
        <v>573</v>
      </c>
      <c r="D2027" s="2" t="str">
        <f t="shared" si="30"/>
        <v>Error?</v>
      </c>
    </row>
    <row r="2028" spans="1:4" x14ac:dyDescent="0.2">
      <c r="A2028" s="5">
        <v>1967</v>
      </c>
      <c r="B2028" s="138">
        <f>'Cap Outlay Deprec 26'!F10</f>
        <v>293543</v>
      </c>
      <c r="C2028" s="2" t="s">
        <v>573</v>
      </c>
      <c r="D2028" s="2" t="str">
        <f t="shared" si="30"/>
        <v>Error?</v>
      </c>
    </row>
    <row r="2029" spans="1:4" x14ac:dyDescent="0.2">
      <c r="A2029" s="5">
        <v>1968</v>
      </c>
      <c r="B2029" s="138">
        <f>'Cap Outlay Deprec 26'!F12</f>
        <v>123777</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2176843</v>
      </c>
      <c r="C2031" s="2" t="s">
        <v>573</v>
      </c>
      <c r="D2031" s="2" t="str">
        <f t="shared" si="30"/>
        <v>Error?</v>
      </c>
    </row>
    <row r="2032" spans="1:4" x14ac:dyDescent="0.2">
      <c r="A2032" s="10">
        <v>1971</v>
      </c>
      <c r="D2032" s="2" t="str">
        <f t="shared" si="30"/>
        <v>OK</v>
      </c>
    </row>
    <row r="2033" spans="1:4" x14ac:dyDescent="0.2">
      <c r="A2033" s="5">
        <v>1972</v>
      </c>
      <c r="B2033" s="138">
        <f>'Cap Outlay Deprec 26'!H8</f>
        <v>909293.01</v>
      </c>
      <c r="D2033" s="2" t="str">
        <f t="shared" si="30"/>
        <v>Error?</v>
      </c>
    </row>
    <row r="2034" spans="1:4" x14ac:dyDescent="0.2">
      <c r="A2034" s="5">
        <v>1973</v>
      </c>
      <c r="B2034" s="138">
        <f>'Cap Outlay Deprec 26'!H10</f>
        <v>70780.789999999994</v>
      </c>
      <c r="D2034" s="2" t="str">
        <f t="shared" si="30"/>
        <v>Error?</v>
      </c>
    </row>
    <row r="2035" spans="1:4" x14ac:dyDescent="0.2">
      <c r="A2035" s="5">
        <v>1974</v>
      </c>
      <c r="B2035" s="138">
        <f>'Cap Outlay Deprec 26'!H12</f>
        <v>85300.03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1065373.83</v>
      </c>
      <c r="C2037" s="2" t="s">
        <v>573</v>
      </c>
      <c r="D2037" s="2" t="str">
        <f t="shared" si="30"/>
        <v>Error?</v>
      </c>
    </row>
    <row r="2038" spans="1:4" x14ac:dyDescent="0.2">
      <c r="A2038" s="10">
        <v>1977</v>
      </c>
      <c r="D2038" s="2" t="str">
        <f t="shared" si="30"/>
        <v>OK</v>
      </c>
    </row>
    <row r="2039" spans="1:4" x14ac:dyDescent="0.2">
      <c r="A2039" s="5">
        <v>1978</v>
      </c>
      <c r="B2039" s="138">
        <f>'Cap Outlay Deprec 26'!I8</f>
        <v>34950.879999999997</v>
      </c>
      <c r="D2039" s="2" t="str">
        <f t="shared" si="30"/>
        <v>Error?</v>
      </c>
    </row>
    <row r="2040" spans="1:4" x14ac:dyDescent="0.2">
      <c r="A2040" s="5">
        <v>1979</v>
      </c>
      <c r="B2040" s="138">
        <f>'Cap Outlay Deprec 26'!I10</f>
        <v>12219.8</v>
      </c>
      <c r="D2040" s="2" t="str">
        <f t="shared" si="30"/>
        <v>Error?</v>
      </c>
    </row>
    <row r="2041" spans="1:4" x14ac:dyDescent="0.2">
      <c r="A2041" s="5">
        <v>1980</v>
      </c>
      <c r="B2041" s="138">
        <f>'Cap Outlay Deprec 26'!I12</f>
        <v>5423.32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52593.999999999993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944243.89</v>
      </c>
      <c r="C2051" s="2" t="s">
        <v>573</v>
      </c>
      <c r="D2051" s="2" t="str">
        <f t="shared" si="31"/>
        <v>Error?</v>
      </c>
    </row>
    <row r="2052" spans="1:4" x14ac:dyDescent="0.2">
      <c r="A2052" s="5">
        <v>1991</v>
      </c>
      <c r="B2052" s="138">
        <f>'Cap Outlay Deprec 26'!K10</f>
        <v>83000.59</v>
      </c>
      <c r="C2052" s="2" t="s">
        <v>573</v>
      </c>
      <c r="D2052" s="2" t="str">
        <f t="shared" si="31"/>
        <v>Error?</v>
      </c>
    </row>
    <row r="2053" spans="1:4" x14ac:dyDescent="0.2">
      <c r="A2053" s="5">
        <v>1992</v>
      </c>
      <c r="B2053" s="138">
        <f>'Cap Outlay Deprec 26'!K12</f>
        <v>90723.35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1117967.83</v>
      </c>
      <c r="C2055" s="2" t="s">
        <v>573</v>
      </c>
      <c r="D2055" s="2" t="str">
        <f t="shared" si="31"/>
        <v>Error?</v>
      </c>
    </row>
    <row r="2056" spans="1:4" x14ac:dyDescent="0.2">
      <c r="A2056" s="5">
        <v>1995</v>
      </c>
      <c r="B2056" s="138">
        <f>'Cap Outlay Deprec 26'!L5</f>
        <v>11979</v>
      </c>
      <c r="C2056" s="2" t="s">
        <v>573</v>
      </c>
      <c r="D2056" s="2" t="str">
        <f t="shared" si="31"/>
        <v>Error?</v>
      </c>
    </row>
    <row r="2057" spans="1:4" x14ac:dyDescent="0.2">
      <c r="A2057" s="5">
        <v>1996</v>
      </c>
      <c r="B2057" s="138">
        <f>'Cap Outlay Deprec 26'!L8</f>
        <v>803300.11</v>
      </c>
      <c r="C2057" s="2" t="s">
        <v>573</v>
      </c>
      <c r="D2057" s="2" t="str">
        <f t="shared" si="31"/>
        <v>Error?</v>
      </c>
    </row>
    <row r="2058" spans="1:4" x14ac:dyDescent="0.2">
      <c r="A2058" s="5">
        <v>1997</v>
      </c>
      <c r="B2058" s="138">
        <f>'Cap Outlay Deprec 26'!L10</f>
        <v>210542.41</v>
      </c>
      <c r="C2058" s="2" t="s">
        <v>573</v>
      </c>
      <c r="D2058" s="2" t="str">
        <f t="shared" si="31"/>
        <v>Error?</v>
      </c>
    </row>
    <row r="2059" spans="1:4" x14ac:dyDescent="0.2">
      <c r="A2059" s="5">
        <v>1998</v>
      </c>
      <c r="B2059" s="138">
        <f>'Cap Outlay Deprec 26'!L12</f>
        <v>33053.649999999994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1058875.17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71298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616788</v>
      </c>
      <c r="C2551" s="2" t="s">
        <v>573</v>
      </c>
      <c r="D2551" s="2" t="str">
        <f t="shared" si="38"/>
        <v>Error?</v>
      </c>
    </row>
    <row r="2552" spans="1:4" x14ac:dyDescent="0.2">
      <c r="A2552" s="10">
        <v>2491</v>
      </c>
      <c r="D2552" s="2" t="str">
        <f t="shared" si="38"/>
        <v>OK</v>
      </c>
    </row>
    <row r="2553" spans="1:4" x14ac:dyDescent="0.2">
      <c r="A2553" s="5">
        <v>2492</v>
      </c>
      <c r="B2553" s="138">
        <f>'Acct Summary 7-8'!C6</f>
        <v>100500</v>
      </c>
      <c r="C2553" s="2" t="s">
        <v>573</v>
      </c>
      <c r="D2553" s="2" t="str">
        <f t="shared" si="38"/>
        <v>Error?</v>
      </c>
    </row>
    <row r="2554" spans="1:4" x14ac:dyDescent="0.2">
      <c r="A2554" s="5">
        <v>2493</v>
      </c>
      <c r="B2554" s="138">
        <f>'Acct Summary 7-8'!C7</f>
        <v>93156</v>
      </c>
      <c r="C2554" s="2" t="s">
        <v>573</v>
      </c>
      <c r="D2554" s="2" t="str">
        <f t="shared" si="38"/>
        <v>Error?</v>
      </c>
    </row>
    <row r="2555" spans="1:4" x14ac:dyDescent="0.2">
      <c r="A2555" s="5">
        <v>2494</v>
      </c>
      <c r="B2555" s="138">
        <f>'Acct Summary 7-8'!C8</f>
        <v>810444</v>
      </c>
      <c r="C2555" s="2" t="s">
        <v>573</v>
      </c>
      <c r="D2555" s="2" t="str">
        <f t="shared" si="38"/>
        <v>Error?</v>
      </c>
    </row>
    <row r="2556" spans="1:4" x14ac:dyDescent="0.2">
      <c r="A2556" s="5">
        <v>2495</v>
      </c>
      <c r="B2556" s="138">
        <f>'Acct Summary 7-8'!C12</f>
        <v>507321</v>
      </c>
      <c r="C2556" s="2" t="s">
        <v>573</v>
      </c>
      <c r="D2556" s="2" t="str">
        <f t="shared" si="38"/>
        <v>Error?</v>
      </c>
    </row>
    <row r="2557" spans="1:4" x14ac:dyDescent="0.2">
      <c r="A2557" s="5">
        <v>2496</v>
      </c>
      <c r="B2557" s="138">
        <f>'Acct Summary 7-8'!C13</f>
        <v>210116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71298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788735</v>
      </c>
      <c r="C2561" s="2" t="s">
        <v>573</v>
      </c>
      <c r="D2561" s="2" t="str">
        <f t="shared" si="39"/>
        <v>Error?</v>
      </c>
    </row>
    <row r="2562" spans="1:4" x14ac:dyDescent="0.2">
      <c r="A2562" s="5">
        <v>2501</v>
      </c>
      <c r="B2562" s="138">
        <f>'Acct Summary 7-8'!C20</f>
        <v>21709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156655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156655</v>
      </c>
      <c r="C2568" s="2" t="s">
        <v>573</v>
      </c>
      <c r="D2568" s="2" t="str">
        <f t="shared" si="39"/>
        <v>Error?</v>
      </c>
    </row>
    <row r="2569" spans="1:4" x14ac:dyDescent="0.2">
      <c r="A2569" s="5">
        <v>2508</v>
      </c>
      <c r="B2569" s="138">
        <f>'Acct Summary 7-8'!D13</f>
        <v>125396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125396</v>
      </c>
      <c r="C2573" s="2" t="s">
        <v>573</v>
      </c>
      <c r="D2573" s="2" t="str">
        <f t="shared" si="39"/>
        <v>Error?</v>
      </c>
    </row>
    <row r="2574" spans="1:4" x14ac:dyDescent="0.2">
      <c r="A2574" s="5">
        <v>2513</v>
      </c>
      <c r="B2574" s="138">
        <f>'Acct Summary 7-8'!D20</f>
        <v>31259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30618</v>
      </c>
      <c r="C2591" s="2" t="s">
        <v>573</v>
      </c>
      <c r="D2591" s="2" t="str">
        <f t="shared" si="39"/>
        <v>Error?</v>
      </c>
    </row>
    <row r="2592" spans="1:4" x14ac:dyDescent="0.2">
      <c r="A2592" s="10">
        <v>2531</v>
      </c>
      <c r="D2592" s="2" t="str">
        <f t="shared" si="39"/>
        <v>OK</v>
      </c>
    </row>
    <row r="2593" spans="1:4" x14ac:dyDescent="0.2">
      <c r="A2593" s="5">
        <v>2532</v>
      </c>
      <c r="B2593" s="138">
        <f>'Acct Summary 7-8'!F6</f>
        <v>67576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98194</v>
      </c>
      <c r="C2595" s="2" t="s">
        <v>573</v>
      </c>
      <c r="D2595" s="2" t="str">
        <f t="shared" si="39"/>
        <v>Error?</v>
      </c>
    </row>
    <row r="2596" spans="1:4" x14ac:dyDescent="0.2">
      <c r="A2596" s="5">
        <v>2535</v>
      </c>
      <c r="B2596" s="138">
        <f>'Acct Summary 7-8'!F13</f>
        <v>56457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56457</v>
      </c>
      <c r="C2600" s="2" t="s">
        <v>573</v>
      </c>
      <c r="D2600" s="2" t="str">
        <f t="shared" si="39"/>
        <v>Error?</v>
      </c>
    </row>
    <row r="2601" spans="1:4" x14ac:dyDescent="0.2">
      <c r="A2601" s="5">
        <v>2540</v>
      </c>
      <c r="B2601" s="138">
        <f>'Acct Summary 7-8'!F20</f>
        <v>41737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29426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29426</v>
      </c>
      <c r="C2606" s="2" t="s">
        <v>573</v>
      </c>
      <c r="D2606" s="2" t="str">
        <f t="shared" si="39"/>
        <v>Error?</v>
      </c>
    </row>
    <row r="2607" spans="1:4" x14ac:dyDescent="0.2">
      <c r="A2607" s="5">
        <v>2546</v>
      </c>
      <c r="B2607" s="138">
        <f>'Acct Summary 7-8'!G12</f>
        <v>9694</v>
      </c>
      <c r="C2607" s="2" t="s">
        <v>573</v>
      </c>
      <c r="D2607" s="2" t="str">
        <f t="shared" si="39"/>
        <v>Error?</v>
      </c>
    </row>
    <row r="2608" spans="1:4" x14ac:dyDescent="0.2">
      <c r="A2608" s="5">
        <v>2547</v>
      </c>
      <c r="B2608" s="138">
        <f>'Acct Summary 7-8'!G13</f>
        <v>17766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27460</v>
      </c>
      <c r="C2612" s="2" t="s">
        <v>573</v>
      </c>
      <c r="D2612" s="2" t="str">
        <f t="shared" si="39"/>
        <v>Error?</v>
      </c>
    </row>
    <row r="2613" spans="1:4" x14ac:dyDescent="0.2">
      <c r="A2613" s="5">
        <v>2552</v>
      </c>
      <c r="B2613" s="138">
        <f>'Acct Summary 7-8'!G20</f>
        <v>1966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87427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13742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87427</v>
      </c>
      <c r="D2912" s="2" t="str">
        <f t="shared" si="44"/>
        <v>Error?</v>
      </c>
    </row>
    <row r="2913" spans="1:4" x14ac:dyDescent="0.2">
      <c r="A2913" s="5">
        <v>2852</v>
      </c>
      <c r="B2913" s="138">
        <f>'Assets-Liab 5-6'!I41</f>
        <v>87427</v>
      </c>
      <c r="C2913" s="2" t="s">
        <v>573</v>
      </c>
      <c r="D2913" s="2" t="str">
        <f t="shared" si="44"/>
        <v>Error?</v>
      </c>
    </row>
    <row r="2914" spans="1:4" x14ac:dyDescent="0.2">
      <c r="A2914" s="5">
        <v>2853</v>
      </c>
      <c r="B2914" s="138">
        <f>'Assets-Liab 5-6'!L33</f>
        <v>13742</v>
      </c>
      <c r="D2914" s="2" t="str">
        <f t="shared" si="44"/>
        <v>Error?</v>
      </c>
    </row>
    <row r="2915" spans="1:4" x14ac:dyDescent="0.2">
      <c r="A2915" s="10">
        <v>2854</v>
      </c>
      <c r="D2915" s="2" t="str">
        <f t="shared" si="44"/>
        <v>OK</v>
      </c>
    </row>
    <row r="2916" spans="1:4" x14ac:dyDescent="0.2">
      <c r="A2916" s="5">
        <v>2855</v>
      </c>
      <c r="B2916" s="138">
        <f>'Assets-Liab 5-6'!L34</f>
        <v>13742</v>
      </c>
      <c r="C2916" s="2" t="s">
        <v>573</v>
      </c>
      <c r="D2916" s="2" t="str">
        <f t="shared" si="44"/>
        <v>Error?</v>
      </c>
    </row>
    <row r="2917" spans="1:4" x14ac:dyDescent="0.2">
      <c r="A2917" s="5">
        <v>2856</v>
      </c>
      <c r="B2917" s="138">
        <f>'Assets-Liab 5-6'!L41</f>
        <v>13742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12846</v>
      </c>
      <c r="C3225" s="2" t="s">
        <v>573</v>
      </c>
      <c r="D3225" s="2" t="str">
        <f t="shared" si="49"/>
        <v>Error?</v>
      </c>
    </row>
    <row r="3226" spans="1:4" x14ac:dyDescent="0.2">
      <c r="A3226" s="5">
        <v>3165</v>
      </c>
      <c r="B3226" s="138">
        <f>'Acct Summary 7-8'!I8</f>
        <v>12846</v>
      </c>
      <c r="C3226" s="2" t="s">
        <v>573</v>
      </c>
      <c r="D3226" s="2" t="str">
        <f t="shared" si="49"/>
        <v>Error?</v>
      </c>
    </row>
    <row r="3227" spans="1:4" x14ac:dyDescent="0.2">
      <c r="A3227" s="5">
        <v>3166</v>
      </c>
      <c r="B3227" s="138">
        <f>'Acct Summary 7-8'!I20</f>
        <v>12846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30000</v>
      </c>
      <c r="C3232" s="2" t="s">
        <v>573</v>
      </c>
      <c r="D3232" s="2" t="str">
        <f t="shared" si="49"/>
        <v>Error?</v>
      </c>
    </row>
    <row r="3233" spans="1:4" x14ac:dyDescent="0.2">
      <c r="A3233" s="5">
        <v>3172</v>
      </c>
      <c r="B3233" s="138">
        <f>'Acct Summary 7-8'!C78</f>
        <v>51709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16000</v>
      </c>
      <c r="C3237" s="2" t="s">
        <v>573</v>
      </c>
      <c r="D3237" s="2" t="str">
        <f t="shared" si="49"/>
        <v>Error?</v>
      </c>
    </row>
    <row r="3238" spans="1:4" x14ac:dyDescent="0.2">
      <c r="A3238" s="5">
        <v>3177</v>
      </c>
      <c r="B3238" s="138">
        <f>'Acct Summary 7-8'!D77</f>
        <v>-16000</v>
      </c>
      <c r="C3238" s="2" t="s">
        <v>573</v>
      </c>
      <c r="D3238" s="2" t="str">
        <f t="shared" si="49"/>
        <v>Error?</v>
      </c>
    </row>
    <row r="3239" spans="1:4" x14ac:dyDescent="0.2">
      <c r="A3239" s="5">
        <v>3178</v>
      </c>
      <c r="B3239" s="138">
        <f>'Acct Summary 7-8'!D78</f>
        <v>15259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41737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1966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14000</v>
      </c>
      <c r="C3318" s="2" t="s">
        <v>573</v>
      </c>
      <c r="D3318" s="2" t="str">
        <f t="shared" si="50"/>
        <v>Error?</v>
      </c>
    </row>
    <row r="3319" spans="1:4" x14ac:dyDescent="0.2">
      <c r="A3319" s="5">
        <v>3258</v>
      </c>
      <c r="B3319" s="138">
        <f>'Acct Summary 7-8'!I77</f>
        <v>-14000</v>
      </c>
      <c r="C3319" s="2" t="s">
        <v>573</v>
      </c>
      <c r="D3319" s="2" t="str">
        <f t="shared" si="50"/>
        <v>Error?</v>
      </c>
    </row>
    <row r="3320" spans="1:4" x14ac:dyDescent="0.2">
      <c r="A3320" s="5">
        <v>3259</v>
      </c>
      <c r="B3320" s="138">
        <f>'Acct Summary 7-8'!I78</f>
        <v>-1154</v>
      </c>
      <c r="C3320" s="2" t="s">
        <v>573</v>
      </c>
      <c r="D3320" s="2" t="str">
        <f t="shared" si="50"/>
        <v>Error?</v>
      </c>
    </row>
    <row r="3321" spans="1:4" x14ac:dyDescent="0.2">
      <c r="A3321" s="5">
        <v>3260</v>
      </c>
      <c r="B3321" s="138">
        <f>'Acct Summary 7-8'!I79</f>
        <v>88581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87427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29910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29910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9092</v>
      </c>
      <c r="D3387" s="2" t="str">
        <f t="shared" si="51"/>
        <v>Error?</v>
      </c>
    </row>
    <row r="3388" spans="1:4" x14ac:dyDescent="0.2">
      <c r="A3388" s="5">
        <v>3327</v>
      </c>
      <c r="B3388" s="138">
        <f>'Expenditures 15-22'!D217</f>
        <v>434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9092</v>
      </c>
      <c r="C3390" s="2" t="s">
        <v>573</v>
      </c>
      <c r="D3390" s="2" t="str">
        <f t="shared" si="51"/>
        <v>Error?</v>
      </c>
    </row>
    <row r="3391" spans="1:4" x14ac:dyDescent="0.2">
      <c r="A3391" s="5">
        <v>3330</v>
      </c>
      <c r="B3391" s="138">
        <f>'Expenditures 15-22'!K217</f>
        <v>434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898079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397436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159608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52152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87427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13742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21195</v>
      </c>
      <c r="C3446" s="2" t="s">
        <v>573</v>
      </c>
      <c r="D3446" s="2" t="str">
        <f t="shared" si="52"/>
        <v>Error?</v>
      </c>
    </row>
    <row r="3447" spans="1:4" x14ac:dyDescent="0.2">
      <c r="A3447" s="5">
        <v>3386</v>
      </c>
      <c r="B3447" s="138">
        <f>'Tax Sched 23'!D16</f>
        <v>9235</v>
      </c>
      <c r="C3447" s="2" t="s">
        <v>573</v>
      </c>
      <c r="D3447" s="2" t="str">
        <f t="shared" si="52"/>
        <v>Error?</v>
      </c>
    </row>
    <row r="3448" spans="1:4" x14ac:dyDescent="0.2">
      <c r="A3448" s="5">
        <v>3387</v>
      </c>
      <c r="B3448" s="138">
        <f>'Tax Sched 23'!C16</f>
        <v>11960</v>
      </c>
      <c r="D3448" s="2" t="str">
        <f t="shared" si="52"/>
        <v>Error?</v>
      </c>
    </row>
    <row r="3449" spans="1:4" x14ac:dyDescent="0.2">
      <c r="A3449" s="5">
        <v>3388</v>
      </c>
      <c r="B3449" s="138">
        <f>'Tax Sched 23'!F16</f>
        <v>13000</v>
      </c>
      <c r="C3449" s="2" t="s">
        <v>573</v>
      </c>
      <c r="D3449" s="2" t="str">
        <f t="shared" si="52"/>
        <v>Error?</v>
      </c>
    </row>
    <row r="3450" spans="1:4" x14ac:dyDescent="0.2">
      <c r="A3450" s="5">
        <v>3389</v>
      </c>
      <c r="B3450" s="138">
        <f>'Tax Sched 23'!E16</f>
        <v>24960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385311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1195755</v>
      </c>
      <c r="C4122" s="2" t="s">
        <v>573</v>
      </c>
      <c r="D4122" s="2" t="str">
        <f t="shared" si="63"/>
        <v>Error?</v>
      </c>
    </row>
    <row r="4123" spans="1:4" x14ac:dyDescent="0.2">
      <c r="A4123" s="5">
        <v>4062</v>
      </c>
      <c r="B4123" s="138">
        <f>'Acct Summary 7-8'!D10</f>
        <v>156655</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98194</v>
      </c>
      <c r="C4125" s="2" t="s">
        <v>573</v>
      </c>
      <c r="D4125" s="2" t="str">
        <f t="shared" si="63"/>
        <v>Error?</v>
      </c>
    </row>
    <row r="4126" spans="1:4" x14ac:dyDescent="0.2">
      <c r="A4126" s="5">
        <v>4065</v>
      </c>
      <c r="B4126" s="138">
        <f>'Acct Summary 7-8'!G10</f>
        <v>29426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12846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385311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1174046</v>
      </c>
      <c r="C4136" s="2" t="s">
        <v>573</v>
      </c>
      <c r="D4136" s="2" t="str">
        <f t="shared" si="63"/>
        <v>Error?</v>
      </c>
    </row>
    <row r="4137" spans="1:4" x14ac:dyDescent="0.2">
      <c r="A4137" s="5">
        <v>4076</v>
      </c>
      <c r="B4137" s="138">
        <f>'Acct Summary 7-8'!D19</f>
        <v>125396</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56457</v>
      </c>
      <c r="C4139" s="2" t="s">
        <v>573</v>
      </c>
      <c r="D4139" s="2" t="str">
        <f t="shared" si="63"/>
        <v>Error?</v>
      </c>
    </row>
    <row r="4140" spans="1:4" x14ac:dyDescent="0.2">
      <c r="A4140" s="5">
        <v>4079</v>
      </c>
      <c r="B4140" s="138">
        <f>'Acct Summary 7-8'!G19</f>
        <v>27460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2078.4899999999998</v>
      </c>
      <c r="C4265" s="2" t="s">
        <v>573</v>
      </c>
      <c r="D4265" s="2" t="str">
        <f t="shared" si="65"/>
        <v>Error?</v>
      </c>
      <c r="E4265" s="128"/>
    </row>
    <row r="4266" spans="1:5" x14ac:dyDescent="0.2">
      <c r="A4266" s="12">
        <v>4205</v>
      </c>
      <c r="B4266" s="138">
        <f>('FP Info 3'!F10)*100000</f>
        <v>544.37</v>
      </c>
      <c r="C4266" s="2" t="s">
        <v>573</v>
      </c>
      <c r="D4266" s="2" t="str">
        <f t="shared" si="65"/>
        <v>Error?</v>
      </c>
      <c r="E4266" s="128"/>
    </row>
    <row r="4267" spans="1:5" x14ac:dyDescent="0.2">
      <c r="A4267" s="12">
        <v>4206</v>
      </c>
      <c r="B4267" s="138">
        <f>('FP Info 3'!H10)*100000</f>
        <v>118.77000000000001</v>
      </c>
      <c r="C4267" s="2" t="s">
        <v>573</v>
      </c>
      <c r="D4267" s="2" t="str">
        <f t="shared" si="65"/>
        <v>Error?</v>
      </c>
      <c r="E4267" s="128"/>
    </row>
    <row r="4268" spans="1:5" x14ac:dyDescent="0.2">
      <c r="A4268" s="12">
        <v>4207</v>
      </c>
      <c r="B4268" s="138">
        <f>('FP Info 3'!J10)*100000</f>
        <v>2742</v>
      </c>
      <c r="C4268" s="2" t="s">
        <v>573</v>
      </c>
      <c r="D4268" s="2" t="str">
        <f t="shared" si="65"/>
        <v>Error?</v>
      </c>
    </row>
    <row r="4269" spans="1:5" x14ac:dyDescent="0.2">
      <c r="A4269" s="12">
        <v>4208</v>
      </c>
      <c r="B4269" s="138">
        <f>'FP Info 3'!J16</f>
        <v>1542550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6858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5134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49.49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14767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750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16794</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30236577</v>
      </c>
      <c r="D4995" s="2" t="str">
        <f t="shared" si="77"/>
        <v>Error?</v>
      </c>
    </row>
    <row r="4996" spans="1:4" x14ac:dyDescent="0.2">
      <c r="A4996" s="12">
        <v>4935</v>
      </c>
      <c r="B4996" s="138">
        <f>'FP Info 3'!H31</f>
        <v>2086323.8130000001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16000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16000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534450</v>
      </c>
      <c r="D5061" s="2" t="str">
        <f t="shared" si="78"/>
        <v>Error?</v>
      </c>
    </row>
    <row r="5062" spans="1:4" x14ac:dyDescent="0.2">
      <c r="A5062" s="10">
        <v>5001</v>
      </c>
      <c r="D5062" s="2" t="str">
        <f t="shared" si="78"/>
        <v>OK</v>
      </c>
    </row>
    <row r="5063" spans="1:4" x14ac:dyDescent="0.2">
      <c r="A5063" s="5">
        <v>5002</v>
      </c>
      <c r="B5063" s="138">
        <f>'Revenues 9-14'!C7</f>
        <v>5090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539540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34501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34501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973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11473</v>
      </c>
      <c r="C5096" s="2" t="s">
        <v>573</v>
      </c>
      <c r="D5096" s="2" t="str">
        <f t="shared" si="78"/>
        <v>Error?</v>
      </c>
    </row>
    <row r="5097" spans="1:4" x14ac:dyDescent="0.2">
      <c r="A5097" s="5">
        <v>5036</v>
      </c>
      <c r="B5097" s="138">
        <f>'Revenues 9-14'!C77</f>
        <v>2040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1702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3932</v>
      </c>
      <c r="D5101" s="2" t="str">
        <f t="shared" si="78"/>
        <v>Error?</v>
      </c>
    </row>
    <row r="5102" spans="1:4" x14ac:dyDescent="0.2">
      <c r="A5102" s="5">
        <v>5041</v>
      </c>
      <c r="B5102" s="138">
        <f>'Revenues 9-14'!C82</f>
        <v>7674</v>
      </c>
      <c r="C5102" s="2" t="s">
        <v>573</v>
      </c>
      <c r="D5102" s="2" t="str">
        <f t="shared" si="78"/>
        <v>Error?</v>
      </c>
    </row>
    <row r="5103" spans="1:4" x14ac:dyDescent="0.2">
      <c r="A5103" s="5">
        <v>5042</v>
      </c>
      <c r="B5103" s="138">
        <f>'Revenues 9-14'!C84</f>
        <v>2713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358</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3071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5750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20529</v>
      </c>
      <c r="C5120" s="2" t="s">
        <v>573</v>
      </c>
      <c r="D5120" s="2" t="str">
        <f t="shared" si="79"/>
        <v>Error?</v>
      </c>
    </row>
    <row r="5121" spans="1:4" x14ac:dyDescent="0.2">
      <c r="A5121" s="5">
        <v>5060</v>
      </c>
      <c r="B5121" s="138">
        <f>'Revenues 9-14'!C109</f>
        <v>616788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96718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97468</v>
      </c>
      <c r="C5132" s="2" t="s">
        <v>573</v>
      </c>
      <c r="D5132" s="2" t="str">
        <f t="shared" si="79"/>
        <v>Error?</v>
      </c>
    </row>
    <row r="5133" spans="1:4" x14ac:dyDescent="0.2">
      <c r="A5133" s="5">
        <v>5072</v>
      </c>
      <c r="B5133" s="138">
        <f>'Revenues 9-14'!C125</f>
        <v>2775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2775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257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3032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100500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16794</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16335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16335</v>
      </c>
      <c r="C5246" s="2" t="s">
        <v>573</v>
      </c>
      <c r="D5246" s="2" t="str">
        <f t="shared" si="80"/>
        <v>Error?</v>
      </c>
    </row>
    <row r="5247" spans="1:4" x14ac:dyDescent="0.2">
      <c r="A5247" s="5">
        <v>5186</v>
      </c>
      <c r="B5247" s="138">
        <f>'Revenues 9-14'!C200</f>
        <v>29735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29735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8300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8300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76362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93156</v>
      </c>
      <c r="C5326" s="2" t="s">
        <v>573</v>
      </c>
      <c r="D5326" s="2" t="str">
        <f t="shared" si="82"/>
        <v>Error?</v>
      </c>
    </row>
    <row r="5327" spans="1:5" x14ac:dyDescent="0.2">
      <c r="A5327" s="5">
        <v>5266</v>
      </c>
      <c r="B5327" s="138">
        <f>'Revenues 9-14'!C268</f>
        <v>810444</v>
      </c>
      <c r="C5327" s="2" t="s">
        <v>573</v>
      </c>
      <c r="D5327" s="2" t="str">
        <f t="shared" si="82"/>
        <v>Error?</v>
      </c>
    </row>
    <row r="5328" spans="1:5" x14ac:dyDescent="0.2">
      <c r="A5328" s="5">
        <v>5267</v>
      </c>
      <c r="B5328" s="138">
        <f>'Revenues 9-14'!D5</f>
        <v>139976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139976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152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16397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16527</v>
      </c>
      <c r="C5355" s="2" t="s">
        <v>573</v>
      </c>
      <c r="D5355" s="2" t="str">
        <f t="shared" si="82"/>
        <v>Error?</v>
      </c>
    </row>
    <row r="5356" spans="1:4" x14ac:dyDescent="0.2">
      <c r="A5356" s="5">
        <v>5295</v>
      </c>
      <c r="B5356" s="138">
        <f>'Revenues 9-14'!D109</f>
        <v>156655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156655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30540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30540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v>
      </c>
      <c r="D5586" s="2" t="str">
        <f t="shared" si="86"/>
        <v>Error?</v>
      </c>
    </row>
    <row r="5587" spans="1:4" x14ac:dyDescent="0.2">
      <c r="A5587" s="5">
        <v>5526</v>
      </c>
      <c r="B5587" s="138">
        <f>'Revenues 9-14'!F108</f>
        <v>8</v>
      </c>
      <c r="C5587" s="2" t="s">
        <v>573</v>
      </c>
      <c r="D5587" s="2" t="str">
        <f t="shared" si="86"/>
        <v>Error?</v>
      </c>
    </row>
    <row r="5588" spans="1:4" x14ac:dyDescent="0.2">
      <c r="A5588" s="5">
        <v>5527</v>
      </c>
      <c r="B5588" s="138">
        <f>'Revenues 9-14'!F109</f>
        <v>30618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58654</v>
      </c>
      <c r="D5615" s="2" t="str">
        <f t="shared" si="86"/>
        <v>Error?</v>
      </c>
    </row>
    <row r="5616" spans="1:4" x14ac:dyDescent="0.2">
      <c r="A5616" s="10">
        <v>5555</v>
      </c>
      <c r="D5616" s="2" t="str">
        <f t="shared" si="86"/>
        <v>OK</v>
      </c>
    </row>
    <row r="5617" spans="1:5" x14ac:dyDescent="0.2">
      <c r="A5617" s="5">
        <v>5556</v>
      </c>
      <c r="B5617" s="138">
        <f>'Revenues 9-14'!F153</f>
        <v>8922</v>
      </c>
      <c r="D5617" s="2" t="str">
        <f t="shared" si="86"/>
        <v>Error?</v>
      </c>
    </row>
    <row r="5618" spans="1:5" x14ac:dyDescent="0.2">
      <c r="A5618" s="5">
        <v>5557</v>
      </c>
      <c r="B5618" s="138">
        <f>'Revenues 9-14'!F155</f>
        <v>67576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67576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67576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98194</v>
      </c>
      <c r="C5720" s="2" t="s">
        <v>573</v>
      </c>
      <c r="D5720" s="2" t="str">
        <f t="shared" si="88"/>
        <v>Error?</v>
      </c>
    </row>
    <row r="5721" spans="1:4" x14ac:dyDescent="0.2">
      <c r="A5721" s="5">
        <v>5660</v>
      </c>
      <c r="B5721" s="138">
        <f>'Revenues 9-14'!G5</f>
        <v>6449</v>
      </c>
      <c r="D5721" s="2" t="str">
        <f t="shared" si="88"/>
        <v>Error?</v>
      </c>
    </row>
    <row r="5722" spans="1:4" x14ac:dyDescent="0.2">
      <c r="A5722" s="5">
        <v>5661</v>
      </c>
      <c r="B5722" s="138">
        <f>'Revenues 9-14'!G7</f>
        <v>0</v>
      </c>
      <c r="D5722" s="2" t="str">
        <f t="shared" si="88"/>
        <v>Error?</v>
      </c>
    </row>
    <row r="5723" spans="1:4" x14ac:dyDescent="0.2">
      <c r="A5723" s="5">
        <v>5662</v>
      </c>
      <c r="B5723" s="138">
        <f>'Revenues 9-14'!G8</f>
        <v>21195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27644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1720</v>
      </c>
      <c r="C5730" s="2" t="s">
        <v>573</v>
      </c>
      <c r="D5730" s="2" t="str">
        <f t="shared" si="88"/>
        <v>Error?</v>
      </c>
    </row>
    <row r="5731" spans="1:4" x14ac:dyDescent="0.2">
      <c r="A5731" s="5">
        <v>5670</v>
      </c>
      <c r="B5731" s="138">
        <f>'Revenues 9-14'!G65</f>
        <v>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29426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12726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12726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12846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29426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12846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10500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71.290000000000006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59799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59799</v>
      </c>
      <c r="D6215" s="2" t="str">
        <f t="shared" si="96"/>
        <v>Error?</v>
      </c>
      <c r="E6215" s="2" t="s">
        <v>190</v>
      </c>
    </row>
    <row r="6216" spans="1:5" x14ac:dyDescent="0.2">
      <c r="A6216">
        <v>6155</v>
      </c>
      <c r="B6216" s="138">
        <f>'Assets-Liab 5-6'!J41</f>
        <v>59799</v>
      </c>
      <c r="D6216" s="2" t="str">
        <f t="shared" si="96"/>
        <v>Error?</v>
      </c>
      <c r="E6216" s="2" t="s">
        <v>190</v>
      </c>
    </row>
    <row r="6217" spans="1:5" x14ac:dyDescent="0.2">
      <c r="A6217">
        <v>6156</v>
      </c>
      <c r="B6217" s="138">
        <f>'Assets-Liab 5-6'!J4</f>
        <v>59799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105924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105924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105924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119654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119654</v>
      </c>
      <c r="D6229" s="2" t="str">
        <f t="shared" si="96"/>
        <v>Error?</v>
      </c>
      <c r="E6229" s="2" t="s">
        <v>190</v>
      </c>
    </row>
    <row r="6230" spans="1:5" x14ac:dyDescent="0.2">
      <c r="A6230">
        <v>6169</v>
      </c>
      <c r="B6230" s="138">
        <f>'Acct Summary 7-8'!J20</f>
        <v>-13730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-13730</v>
      </c>
      <c r="D6263" s="2" t="str">
        <f t="shared" si="96"/>
        <v>Error?</v>
      </c>
      <c r="E6263" s="2" t="s">
        <v>190</v>
      </c>
    </row>
    <row r="6264" spans="1:5" x14ac:dyDescent="0.2">
      <c r="A6264">
        <v>6203</v>
      </c>
      <c r="B6264" s="138">
        <f>'Acct Summary 7-8'!J79</f>
        <v>73529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59799</v>
      </c>
      <c r="D6266" s="2" t="str">
        <f t="shared" si="96"/>
        <v>Error?</v>
      </c>
      <c r="E6266" s="2" t="s">
        <v>190</v>
      </c>
    </row>
    <row r="6267" spans="1:5" x14ac:dyDescent="0.2">
      <c r="A6267">
        <v>6206</v>
      </c>
      <c r="B6267" s="138">
        <f>'Acct Summary 7-8'!C82</f>
        <v>51709</v>
      </c>
      <c r="D6267" s="2" t="str">
        <f t="shared" si="96"/>
        <v>Error?</v>
      </c>
      <c r="E6267" s="2" t="s">
        <v>190</v>
      </c>
    </row>
    <row r="6268" spans="1:5" x14ac:dyDescent="0.2">
      <c r="A6268">
        <v>6207</v>
      </c>
      <c r="B6268" s="138">
        <f>'Acct Summary 7-8'!D82</f>
        <v>15259</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41737</v>
      </c>
      <c r="D6270" s="2" t="str">
        <f t="shared" si="96"/>
        <v>Error?</v>
      </c>
      <c r="E6270" s="2" t="s">
        <v>190</v>
      </c>
    </row>
    <row r="6271" spans="1:5" x14ac:dyDescent="0.2">
      <c r="A6271">
        <v>6210</v>
      </c>
      <c r="B6271" s="138">
        <f>'Acct Summary 7-8'!G82</f>
        <v>1966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-1154</v>
      </c>
      <c r="D6273" s="2" t="str">
        <f t="shared" si="97"/>
        <v>Error?</v>
      </c>
      <c r="E6273" s="2" t="s">
        <v>190</v>
      </c>
    </row>
    <row r="6274" spans="1:5" x14ac:dyDescent="0.2">
      <c r="A6274">
        <v>6213</v>
      </c>
      <c r="B6274" s="138">
        <f>'Acct Summary 7-8'!J82</f>
        <v>-13730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5.7577340078100031E-2</v>
      </c>
      <c r="D6276" s="2" t="str">
        <f t="shared" si="97"/>
        <v>Error?</v>
      </c>
      <c r="E6276" s="2" t="s">
        <v>190</v>
      </c>
    </row>
    <row r="6277" spans="1:5" x14ac:dyDescent="0.2">
      <c r="A6277">
        <v>6216</v>
      </c>
      <c r="B6277" s="138">
        <f>'Acct Summary 7-8'!D83</f>
        <v>3.8393602995199227E-2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0.261496917447747</v>
      </c>
      <c r="D6279" s="2" t="str">
        <f t="shared" si="97"/>
        <v>Error?</v>
      </c>
      <c r="E6279" s="2" t="s">
        <v>190</v>
      </c>
    </row>
    <row r="6280" spans="1:5" x14ac:dyDescent="0.2">
      <c r="A6280">
        <v>6219</v>
      </c>
      <c r="B6280" s="138">
        <f>'Acct Summary 7-8'!G83</f>
        <v>3.7697499616505599E-2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-1.3199583652647352E-2</v>
      </c>
      <c r="D6282" s="2" t="str">
        <f t="shared" si="97"/>
        <v>Error?</v>
      </c>
      <c r="E6282" s="2" t="s">
        <v>190</v>
      </c>
    </row>
    <row r="6283" spans="1:5" x14ac:dyDescent="0.2">
      <c r="A6283">
        <v>6222</v>
      </c>
      <c r="B6283" s="138">
        <f>'Acct Summary 7-8'!J83</f>
        <v>-0.22960250171407548</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105914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105914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10</v>
      </c>
      <c r="D6351" s="2" t="str">
        <f t="shared" si="98"/>
        <v>Error?</v>
      </c>
      <c r="E6351" s="2" t="s">
        <v>190</v>
      </c>
    </row>
    <row r="6352" spans="1:5" x14ac:dyDescent="0.2">
      <c r="A6352">
        <v>6291</v>
      </c>
      <c r="B6352" s="138">
        <f>'Revenues 9-14'!J109</f>
        <v>105924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71298</v>
      </c>
      <c r="D6983" s="2" t="str">
        <f t="shared" si="108"/>
        <v>Error?</v>
      </c>
    </row>
    <row r="6984" spans="1:4" x14ac:dyDescent="0.2">
      <c r="A6984">
        <v>6923</v>
      </c>
      <c r="B6984" s="138">
        <f>'Expenditures 15-22'!K86</f>
        <v>71298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71298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119654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105924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1248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1248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1412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1412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116994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116994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116994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2660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119654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116994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2660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119654</v>
      </c>
      <c r="D7224" s="2" t="str">
        <f t="shared" si="111"/>
        <v>Error?</v>
      </c>
    </row>
    <row r="7225" spans="1:4" x14ac:dyDescent="0.2">
      <c r="A7225">
        <v>7164</v>
      </c>
      <c r="B7225" s="138">
        <f>'Expenditures 15-22'!K343</f>
        <v>-13730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52593.999999999993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5090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14000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14389</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7" t="s">
        <v>1191</v>
      </c>
      <c r="B2" s="2387"/>
      <c r="C2" s="2387"/>
      <c r="D2" s="2387"/>
      <c r="E2" s="2387"/>
      <c r="F2" s="2387"/>
      <c r="G2" s="2387"/>
      <c r="H2" s="2387"/>
      <c r="I2" s="2387"/>
      <c r="J2" s="2387"/>
      <c r="K2" s="2387"/>
      <c r="L2" s="2387"/>
    </row>
    <row r="3" spans="1:29" ht="13.5" customHeight="1" x14ac:dyDescent="0.2">
      <c r="A3" s="2418" t="s">
        <v>1190</v>
      </c>
      <c r="B3" s="2418"/>
      <c r="C3" s="2418"/>
      <c r="D3" s="2418"/>
      <c r="E3" s="2418"/>
      <c r="F3" s="2418"/>
      <c r="G3" s="2418"/>
      <c r="H3" s="2418"/>
      <c r="I3" s="2418"/>
      <c r="J3" s="2418"/>
      <c r="K3" s="2418"/>
      <c r="L3" s="2418"/>
    </row>
    <row r="4" spans="1:29" ht="13.5" customHeight="1" x14ac:dyDescent="0.2">
      <c r="A4" s="2387" t="s">
        <v>1989</v>
      </c>
      <c r="B4" s="2408"/>
      <c r="C4" s="2408"/>
      <c r="D4" s="2408"/>
      <c r="E4" s="2408"/>
      <c r="F4" s="2408"/>
      <c r="G4" s="2408"/>
      <c r="H4" s="2408"/>
      <c r="I4" s="2408"/>
      <c r="J4" s="2408"/>
      <c r="K4" s="2408"/>
      <c r="L4" s="240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9" t="str">
        <f>COVER!A17</f>
        <v>Eswood CCSD 269</v>
      </c>
      <c r="B7" s="2410"/>
      <c r="C7" s="2410"/>
      <c r="D7" s="2411"/>
      <c r="E7" s="2412">
        <f>COVER!A13</f>
        <v>47071269004</v>
      </c>
      <c r="F7" s="2413"/>
      <c r="G7" s="2419" t="str">
        <f>COVER!T23</f>
        <v>066-004656</v>
      </c>
      <c r="H7" s="2420"/>
      <c r="I7" s="2420"/>
      <c r="J7" s="2420"/>
      <c r="K7" s="2420"/>
      <c r="L7" s="2421"/>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2"/>
      <c r="B9" s="2423"/>
      <c r="C9" s="2423"/>
      <c r="D9" s="2423"/>
      <c r="E9" s="2423"/>
      <c r="F9" s="2424"/>
      <c r="G9" s="2393" t="str">
        <f>COVER!T13</f>
        <v>NEWKIRK &amp; ASSOCIATES, INC.</v>
      </c>
      <c r="H9" s="2425"/>
      <c r="I9" s="2425"/>
      <c r="J9" s="2425"/>
      <c r="K9" s="2425"/>
      <c r="L9" s="2426"/>
    </row>
    <row r="10" spans="1:29" ht="13.5" customHeight="1" x14ac:dyDescent="0.2">
      <c r="A10" s="2399" t="str">
        <f>COVER!A38</f>
        <v>JOSEPH SCHWARTZ</v>
      </c>
      <c r="B10" s="2400"/>
      <c r="C10" s="2400"/>
      <c r="D10" s="2400"/>
      <c r="E10" s="2400"/>
      <c r="F10" s="2401"/>
      <c r="G10" s="2393" t="str">
        <f>COVER!T17</f>
        <v>2 W. MAIN STREET</v>
      </c>
      <c r="H10" s="2394"/>
      <c r="I10" s="2394"/>
      <c r="J10" s="2394"/>
      <c r="K10" s="2394"/>
      <c r="L10" s="2395"/>
    </row>
    <row r="11" spans="1:29" ht="13.5" customHeight="1" x14ac:dyDescent="0.2">
      <c r="A11" s="1183" t="s">
        <v>1519</v>
      </c>
      <c r="B11" s="1184"/>
      <c r="C11" s="1185"/>
      <c r="D11" s="1190"/>
      <c r="E11" s="1185"/>
      <c r="F11" s="1189"/>
      <c r="G11" s="2393" t="str">
        <f>COVER!T19</f>
        <v>PLANO</v>
      </c>
      <c r="H11" s="2394"/>
      <c r="I11" s="2394"/>
      <c r="J11" s="2394"/>
      <c r="K11" s="2394"/>
      <c r="L11" s="2395"/>
    </row>
    <row r="12" spans="1:29" ht="13.5" customHeight="1" x14ac:dyDescent="0.2">
      <c r="A12" s="2402" t="s">
        <v>1518</v>
      </c>
      <c r="B12" s="2403"/>
      <c r="C12" s="2403"/>
      <c r="D12" s="2403"/>
      <c r="E12" s="2403"/>
      <c r="F12" s="2404"/>
      <c r="G12" s="2396"/>
      <c r="H12" s="2397"/>
      <c r="I12" s="2397"/>
      <c r="J12" s="2397"/>
      <c r="K12" s="2397"/>
      <c r="L12" s="2398"/>
    </row>
    <row r="13" spans="1:29" ht="13.5" customHeight="1" x14ac:dyDescent="0.2">
      <c r="A13" s="2393"/>
      <c r="B13" s="2394"/>
      <c r="C13" s="2394"/>
      <c r="D13" s="2394"/>
      <c r="E13" s="2394"/>
      <c r="F13" s="2395"/>
      <c r="G13" s="2388" t="s">
        <v>1520</v>
      </c>
      <c r="H13" s="2389"/>
      <c r="I13" s="2405" t="str">
        <f>COVER!T25</f>
        <v>BNEWKIRK@NEWKIRKCPAS.COM</v>
      </c>
      <c r="J13" s="2406"/>
      <c r="K13" s="2406"/>
      <c r="L13" s="2407"/>
    </row>
    <row r="14" spans="1:29" ht="13.5" customHeight="1" x14ac:dyDescent="0.2">
      <c r="A14" s="2393" t="str">
        <f>COVER!A19</f>
        <v>304 N. MAIN STREET</v>
      </c>
      <c r="B14" s="2394"/>
      <c r="C14" s="2394"/>
      <c r="D14" s="2394"/>
      <c r="E14" s="2394"/>
      <c r="F14" s="2395"/>
      <c r="G14" s="1194" t="s">
        <v>1185</v>
      </c>
      <c r="H14" s="1192"/>
      <c r="I14" s="1192"/>
      <c r="J14" s="1192"/>
      <c r="K14" s="1192"/>
      <c r="L14" s="1193"/>
    </row>
    <row r="15" spans="1:29" ht="13.5" customHeight="1" x14ac:dyDescent="0.2">
      <c r="A15" s="2393" t="str">
        <f>COVER!A21</f>
        <v>LINDENWOOD</v>
      </c>
      <c r="B15" s="2394"/>
      <c r="C15" s="2394"/>
      <c r="D15" s="2394"/>
      <c r="E15" s="2394"/>
      <c r="F15" s="2395"/>
      <c r="G15" s="2390" t="str">
        <f>COVER!T15</f>
        <v>WILLIAM J. NEWKIRK</v>
      </c>
      <c r="H15" s="2391"/>
      <c r="I15" s="2391"/>
      <c r="J15" s="2391"/>
      <c r="K15" s="2391"/>
      <c r="L15" s="2392"/>
    </row>
    <row r="16" spans="1:29" ht="12.2" customHeight="1" x14ac:dyDescent="0.2">
      <c r="A16" s="2415">
        <f>COVER!A25</f>
        <v>61049</v>
      </c>
      <c r="B16" s="2416"/>
      <c r="C16" s="2416"/>
      <c r="D16" s="2416"/>
      <c r="E16" s="2416"/>
      <c r="F16" s="2417"/>
      <c r="G16" s="2427"/>
      <c r="H16" s="2428"/>
      <c r="I16" s="2428"/>
      <c r="J16" s="2428"/>
      <c r="K16" s="2428"/>
      <c r="L16" s="2429"/>
    </row>
    <row r="17" spans="1:13" ht="12.2" customHeight="1" x14ac:dyDescent="0.2">
      <c r="A17" s="2430"/>
      <c r="B17" s="2416"/>
      <c r="C17" s="2416"/>
      <c r="D17" s="2416"/>
      <c r="E17" s="2416"/>
      <c r="F17" s="2417"/>
      <c r="G17" s="1194" t="s">
        <v>1184</v>
      </c>
      <c r="H17" s="1192"/>
      <c r="I17" s="1192"/>
      <c r="J17" s="1192"/>
      <c r="K17" s="1196" t="s">
        <v>1183</v>
      </c>
      <c r="L17" s="1189"/>
      <c r="M17" s="1182"/>
    </row>
    <row r="18" spans="1:13" ht="12.2" customHeight="1" x14ac:dyDescent="0.2">
      <c r="A18" s="2399"/>
      <c r="B18" s="2400"/>
      <c r="C18" s="2400"/>
      <c r="D18" s="2400"/>
      <c r="E18" s="2400"/>
      <c r="F18" s="2401"/>
      <c r="G18" s="2409" t="str">
        <f>COVER!T21</f>
        <v>630-552-1040</v>
      </c>
      <c r="H18" s="2410"/>
      <c r="I18" s="2410"/>
      <c r="J18" s="2410"/>
      <c r="K18" s="2409" t="str">
        <f>COVER!X21</f>
        <v>630-552-7399</v>
      </c>
      <c r="L18" s="241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1" t="str">
        <f>'Single Audit Cover'!A7</f>
        <v>Eswood CCSD 269</v>
      </c>
      <c r="B1" s="2408"/>
      <c r="C1" s="2408"/>
      <c r="D1" s="2408"/>
    </row>
    <row r="2" spans="1:11" s="1211" customFormat="1" ht="12.75" x14ac:dyDescent="0.2">
      <c r="A2" s="2432">
        <f>'Single Audit Cover'!E7</f>
        <v>47071269004</v>
      </c>
      <c r="B2" s="2433"/>
      <c r="C2" s="2433"/>
      <c r="D2" s="2433"/>
    </row>
    <row r="3" spans="1:11" s="1211" customFormat="1" ht="12.75" x14ac:dyDescent="0.2">
      <c r="A3" s="2431" t="s">
        <v>1513</v>
      </c>
      <c r="B3" s="2408"/>
      <c r="C3" s="2408"/>
      <c r="D3" s="2408"/>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5" t="str">
        <f>'Single Audit Cover'!A7</f>
        <v>Eswood CCSD 269</v>
      </c>
      <c r="B1" s="2435"/>
      <c r="C1" s="2435"/>
      <c r="D1" s="2435"/>
      <c r="E1" s="2435"/>
    </row>
    <row r="2" spans="1:5" x14ac:dyDescent="0.2">
      <c r="A2" s="2436">
        <f>'Single Audit Cover'!E7</f>
        <v>47071269004</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6" t="s">
        <v>1243</v>
      </c>
    </row>
    <row r="10" spans="1:5" x14ac:dyDescent="0.2">
      <c r="A10" s="1257" t="s">
        <v>1242</v>
      </c>
      <c r="B10" s="1258" t="s">
        <v>1241</v>
      </c>
      <c r="C10" s="1258"/>
      <c r="D10" s="1259">
        <f>SUM('Acct Summary 7-8'!C7:K7)</f>
        <v>93156</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-6858</v>
      </c>
    </row>
    <row r="19" spans="1:4" ht="13.5" thickBot="1" x14ac:dyDescent="0.25">
      <c r="A19" s="1261" t="s">
        <v>1235</v>
      </c>
      <c r="D19" s="1262">
        <f>SUM(D10:D17)</f>
        <v>86298</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7"/>
      <c r="B24" s="2437"/>
      <c r="D24" s="1264"/>
    </row>
    <row r="25" spans="1:4" x14ac:dyDescent="0.2">
      <c r="A25" s="2434"/>
      <c r="B25" s="2434"/>
      <c r="D25" s="1264"/>
    </row>
    <row r="26" spans="1:4" x14ac:dyDescent="0.2">
      <c r="A26" s="2434"/>
      <c r="B26" s="2434"/>
      <c r="D26" s="1264"/>
    </row>
    <row r="27" spans="1:4" x14ac:dyDescent="0.2">
      <c r="A27" s="2434"/>
      <c r="B27" s="2434"/>
      <c r="D27" s="1264"/>
    </row>
    <row r="28" spans="1:4" x14ac:dyDescent="0.2">
      <c r="A28" s="2434"/>
      <c r="B28" s="2434"/>
      <c r="D28" s="1264"/>
    </row>
    <row r="29" spans="1:4" x14ac:dyDescent="0.2">
      <c r="A29" s="2434"/>
      <c r="B29" s="2434"/>
      <c r="D29" s="1264"/>
    </row>
    <row r="30" spans="1:4" x14ac:dyDescent="0.2">
      <c r="A30" s="2434"/>
      <c r="B30" s="2434"/>
      <c r="D30" s="1264"/>
    </row>
    <row r="32" spans="1:4" x14ac:dyDescent="0.2">
      <c r="A32" s="1256" t="s">
        <v>1233</v>
      </c>
      <c r="D32" s="1259">
        <f>SUM(D19:D30)</f>
        <v>86298</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4"/>
      <c r="B40" s="2434"/>
      <c r="D40" s="1264"/>
    </row>
    <row r="41" spans="1:4" x14ac:dyDescent="0.2">
      <c r="A41" s="2434"/>
      <c r="B41" s="2434"/>
      <c r="D41" s="1267"/>
    </row>
    <row r="42" spans="1:4" x14ac:dyDescent="0.2">
      <c r="A42" s="2434"/>
      <c r="B42" s="2434"/>
      <c r="D42" s="1267"/>
    </row>
    <row r="43" spans="1:4" x14ac:dyDescent="0.2">
      <c r="A43" s="2434"/>
      <c r="B43" s="2434"/>
      <c r="D43" s="1267"/>
    </row>
    <row r="44" spans="1:4" x14ac:dyDescent="0.2">
      <c r="A44" s="2434"/>
      <c r="B44" s="2434"/>
      <c r="D44" s="1267"/>
    </row>
    <row r="45" spans="1:4" x14ac:dyDescent="0.2">
      <c r="A45" s="2434"/>
      <c r="B45" s="2434"/>
      <c r="D45" s="1267"/>
    </row>
    <row r="47" spans="1:4" x14ac:dyDescent="0.2">
      <c r="B47" s="1268" t="s">
        <v>1227</v>
      </c>
      <c r="C47" s="1268"/>
      <c r="D47" s="1269">
        <f>SUM(D35:D45)</f>
        <v>0</v>
      </c>
    </row>
    <row r="49" spans="2:4" x14ac:dyDescent="0.2">
      <c r="B49" s="1268" t="s">
        <v>1226</v>
      </c>
      <c r="C49" s="1268"/>
      <c r="D49" s="1269">
        <f>D32-D47</f>
        <v>86298</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8" t="str">
        <f>'Single Audit Cover'!A7</f>
        <v>Eswood CCSD 269</v>
      </c>
      <c r="C1" s="2439"/>
      <c r="D1" s="2439"/>
      <c r="E1" s="2439"/>
      <c r="F1" s="2439"/>
      <c r="G1" s="2439"/>
      <c r="H1" s="2439"/>
      <c r="I1" s="2439"/>
      <c r="J1" s="2439"/>
      <c r="K1" s="2439"/>
      <c r="L1" s="2439"/>
      <c r="M1" s="2439"/>
    </row>
    <row r="2" spans="2:14" ht="15" x14ac:dyDescent="0.2">
      <c r="B2" s="2440">
        <f>'Single Audit Cover'!E7</f>
        <v>47071269004</v>
      </c>
      <c r="C2" s="2440"/>
      <c r="D2" s="2440"/>
      <c r="E2" s="2440"/>
      <c r="F2" s="2440"/>
      <c r="G2" s="2440"/>
      <c r="H2" s="2440"/>
      <c r="I2" s="2440"/>
      <c r="J2" s="2440"/>
      <c r="K2" s="2440"/>
      <c r="L2" s="2440"/>
      <c r="M2" s="2440"/>
      <c r="N2" s="1298"/>
    </row>
    <row r="3" spans="2:14" ht="15" x14ac:dyDescent="0.2">
      <c r="B3" s="2441" t="s">
        <v>1219</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Eswood CCSD 269</v>
      </c>
      <c r="B1" s="2452"/>
      <c r="C1" s="2452"/>
      <c r="D1" s="2452"/>
      <c r="E1" s="2452"/>
      <c r="F1" s="2452"/>
    </row>
    <row r="2" spans="1:7" ht="13.5" customHeight="1" x14ac:dyDescent="0.2">
      <c r="A2" s="2440">
        <f>'Single Audit Cover'!E7</f>
        <v>47071269004</v>
      </c>
      <c r="B2" s="2440"/>
      <c r="C2" s="2440"/>
      <c r="D2" s="2440"/>
      <c r="E2" s="2440"/>
      <c r="F2" s="2440"/>
      <c r="G2" s="1271"/>
    </row>
    <row r="3" spans="1:7" ht="15.75" customHeight="1" x14ac:dyDescent="0.2">
      <c r="A3" s="2453" t="s">
        <v>1271</v>
      </c>
      <c r="B3" s="2453"/>
      <c r="C3" s="2453"/>
      <c r="D3" s="2453"/>
      <c r="E3" s="2453"/>
      <c r="F3" s="2453"/>
    </row>
    <row r="4" spans="1:7" ht="13.5" customHeight="1" x14ac:dyDescent="0.2">
      <c r="A4" s="2454" t="str">
        <f>'Single Audit Cover'!A4</f>
        <v>Year Ending June 30, 2019</v>
      </c>
      <c r="B4" s="2454"/>
      <c r="C4" s="2454"/>
      <c r="D4" s="2454"/>
      <c r="E4" s="2454"/>
      <c r="F4" s="2454"/>
    </row>
    <row r="5" spans="1:7" ht="8.25" customHeight="1" x14ac:dyDescent="0.2">
      <c r="C5" s="317"/>
      <c r="D5" s="317"/>
    </row>
    <row r="6" spans="1:7" ht="13.5" customHeight="1" x14ac:dyDescent="0.2">
      <c r="A6" s="1272" t="s">
        <v>1728</v>
      </c>
      <c r="C6" s="317"/>
      <c r="D6" s="317"/>
    </row>
    <row r="7" spans="1:7" ht="60.95" customHeight="1" x14ac:dyDescent="0.2">
      <c r="A7" s="2451" t="s">
        <v>1729</v>
      </c>
      <c r="B7" s="2451"/>
      <c r="C7" s="2451"/>
      <c r="D7" s="2451"/>
      <c r="E7" s="2451"/>
      <c r="F7" s="2451"/>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51" t="s">
        <v>1731</v>
      </c>
      <c r="B13" s="2451"/>
      <c r="C13" s="2451"/>
      <c r="D13" s="2451"/>
      <c r="E13" s="2451"/>
      <c r="F13" s="2451"/>
    </row>
    <row r="14" spans="1:7" ht="9.75" customHeight="1" x14ac:dyDescent="0.2">
      <c r="C14" s="1256"/>
      <c r="D14" s="1256"/>
    </row>
    <row r="15" spans="1:7" ht="13.5" customHeight="1" x14ac:dyDescent="0.2">
      <c r="C15" s="1845" t="s">
        <v>1270</v>
      </c>
      <c r="D15" s="2449" t="s">
        <v>1269</v>
      </c>
      <c r="E15" s="2449"/>
      <c r="F15" s="2449"/>
    </row>
    <row r="16" spans="1:7" ht="13.5" customHeight="1" x14ac:dyDescent="0.2">
      <c r="A16" s="1278"/>
      <c r="B16" s="1272" t="s">
        <v>1268</v>
      </c>
      <c r="C16" s="1845" t="s">
        <v>1267</v>
      </c>
      <c r="D16" s="2450" t="s">
        <v>1588</v>
      </c>
      <c r="E16" s="2450"/>
      <c r="F16" s="2450"/>
    </row>
    <row r="17" spans="1:6" ht="20.45" customHeight="1" x14ac:dyDescent="0.2">
      <c r="A17" s="1279"/>
      <c r="B17" s="1280"/>
      <c r="C17" s="1281"/>
      <c r="D17" s="2444"/>
      <c r="E17" s="2444"/>
      <c r="F17" s="2444"/>
    </row>
    <row r="18" spans="1:6" ht="20.65" customHeight="1" x14ac:dyDescent="0.2">
      <c r="A18" s="1279"/>
      <c r="B18" s="1280"/>
      <c r="C18" s="1281"/>
      <c r="D18" s="2444"/>
      <c r="E18" s="2444"/>
      <c r="F18" s="2444"/>
    </row>
    <row r="19" spans="1:6" ht="20.65" customHeight="1" x14ac:dyDescent="0.2">
      <c r="A19" s="1279"/>
      <c r="B19" s="1280"/>
      <c r="C19" s="1281"/>
      <c r="D19" s="2444"/>
      <c r="E19" s="2444"/>
      <c r="F19" s="2444"/>
    </row>
    <row r="20" spans="1:6" ht="20.65" customHeight="1" x14ac:dyDescent="0.2">
      <c r="A20" s="1279"/>
      <c r="B20" s="1280"/>
      <c r="C20" s="1281"/>
      <c r="D20" s="2444"/>
      <c r="E20" s="2444"/>
      <c r="F20" s="2444"/>
    </row>
    <row r="21" spans="1:6" ht="20.65" customHeight="1" x14ac:dyDescent="0.2">
      <c r="A21" s="1279"/>
      <c r="B21" s="1280"/>
      <c r="C21" s="1281"/>
      <c r="D21" s="2444"/>
      <c r="E21" s="2444"/>
      <c r="F21" s="2444"/>
    </row>
    <row r="22" spans="1:6" ht="20.65" customHeight="1" x14ac:dyDescent="0.2">
      <c r="A22" s="1279"/>
      <c r="B22" s="1280"/>
      <c r="C22" s="1281"/>
      <c r="D22" s="2444"/>
      <c r="E22" s="2444"/>
      <c r="F22" s="2444"/>
    </row>
    <row r="23" spans="1:6" ht="20.65" customHeight="1" x14ac:dyDescent="0.2">
      <c r="A23" s="1279"/>
      <c r="B23" s="1280"/>
      <c r="C23" s="1281"/>
      <c r="D23" s="2444"/>
      <c r="E23" s="2444"/>
      <c r="F23" s="2444"/>
    </row>
    <row r="24" spans="1:6" ht="20.65" customHeight="1" x14ac:dyDescent="0.2">
      <c r="A24" s="1279"/>
      <c r="B24" s="1280"/>
      <c r="C24" s="1281"/>
      <c r="D24" s="2444"/>
      <c r="E24" s="2444"/>
      <c r="F24" s="2444"/>
    </row>
    <row r="25" spans="1:6" ht="20.65" customHeight="1" x14ac:dyDescent="0.2">
      <c r="A25" s="1279"/>
      <c r="B25" s="1280"/>
      <c r="C25" s="1281"/>
      <c r="D25" s="2444"/>
      <c r="E25" s="2444"/>
      <c r="F25" s="2444"/>
    </row>
    <row r="26" spans="1:6" ht="20.65" customHeight="1" x14ac:dyDescent="0.2">
      <c r="A26" s="1279"/>
      <c r="B26" s="1280"/>
      <c r="C26" s="1281"/>
      <c r="D26" s="2444"/>
      <c r="E26" s="2444"/>
      <c r="F26" s="2444"/>
    </row>
    <row r="27" spans="1:6" ht="20.65" customHeight="1" x14ac:dyDescent="0.2">
      <c r="A27" s="1279"/>
      <c r="B27" s="1280"/>
      <c r="C27" s="1281"/>
      <c r="D27" s="2444"/>
      <c r="E27" s="2444"/>
      <c r="F27" s="2444"/>
    </row>
    <row r="28" spans="1:6" ht="20.65" customHeight="1" x14ac:dyDescent="0.2">
      <c r="A28" s="1279"/>
      <c r="B28" s="1280"/>
      <c r="C28" s="1281"/>
      <c r="D28" s="2444"/>
      <c r="E28" s="2444"/>
      <c r="F28" s="2444"/>
    </row>
    <row r="29" spans="1:6" ht="20.65" customHeight="1" x14ac:dyDescent="0.2">
      <c r="A29" s="1279"/>
      <c r="B29" s="1280"/>
      <c r="C29" s="1281"/>
      <c r="D29" s="2444"/>
      <c r="E29" s="2444"/>
      <c r="F29" s="2444"/>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45" t="s">
        <v>1732</v>
      </c>
      <c r="B32" s="2445"/>
      <c r="C32" s="2445"/>
      <c r="D32" s="2445"/>
      <c r="E32" s="2445"/>
      <c r="F32" s="2445"/>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46">
        <f>+C33+C34</f>
        <v>0</v>
      </c>
      <c r="F34" s="2447"/>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8" t="s">
        <v>1590</v>
      </c>
      <c r="C49" s="2448"/>
      <c r="D49" s="2448"/>
      <c r="E49" s="1395"/>
    </row>
    <row r="50" spans="1:5" s="1296" customFormat="1" ht="3.75" customHeight="1" x14ac:dyDescent="0.2">
      <c r="A50" s="1295"/>
      <c r="B50" s="1844"/>
      <c r="C50" s="1844"/>
      <c r="D50" s="1844"/>
      <c r="E50" s="1395"/>
    </row>
    <row r="51" spans="1:5" s="1296" customFormat="1" ht="20.25" customHeight="1" x14ac:dyDescent="0.2">
      <c r="A51" s="1297">
        <v>6</v>
      </c>
      <c r="B51" s="2443" t="s">
        <v>1551</v>
      </c>
      <c r="C51" s="2443"/>
      <c r="D51" s="2443"/>
    </row>
    <row r="52" spans="1:5" ht="14.25" customHeight="1" x14ac:dyDescent="0.2">
      <c r="A52" s="1297"/>
      <c r="B52" s="2443"/>
      <c r="C52" s="2443"/>
      <c r="D52" s="244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Eswood CCSD 269</v>
      </c>
      <c r="C1" s="2467"/>
      <c r="D1" s="2467"/>
      <c r="E1" s="2467"/>
      <c r="F1" s="2467"/>
      <c r="G1" s="2467"/>
      <c r="H1" s="2467"/>
      <c r="I1" s="2467"/>
      <c r="J1" s="1405"/>
    </row>
    <row r="2" spans="2:10" s="317" customFormat="1" ht="12.75" customHeight="1" x14ac:dyDescent="0.2">
      <c r="B2" s="2468">
        <f>'Single Audit Cover'!E7</f>
        <v>47071269004</v>
      </c>
      <c r="C2" s="2469"/>
      <c r="D2" s="2469"/>
      <c r="E2" s="2469"/>
      <c r="F2" s="2469"/>
      <c r="G2" s="2469"/>
      <c r="H2" s="2469"/>
      <c r="I2" s="2469"/>
      <c r="J2" s="1405"/>
    </row>
    <row r="3" spans="2:10" s="317" customFormat="1" ht="12.75" customHeight="1" x14ac:dyDescent="0.2">
      <c r="B3" s="2470" t="s">
        <v>1285</v>
      </c>
      <c r="C3" s="2471"/>
      <c r="D3" s="2471"/>
      <c r="E3" s="2471"/>
      <c r="F3" s="2471"/>
      <c r="G3" s="2471"/>
      <c r="H3" s="2471"/>
      <c r="I3" s="2471"/>
      <c r="J3" s="1406"/>
    </row>
    <row r="4" spans="2:10" s="317" customFormat="1" ht="12.75" customHeight="1" x14ac:dyDescent="0.2">
      <c r="B4" s="2470" t="str">
        <f>'Single Audit Cover'!A4</f>
        <v>Year Ending June 30, 2019</v>
      </c>
      <c r="C4" s="2471"/>
      <c r="D4" s="2471"/>
      <c r="E4" s="2471"/>
      <c r="F4" s="2471"/>
      <c r="G4" s="2471"/>
      <c r="H4" s="2471"/>
      <c r="I4" s="2471"/>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0" t="s">
        <v>1284</v>
      </c>
      <c r="C7" s="2471"/>
      <c r="D7" s="2471"/>
      <c r="E7" s="2471"/>
      <c r="F7" s="2471"/>
      <c r="G7" s="2471"/>
      <c r="H7" s="2471"/>
      <c r="I7" s="2471"/>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72"/>
      <c r="D11" s="2472"/>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73"/>
      <c r="E29" s="2473"/>
      <c r="F29" s="2473"/>
      <c r="G29" s="2473"/>
      <c r="H29" s="2473"/>
      <c r="I29" s="2473"/>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74" t="s">
        <v>1751</v>
      </c>
      <c r="D37" s="2475"/>
      <c r="E37" s="2475"/>
      <c r="F37" s="2476"/>
      <c r="G37" s="2474" t="s">
        <v>1592</v>
      </c>
      <c r="H37" s="2475"/>
      <c r="I37" s="2476"/>
    </row>
    <row r="38" spans="2:9" ht="16.5" customHeight="1" x14ac:dyDescent="0.2">
      <c r="B38" s="1427"/>
      <c r="C38" s="2462"/>
      <c r="D38" s="2463"/>
      <c r="E38" s="2463"/>
      <c r="F38" s="2464"/>
      <c r="G38" s="2477"/>
      <c r="H38" s="2478"/>
      <c r="I38" s="2479"/>
    </row>
    <row r="39" spans="2:9" ht="16.5" customHeight="1" x14ac:dyDescent="0.2">
      <c r="B39" s="1427"/>
      <c r="C39" s="2462"/>
      <c r="D39" s="2463"/>
      <c r="E39" s="2463"/>
      <c r="F39" s="2464"/>
      <c r="G39" s="2465"/>
      <c r="H39" s="2465"/>
      <c r="I39" s="2465"/>
    </row>
    <row r="40" spans="2:9" ht="16.5" customHeight="1" x14ac:dyDescent="0.2">
      <c r="B40" s="1427"/>
      <c r="C40" s="2462"/>
      <c r="D40" s="2463"/>
      <c r="E40" s="2463"/>
      <c r="F40" s="2464"/>
      <c r="G40" s="2465"/>
      <c r="H40" s="2465"/>
      <c r="I40" s="2465"/>
    </row>
    <row r="41" spans="2:9" ht="16.5" customHeight="1" x14ac:dyDescent="0.2">
      <c r="B41" s="1427"/>
      <c r="C41" s="2462"/>
      <c r="D41" s="2463"/>
      <c r="E41" s="2463"/>
      <c r="F41" s="2464"/>
      <c r="G41" s="2465"/>
      <c r="H41" s="2465"/>
      <c r="I41" s="2465"/>
    </row>
    <row r="42" spans="2:9" ht="16.5" customHeight="1" x14ac:dyDescent="0.2">
      <c r="B42" s="1427"/>
      <c r="C42" s="2462"/>
      <c r="D42" s="2463"/>
      <c r="E42" s="2463"/>
      <c r="F42" s="2464"/>
      <c r="G42" s="2465"/>
      <c r="H42" s="2465"/>
      <c r="I42" s="2465"/>
    </row>
    <row r="43" spans="2:9" ht="16.5" customHeight="1" x14ac:dyDescent="0.2">
      <c r="B43" s="1427"/>
      <c r="C43" s="2455" t="s">
        <v>1593</v>
      </c>
      <c r="D43" s="2456"/>
      <c r="E43" s="2456"/>
      <c r="F43" s="2457"/>
      <c r="G43" s="2458">
        <f>SUM(G38:I42)</f>
        <v>0</v>
      </c>
      <c r="H43" s="2458"/>
      <c r="I43" s="2458"/>
    </row>
    <row r="44" spans="2:9" ht="12.75" customHeight="1" x14ac:dyDescent="0.2"/>
    <row r="45" spans="2:9" ht="12.75" customHeight="1" x14ac:dyDescent="0.2">
      <c r="B45" s="1418" t="s">
        <v>1841</v>
      </c>
      <c r="D45" s="2459">
        <v>0</v>
      </c>
      <c r="E45" s="2460"/>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61"/>
      <c r="F49" s="2461"/>
      <c r="G49" s="2461"/>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Eswood CCSD 269</v>
      </c>
      <c r="C1" s="2466"/>
      <c r="D1" s="2466"/>
      <c r="E1" s="2466"/>
      <c r="F1" s="2466"/>
      <c r="G1" s="2466"/>
      <c r="H1" s="2466"/>
      <c r="I1" s="2466"/>
      <c r="J1" s="2466"/>
      <c r="K1" s="2466"/>
      <c r="L1" s="1370"/>
      <c r="M1" s="1370"/>
    </row>
    <row r="2" spans="1:13" ht="12" customHeight="1" x14ac:dyDescent="0.2">
      <c r="B2" s="2468">
        <f>'Single Audit Cover'!E7</f>
        <v>47071269004</v>
      </c>
      <c r="C2" s="2468"/>
      <c r="D2" s="2468"/>
      <c r="E2" s="2468"/>
      <c r="F2" s="2468"/>
      <c r="G2" s="2468"/>
      <c r="H2" s="2468"/>
      <c r="I2" s="2468"/>
      <c r="J2" s="2468"/>
      <c r="K2" s="2468"/>
      <c r="L2" s="1371"/>
      <c r="M2" s="1372"/>
    </row>
    <row r="3" spans="1:13" ht="10.35" customHeight="1" x14ac:dyDescent="0.2">
      <c r="B3" s="2482" t="s">
        <v>1285</v>
      </c>
      <c r="C3" s="2482"/>
      <c r="D3" s="2482"/>
      <c r="E3" s="2482"/>
      <c r="F3" s="2482"/>
      <c r="G3" s="2482"/>
      <c r="H3" s="2482"/>
      <c r="I3" s="2482"/>
      <c r="J3" s="2482"/>
      <c r="K3" s="2482"/>
      <c r="L3" s="1373"/>
      <c r="M3" s="1373"/>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3" t="s">
        <v>1296</v>
      </c>
      <c r="C7" s="2483"/>
      <c r="D7" s="2484"/>
      <c r="E7" s="2484"/>
      <c r="F7" s="2484"/>
      <c r="G7" s="2484"/>
      <c r="H7" s="2484"/>
      <c r="I7" s="2484"/>
      <c r="J7" s="2484"/>
      <c r="K7" s="248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1"/>
      <c r="C14" s="2481"/>
      <c r="D14" s="2481"/>
      <c r="E14" s="2481"/>
      <c r="F14" s="2481"/>
      <c r="G14" s="2481"/>
      <c r="H14" s="2481"/>
      <c r="I14" s="2481"/>
      <c r="J14" s="2481"/>
      <c r="K14" s="2481"/>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1"/>
      <c r="C17" s="2481"/>
      <c r="D17" s="2481"/>
      <c r="E17" s="2481"/>
      <c r="F17" s="2481"/>
      <c r="G17" s="2481"/>
      <c r="H17" s="2481"/>
      <c r="I17" s="2481"/>
      <c r="J17" s="2481"/>
      <c r="K17" s="2481"/>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5"/>
      <c r="C20" s="2485"/>
      <c r="D20" s="2481"/>
      <c r="E20" s="2481"/>
      <c r="F20" s="2481"/>
      <c r="G20" s="2481"/>
      <c r="H20" s="2481"/>
      <c r="I20" s="2481"/>
      <c r="J20" s="2481"/>
      <c r="K20" s="2481"/>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1"/>
      <c r="C23" s="2481"/>
      <c r="D23" s="2481"/>
      <c r="E23" s="2481"/>
      <c r="F23" s="2481"/>
      <c r="G23" s="2481"/>
      <c r="H23" s="2481"/>
      <c r="I23" s="2481"/>
      <c r="J23" s="2481"/>
      <c r="K23" s="2481"/>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1"/>
      <c r="C26" s="2481"/>
      <c r="D26" s="2481"/>
      <c r="E26" s="2481"/>
      <c r="F26" s="2481"/>
      <c r="G26" s="2481"/>
      <c r="H26" s="2481"/>
      <c r="I26" s="2481"/>
      <c r="J26" s="2481"/>
      <c r="K26" s="2481"/>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0"/>
      <c r="C29" s="2480"/>
      <c r="D29" s="2481"/>
      <c r="E29" s="2481"/>
      <c r="F29" s="2481"/>
      <c r="G29" s="2481"/>
      <c r="H29" s="2481"/>
      <c r="I29" s="2481"/>
      <c r="J29" s="2481"/>
      <c r="K29" s="248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80"/>
      <c r="C32" s="2480"/>
      <c r="D32" s="2481"/>
      <c r="E32" s="2481"/>
      <c r="F32" s="2481"/>
      <c r="G32" s="2481"/>
      <c r="H32" s="2481"/>
      <c r="I32" s="2481"/>
      <c r="J32" s="2481"/>
      <c r="K32" s="2481"/>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Eswood CCSD 269</v>
      </c>
      <c r="C1" s="2489"/>
      <c r="D1" s="2489"/>
      <c r="E1" s="2489"/>
      <c r="F1" s="2489"/>
      <c r="G1" s="2489"/>
      <c r="H1" s="2489"/>
      <c r="I1" s="2489"/>
      <c r="J1" s="2489"/>
      <c r="K1" s="2489"/>
      <c r="L1" s="1448"/>
    </row>
    <row r="2" spans="1:12" ht="12.75" customHeight="1" x14ac:dyDescent="0.2">
      <c r="B2" s="2490">
        <f>'Single Audit Cover'!E7</f>
        <v>47071269004</v>
      </c>
      <c r="C2" s="2490"/>
      <c r="D2" s="2490"/>
      <c r="E2" s="2490"/>
      <c r="F2" s="2490"/>
      <c r="G2" s="2490"/>
      <c r="H2" s="2490"/>
      <c r="I2" s="2490"/>
      <c r="J2" s="2490"/>
      <c r="K2" s="2490"/>
      <c r="L2" s="1449"/>
    </row>
    <row r="3" spans="1:12" ht="12.75" customHeight="1" x14ac:dyDescent="0.2">
      <c r="B3" s="2482" t="s">
        <v>1285</v>
      </c>
      <c r="C3" s="2482"/>
      <c r="D3" s="2482"/>
      <c r="E3" s="2482"/>
      <c r="F3" s="2482"/>
      <c r="G3" s="2482"/>
      <c r="H3" s="2482"/>
      <c r="I3" s="2482"/>
      <c r="J3" s="2482"/>
      <c r="K3" s="2482"/>
      <c r="L3" s="1373"/>
    </row>
    <row r="4" spans="1:12" ht="12.75" customHeight="1" x14ac:dyDescent="0.2">
      <c r="B4" s="2482" t="str">
        <f>'Single Audit Cover'!A4</f>
        <v>Year Ending June 30, 2019</v>
      </c>
      <c r="C4" s="2482"/>
      <c r="D4" s="2482"/>
      <c r="E4" s="2482"/>
      <c r="F4" s="2482"/>
      <c r="G4" s="2482"/>
      <c r="H4" s="2482"/>
      <c r="I4" s="2482"/>
      <c r="J4" s="2482"/>
      <c r="K4" s="2482"/>
      <c r="L4" s="1373"/>
    </row>
    <row r="5" spans="1:12" ht="5.25" customHeight="1" x14ac:dyDescent="0.2">
      <c r="B5" s="1256" t="s">
        <v>1169</v>
      </c>
      <c r="C5" s="1256"/>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73"/>
      <c r="G12" s="2473"/>
      <c r="H12" s="2473"/>
      <c r="I12" s="2473"/>
      <c r="J12" s="2473"/>
      <c r="K12" s="2473"/>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6"/>
      <c r="E14" s="2486"/>
      <c r="F14" s="2486"/>
      <c r="H14" s="1458" t="s">
        <v>1303</v>
      </c>
      <c r="I14" s="2487"/>
      <c r="J14" s="2487"/>
      <c r="K14" s="2487"/>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7"/>
      <c r="E16" s="2487"/>
      <c r="F16" s="2487"/>
      <c r="G16" s="2487"/>
      <c r="H16" s="2487"/>
      <c r="I16" s="2487"/>
      <c r="J16" s="2487"/>
      <c r="K16" s="2487"/>
      <c r="L16" s="322"/>
    </row>
    <row r="17" spans="2:12" ht="13.5" customHeight="1" x14ac:dyDescent="0.2">
      <c r="B17" s="1383" t="s">
        <v>1301</v>
      </c>
      <c r="C17" s="1383"/>
      <c r="D17" s="2488"/>
      <c r="E17" s="2488"/>
      <c r="F17" s="2488"/>
      <c r="G17" s="2488"/>
      <c r="H17" s="2488"/>
      <c r="I17" s="2488"/>
      <c r="J17" s="2488"/>
      <c r="K17" s="2488"/>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1"/>
      <c r="C20" s="2481"/>
      <c r="D20" s="2481"/>
      <c r="E20" s="2481"/>
      <c r="F20" s="2481"/>
      <c r="G20" s="2481"/>
      <c r="H20" s="2481"/>
      <c r="I20" s="2481"/>
      <c r="J20" s="2481"/>
      <c r="K20" s="2481"/>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6" t="str">
        <f>'Single Audit Cover'!A7</f>
        <v>Eswood CCSD 269</v>
      </c>
      <c r="C1" s="2466"/>
      <c r="D1" s="2466"/>
      <c r="E1" s="1468"/>
    </row>
    <row r="2" spans="2:5" s="1278" customFormat="1" ht="12.75" customHeight="1" x14ac:dyDescent="0.2">
      <c r="B2" s="2468">
        <f>'Single Audit Cover'!E7</f>
        <v>47071269004</v>
      </c>
      <c r="C2" s="2468"/>
      <c r="D2" s="2468"/>
      <c r="E2" s="1469"/>
    </row>
    <row r="3" spans="2:5" ht="12.75" customHeight="1" x14ac:dyDescent="0.2">
      <c r="B3" s="2482" t="s">
        <v>1766</v>
      </c>
      <c r="C3" s="2482"/>
      <c r="D3" s="2482"/>
      <c r="E3" s="1270"/>
    </row>
    <row r="4" spans="2:5" s="1278" customFormat="1" ht="12.75" customHeight="1" x14ac:dyDescent="0.2">
      <c r="B4" s="2492" t="str">
        <f>'Single Audit Cover'!A4</f>
        <v>Year Ending June 30, 2019</v>
      </c>
      <c r="C4" s="2492"/>
      <c r="D4" s="2492"/>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sharepoint/v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d435f69-8686-490b-bd6d-b153bf22ab50"/>
    <ds:schemaRef ds:uri="http://purl.org/dc/dcmitype/"/>
    <ds:schemaRef ds:uri="http://purl.org/dc/terms/"/>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2019-08-19T15:06:23Z</cp:lastPrinted>
  <dcterms:created xsi:type="dcterms:W3CDTF">2003-10-29T19:06:34Z</dcterms:created>
  <dcterms:modified xsi:type="dcterms:W3CDTF">2019-11-26T16:44:04Z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