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F5A3737-24E4-4EFE-94C7-878F93030D78}" xr6:coauthVersionLast="36" xr6:coauthVersionMax="36" xr10:uidLastSave="{00000000-0000-0000-0000-000000000000}"/>
  <bookViews>
    <workbookView xWindow="4485" yWindow="1305" windowWidth="21600" windowHeight="11385" tabRatio="92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1" sheetId="183" r:id="rId29"/>
    <sheet name="SEFA NOTES" sheetId="173" r:id="rId30"/>
    <sheet name="SF&amp;QC Sec-1" sheetId="174" r:id="rId31"/>
    <sheet name="SF&amp;QC Sec-2" sheetId="175" r:id="rId32"/>
    <sheet name="SF&amp;QC Sec-2 (2)" sheetId="184" r:id="rId33"/>
    <sheet name="SF&amp;QC Sec-3" sheetId="176" r:id="rId34"/>
    <sheet name="SSPAF" sheetId="177" r:id="rId35"/>
  </sheet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'SEFA-1'!$1:$5</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M49" i="183"/>
  <c r="M67" i="183"/>
  <c r="M65" i="183"/>
  <c r="M55" i="183"/>
  <c r="M47" i="183"/>
  <c r="M44" i="183"/>
  <c r="M42" i="183"/>
  <c r="M36" i="183"/>
  <c r="M37" i="183"/>
  <c r="M39" i="183"/>
  <c r="M34" i="183"/>
  <c r="M30" i="183"/>
  <c r="M31" i="183"/>
  <c r="M28" i="183"/>
  <c r="M32" i="183" s="1"/>
  <c r="M11" i="183"/>
  <c r="M12" i="183"/>
  <c r="M13" i="183"/>
  <c r="M14" i="183"/>
  <c r="M15" i="183"/>
  <c r="M16" i="183"/>
  <c r="M17" i="183"/>
  <c r="M18" i="183"/>
  <c r="M19" i="183"/>
  <c r="M20" i="183"/>
  <c r="M21" i="183"/>
  <c r="M22" i="183"/>
  <c r="M10" i="183"/>
  <c r="H71" i="183"/>
  <c r="I71" i="183"/>
  <c r="K71" i="183"/>
  <c r="L71" i="183"/>
  <c r="F71" i="183"/>
  <c r="G60" i="183"/>
  <c r="H60" i="183"/>
  <c r="I60" i="183"/>
  <c r="J60" i="183"/>
  <c r="K60" i="183"/>
  <c r="L60" i="183"/>
  <c r="F60" i="183"/>
  <c r="K40" i="183"/>
  <c r="I40" i="183"/>
  <c r="J40" i="183"/>
  <c r="H40" i="183"/>
  <c r="G40" i="183"/>
  <c r="F40" i="183"/>
  <c r="G32" i="183"/>
  <c r="H32" i="183"/>
  <c r="I32" i="183"/>
  <c r="J32" i="183"/>
  <c r="K32" i="183"/>
  <c r="L32" i="183"/>
  <c r="F32" i="183"/>
  <c r="M40" i="183" l="1"/>
  <c r="G68" i="183"/>
  <c r="H68" i="183"/>
  <c r="I68" i="183"/>
  <c r="J68" i="183"/>
  <c r="K68" i="183"/>
  <c r="L68" i="183"/>
  <c r="M68" i="183"/>
  <c r="F68" i="183"/>
  <c r="G56" i="183"/>
  <c r="H56" i="183"/>
  <c r="I56" i="183"/>
  <c r="J56" i="183"/>
  <c r="K56" i="183"/>
  <c r="L56" i="183"/>
  <c r="M56" i="183"/>
  <c r="F56" i="183"/>
  <c r="G50" i="183"/>
  <c r="H50" i="183"/>
  <c r="I50" i="183"/>
  <c r="J50" i="183"/>
  <c r="K50" i="183"/>
  <c r="L50" i="183"/>
  <c r="M50" i="183"/>
  <c r="F50" i="183"/>
  <c r="G45" i="183"/>
  <c r="H45" i="183"/>
  <c r="I45" i="183"/>
  <c r="J45" i="183"/>
  <c r="K45" i="183"/>
  <c r="L45" i="183"/>
  <c r="M45" i="183"/>
  <c r="F45" i="183"/>
  <c r="L40" i="183"/>
  <c r="G23" i="183"/>
  <c r="G71" i="183" s="1"/>
  <c r="H23" i="183"/>
  <c r="I23" i="183"/>
  <c r="J23" i="183"/>
  <c r="J71" i="183" s="1"/>
  <c r="K23" i="183"/>
  <c r="L23" i="183"/>
  <c r="M23" i="183"/>
  <c r="F23" i="183"/>
  <c r="M60" i="183" l="1"/>
  <c r="M71" i="183" s="1"/>
  <c r="I12" i="11"/>
  <c r="D12" i="11"/>
  <c r="E4" i="7" l="1"/>
  <c r="M19"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4"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D22" i="37"/>
  <c r="J22" i="37"/>
  <c r="D9" i="7"/>
  <c r="B1767" i="106" s="1"/>
  <c r="D1767" i="106" s="1"/>
  <c r="D17" i="7"/>
  <c r="B4104" i="106" s="1"/>
  <c r="D4104" i="106" s="1"/>
  <c r="H33" i="118" l="1"/>
  <c r="F71" i="34"/>
  <c r="B281" i="106"/>
  <c r="D281" i="106" s="1"/>
  <c r="D68" i="36"/>
  <c r="F77" i="4"/>
  <c r="B3255" i="106" s="1"/>
  <c r="D3255" i="106" s="1"/>
  <c r="G14" i="4"/>
  <c r="B2609" i="106" s="1"/>
  <c r="D2609" i="106" s="1"/>
  <c r="H112" i="29"/>
  <c r="B7018" i="106" s="1"/>
  <c r="D7018" i="106" s="1"/>
  <c r="L5" i="11"/>
  <c r="B2056" i="106" s="1"/>
  <c r="D2056" i="106" s="1"/>
  <c r="D24" i="37"/>
  <c r="B4270" i="106" s="1"/>
  <c r="D4270" i="106" s="1"/>
  <c r="B7231" i="106"/>
  <c r="D7231" i="106" s="1"/>
  <c r="L15" i="11"/>
  <c r="B3459" i="106" s="1"/>
  <c r="D3459" i="106" s="1"/>
  <c r="F72" i="34"/>
  <c r="F34" i="34"/>
  <c r="L13" i="11"/>
  <c r="B2060" i="106" s="1"/>
  <c r="D2060" i="106" s="1"/>
  <c r="B3647" i="106"/>
  <c r="D3647" i="106" s="1"/>
  <c r="L342" i="29"/>
  <c r="C342" i="29"/>
  <c r="B7216" i="106" s="1"/>
  <c r="D7216" i="106" s="1"/>
  <c r="F36" i="34"/>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7254" i="106"/>
  <c r="D44" i="36"/>
  <c r="D7256" i="106"/>
  <c r="D7251" i="106"/>
  <c r="D7252" i="106"/>
  <c r="B1328" i="106"/>
  <c r="D1328" i="106" s="1"/>
  <c r="G170" i="5"/>
  <c r="B5778" i="106" s="1"/>
  <c r="D5778" i="106" s="1"/>
  <c r="K28" i="118"/>
  <c r="O27" i="118" s="1"/>
  <c r="O29" i="118" s="1"/>
  <c r="K342" i="29"/>
  <c r="F13" i="34" s="1"/>
  <c r="C114" i="29"/>
  <c r="B757" i="106" s="1"/>
  <c r="D757" i="106" s="1"/>
  <c r="D51" i="36"/>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K16" i="4" s="1"/>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G6" i="4" l="1"/>
  <c r="B2604" i="106" s="1"/>
  <c r="D260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J20" i="4"/>
  <c r="J78" i="4"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F175" i="34" l="1"/>
  <c r="F79" i="34"/>
  <c r="B3576" i="106"/>
  <c r="D3576"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<sst xmlns="http://schemas.openxmlformats.org/spreadsheetml/2006/main" count="5336" uniqueCount="2189">
  <si>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</si>
  <si>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</si>
  <si>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</si>
  <si>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</si>
  <si>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</si>
  <si>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</si>
  <si>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</si>
  <si>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</si>
  <si>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</si>
  <si>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</si>
  <si>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</si>
  <si>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</si>
  <si>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</si>
  <si>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</si>
  <si>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</si>
  <si>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</si>
  <si>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</si>
  <si>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</si>
  <si>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</si>
  <si>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</si>
  <si>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</si>
  <si>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</si>
  <si>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</si>
  <si>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</si>
  <si>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</si>
  <si>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</si>
  <si>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</si>
  <si>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</si>
  <si>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</si>
  <si>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</si>
  <si>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</si>
  <si>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</si>
  <si>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</si>
  <si>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</si>
  <si>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</si>
  <si>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</si>
  <si>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</si>
  <si>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</si>
  <si>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</si>
  <si>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</si>
  <si>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</si>
  <si>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</si>
  <si>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</si>
  <si>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</si>
  <si>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</si>
  <si>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</si>
  <si>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</si>
  <si>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</si>
  <si>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</si>
  <si>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</si>
  <si>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</si>
  <si>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</si>
  <si>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</si>
  <si>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</si>
  <si>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</si>
  <si>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</si>
  <si>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</si>
  <si>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</si>
  <si>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</si>
  <si>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</si>
  <si>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</si>
  <si>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</si>
  <si>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</si>
  <si>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</si>
  <si>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</si>
  <si>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</si>
  <si>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</si>
  <si>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</si>
  <si>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</si>
  <si>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</si>
  <si>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</si>
  <si>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</si>
  <si>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</si>
  <si>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</si>
  <si>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</si>
  <si>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</si>
  <si>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</si>
  <si>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</si>
  <si>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</si>
  <si>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</si>
  <si>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</si>
  <si>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</si>
  <si>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</si>
  <si>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</si>
  <si>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</si>
  <si>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</si>
  <si>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</si>
  <si>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</si>
  <si>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</si>
  <si>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</si>
  <si>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</si>
  <si>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</si>
  <si>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</si>
  <si>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</si>
  <si>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</si>
  <si>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</si>
  <si>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</si>
  <si>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</si>
  <si>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</si>
  <si>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</si>
  <si>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</si>
  <si>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</si>
  <si>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</si>
  <si>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</si>
  <si>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</si>
  <si>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</si>
  <si>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</si>
  <si>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</si>
  <si>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</si>
  <si>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</si>
  <si>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</si>
  <si>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</si>
  <si>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</si>
  <si>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</si>
  <si>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</si>
  <si>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</si>
  <si>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</si>
  <si>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</si>
  <si>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</si>
  <si>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</si>
  <si>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</si>
  <si>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</si>
  <si>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</si>
  <si>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</si>
  <si>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</si>
  <si>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</si>
  <si>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</si>
  <si>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</si>
  <si>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</si>
  <si>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</si>
  <si>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</si>
  <si>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</si>
  <si>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</si>
  <si>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</si>
  <si>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</si>
  <si>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</si>
  <si>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</si>
  <si>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</si>
  <si>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</si>
  <si>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</si>
  <si>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</si>
  <si>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</si>
  <si>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</si>
  <si>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</si>
  <si>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</si>
  <si>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</si>
  <si>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</si>
  <si>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</si>
  <si>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</si>
  <si>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</si>
  <si>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</si>
  <si>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</si>
  <si>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</si>
  <si>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</si>
  <si>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</si>
  <si>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</si>
  <si>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</si>
  <si>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</si>
  <si>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</si>
  <si>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</si>
  <si>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</si>
  <si>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</si>
  <si>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</si>
  <si>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</si>
  <si>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</si>
  <si>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</si>
  <si>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</si>
  <si>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</si>
  <si>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</si>
  <si>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</si>
  <si>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</si>
  <si>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</si>
  <si>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</si>
  <si>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</si>
  <si>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</si>
  <si>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</si>
  <si>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</si>
  <si>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</si>
  <si>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</si>
  <si>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</si>
  <si>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</si>
  <si>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</si>
  <si>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</si>
  <si>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</si>
  <si>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</si>
  <si>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</si>
  <si>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</si>
  <si>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</si>
  <si>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</si>
  <si>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</si>
  <si>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</si>
  <si>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</si>
  <si>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</si>
  <si>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</si>
  <si>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</si>
  <si>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</si>
  <si>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</si>
  <si>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</si>
  <si>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</si>
  <si>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</si>
  <si>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</si>
  <si>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</si>
  <si>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</si>
  <si>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</si>
  <si>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</si>
  <si>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</si>
  <si>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</si>
  <si>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</si>
  <si>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</si>
  <si>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</si>
  <si>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</si>
  <si>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</si>
  <si>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</si>
  <si>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</si>
  <si>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</si>
  <si>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</si>
  <si>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</si>
  <si>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</si>
  <si>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</si>
  <si>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</si>
  <si>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</si>
  <si>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</si>
  <si>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</si>
  <si>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</si>
  <si>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</si>
  <si>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</si>
  <si>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</si>
  <si>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</si>
  <si>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</si>
  <si>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</si>
  <si>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</si>
  <si>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</si>
  <si>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</si>
  <si>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</si>
  <si>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</si>
  <si>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</si>
  <si>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</si>
  <si>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</si>
  <si>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</si>
  <si>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</si>
  <si>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</si>
  <si>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</si>
  <si>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</si>
  <si>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</si>
  <si>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</si>
  <si>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</si>
  <si>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</si>
  <si>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</si>
  <si>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</si>
  <si>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</si>
  <si>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</si>
  <si>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</si>
  <si>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</si>
  <si>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</si>
  <si>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</si>
  <si>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</si>
  <si>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</si>
  <si>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</si>
  <si>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</si>
  <si>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</si>
  <si>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</si>
  <si>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</si>
  <si>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</si>
  <si>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</si>
  <si>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</si>
  <si>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</si>
  <si>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</si>
  <si>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</si>
  <si>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</si>
  <si>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</si>
  <si>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</si>
  <si>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</si>
  <si>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</si>
  <si>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</si>
  <si>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</si>
  <si>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</si>
  <si>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</si>
  <si>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</si>
  <si>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</si>
  <si>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</si>
  <si>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</si>
  <si>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</si>
  <si>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</si>
  <si>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</si>
  <si>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</si>
  <si>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</si>
  <si>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</si>
  <si>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</si>
  <si>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</si>
  <si>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</si>
  <si>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</si>
  <si>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</si>
  <si>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</si>
  <si>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</si>
  <si>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</si>
  <si>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</si>
  <si>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</si>
  <si>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</si>
  <si>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</si>
  <si>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</si>
  <si>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</si>
  <si>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</si>
  <si>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</si>
  <si>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</si>
  <si>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</si>
  <si>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</si>
  <si>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</si>
  <si>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</si>
  <si>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</si>
  <si>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</si>
  <si>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</si>
  <si>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</si>
  <si>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</si>
  <si>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</si>
  <si>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</si>
  <si>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</si>
  <si>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</si>
  <si>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</si>
  <si>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</si>
  <si>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</si>
  <si>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</si>
  <si>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</si>
  <si>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</si>
  <si>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</si>
  <si>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</si>
  <si>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</si>
  <si>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</si>
  <si>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</si>
  <si>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</si>
  <si>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</si>
  <si>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</si>
  <si>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</si>
  <si>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</si>
  <si>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</si>
  <si>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</si>
  <si>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</si>
  <si>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</si>
  <si>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</si>
  <si>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</si>
  <si>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</si>
  <si>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</si>
  <si>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</si>
  <si>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</si>
  <si>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</si>
  <si>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</si>
  <si>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</si>
  <si>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</si>
  <si>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</si>
  <si>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</si>
  <si>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</si>
  <si>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</si>
  <si>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</si>
  <si>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</si>
  <si>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</si>
  <si>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</si>
  <si>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</si>
  <si>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</si>
  <si>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</si>
  <si>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</si>
  <si>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</si>
  <si>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</si>
  <si>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</si>
  <si>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</si>
  <si>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</si>
  <si>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</si>
  <si>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</si>
  <si>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</si>
  <si>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</si>
  <si>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</si>
  <si>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</si>
  <si>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</si>
  <si>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</si>
  <si>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</si>
  <si>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</si>
  <si>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</si>
  <si>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</si>
  <si>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</si>
  <si>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</si>
  <si>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</si>
  <si>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</si>
  <si>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</si>
  <si>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</si>
  <si>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</si>
  <si>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</si>
  <si>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</si>
  <si>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</si>
  <si>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</si>
  <si>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</si>
  <si>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</si>
  <si>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</si>
  <si>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</si>
  <si>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</si>
  <si>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</si>
  <si>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</si>
  <si>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</si>
  <si>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</si>
  <si>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</si>
  <si>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</si>
  <si>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</si>
  <si>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</si>
  <si>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</si>
  <si>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</si>
  <si>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</si>
  <si>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</si>
  <si>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</si>
  <si>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</si>
  <si>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</si>
  <si>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</si>
  <si>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</si>
  <si>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</si>
  <si>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</si>
  <si>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</si>
  <si>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</si>
  <si>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</si>
  <si>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</si>
  <si>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</si>
  <si>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</si>
  <si>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</si>
  <si>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</si>
  <si>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</si>
  <si>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</si>
  <si>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</si>
  <si>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</si>
  <si>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</si>
  <si>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</si>
  <si>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</si>
  <si>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</si>
  <si>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</si>
  <si>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</si>
  <si>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</si>
  <si>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</si>
  <si>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</si>
  <si>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</si>
  <si>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</si>
  <si>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</si>
  <si>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</si>
  <si>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</si>
  <si>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</si>
  <si>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</si>
  <si>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</si>
  <si>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</si>
  <si>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</si>
  <si>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</si>
  <si>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</si>
  <si>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</si>
  <si>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</si>
  <si>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</si>
  <si>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</si>
  <si>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</si>
  <si>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</si>
  <si>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</si>
  <si>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</si>
  <si>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</si>
  <si>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</si>
  <si>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</si>
  <si>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</si>
  <si>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</si>
  <si>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</si>
  <si>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</si>
  <si>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</si>
  <si>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</si>
  <si>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</si>
  <si>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</si>
  <si>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</si>
  <si>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</si>
  <si>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</si>
  <si>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</si>
  <si>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</si>
  <si>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</si>
  <si>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</si>
  <si>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</si>
  <si>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</si>
  <si>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</si>
  <si>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</si>
  <si>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</si>
  <si>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</si>
  <si>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</si>
  <si>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</si>
  <si>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</si>
  <si>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</si>
  <si>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</si>
  <si>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</si>
  <si>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</si>
  <si>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</si>
  <si>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</si>
  <si>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</si>
  <si>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</si>
  <si>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</si>
  <si>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</si>
  <si>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</si>
  <si>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</si>
  <si>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</si>
  <si>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</si>
  <si>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</si>
  <si>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</si>
  <si>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</si>
  <si>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</si>
  <si>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</si>
  <si>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</si>
  <si>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</si>
  <si>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</si>
  <si>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</si>
  <si>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</si>
  <si>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</si>
  <si>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</si>
  <si>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</si>
  <si>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</si>
  <si>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</si>
  <si>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</si>
  <si>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</si>
  <si>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</si>
  <si>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</si>
  <si>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</si>
  <si>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</si>
  <si>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</si>
  <si>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</si>
  <si>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</si>
  <si>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</si>
  <si>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</si>
  <si>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</si>
  <si>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</si>
  <si>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</si>
  <si>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</si>
  <si>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</si>
  <si>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</si>
  <si>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</si>
  <si>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</si>
  <si>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</si>
  <si>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</si>
  <si>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</si>
  <si>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</si>
  <si>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</si>
  <si>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</si>
  <si>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</si>
  <si>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</si>
  <si>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</si>
  <si>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</si>
  <si>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</si>
  <si>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</si>
  <si>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</si>
  <si>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</si>
  <si>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</si>
  <si>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</si>
  <si>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</si>
  <si>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</si>
  <si>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</si>
  <si>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</si>
  <si>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</si>
  <si>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</si>
  <si>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</si>
  <si>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</si>
  <si>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</si>
  <si>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</si>
  <si>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</si>
  <si>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</si>
  <si>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</si>
  <si>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</si>
  <si>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</si>
  <si>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</si>
  <si>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</si>
  <si>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</si>
  <si>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</si>
  <si>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</si>
  <si>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</si>
  <si>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</si>
  <si>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</si>
  <si>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</si>
  <si>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</si>
  <si>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</si>
  <si>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</si>
  <si>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</si>
  <si>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</si>
  <si>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</si>
  <si>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</si>
  <si>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</si>
  <si>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</si>
  <si>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</si>
  <si>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</si>
  <si>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</si>
  <si>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</si>
  <si>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</si>
  <si>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</si>
  <si>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</si>
  <si>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</si>
  <si>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</si>
  <si>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</si>
  <si>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</si>
  <si>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</si>
  <si>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</si>
  <si>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</si>
  <si>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</si>
  <si>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</si>
  <si>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</si>
  <si>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</si>
  <si>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</si>
  <si>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</si>
  <si>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</si>
  <si>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</si>
  <si>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</si>
  <si>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</si>
  <si>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</si>
  <si>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</si>
  <si>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</si>
  <si>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</si>
  <si>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</si>
  <si>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</si>
  <si>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</si>
  <si>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</si>
  <si>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</si>
  <si>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</si>
  <si>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</si>
  <si>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</si>
  <si>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</si>
  <si>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</si>
  <si>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</si>
  <si>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</si>
  <si>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</si>
  <si>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</si>
  <si>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</si>
  <si>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</si>
  <si>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</si>
  <si>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</si>
  <si>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</si>
  <si>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</si>
  <si>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</si>
  <si>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</si>
  <si>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</si>
  <si>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</si>
  <si>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</si>
  <si>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</si>
  <si>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</si>
  <si>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</si>
  <si>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</si>
  <si>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</si>
  <si>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</si>
  <si>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</si>
  <si>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</si>
  <si>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</si>
  <si>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</si>
  <si>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</si>
  <si>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</si>
  <si>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</si>
  <si>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</si>
  <si>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</si>
  <si>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</si>
  <si>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</si>
  <si>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</si>
  <si>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</si>
  <si>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</si>
  <si>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</si>
  <si>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</si>
  <si>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</si>
  <si>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</si>
  <si>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</si>
  <si>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</si>
  <si>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</si>
  <si>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</si>
  <si>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</si>
  <si>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</si>
  <si>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</si>
  <si>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</si>
  <si>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</si>
  <si>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</si>
  <si>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</si>
  <si>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</si>
  <si>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</si>
  <si>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</si>
  <si>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</si>
  <si>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</si>
  <si>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</si>
  <si>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</si>
  <si>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</si>
  <si>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</si>
  <si>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</si>
  <si>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</si>
  <si>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</si>
  <si>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</si>
  <si>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</si>
  <si>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</si>
  <si>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</si>
  <si>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</si>
  <si>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</si>
  <si>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</si>
  <si>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</si>
  <si>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</si>
  <si>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</si>
  <si>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</si>
  <si>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</si>
  <si>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</si>
  <si>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</si>
  <si>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</si>
  <si>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</si>
  <si>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</si>
  <si>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</si>
  <si>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</si>
  <si>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</si>
  <si>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</si>
  <si>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</si>
  <si>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</si>
  <si>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</si>
  <si>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</si>
  <si>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</si>
  <si>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</si>
  <si>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</si>
  <si>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</si>
  <si>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</si>
  <si>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</si>
  <si>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</si>
  <si>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</si>
  <si>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</si>
  <si>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</si>
  <si>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</si>
  <si>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</si>
  <si>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</si>
  <si>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</si>
  <si>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</si>
  <si>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</si>
  <si>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</si>
  <si>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</si>
  <si>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</si>
  <si>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</si>
  <si>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</si>
  <si>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</si>
  <si>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</si>
  <si>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</si>
  <si>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</si>
  <si>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</si>
  <si>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</si>
  <si>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</si>
  <si>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</si>
  <si>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</si>
  <si>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</si>
  <si>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</si>
  <si>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</si>
  <si>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</si>
  <si>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</si>
  <si>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</si>
  <si>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</si>
  <si>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</si>
  <si>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</si>
  <si>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</si>
  <si>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</si>
  <si>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</si>
  <si>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</si>
  <si>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</si>
  <si>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</si>
  <si>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</si>
  <si>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</si>
  <si>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</si>
  <si>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</si>
  <si>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</si>
  <si>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</si>
  <si>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</si>
  <si>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</si>
  <si>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</si>
  <si>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</si>
  <si>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</si>
  <si>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</si>
  <si>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</si>
  <si>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</si>
  <si>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</si>
  <si>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</si>
  <si>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</si>
  <si>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</si>
  <si>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</si>
  <si>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</si>
  <si>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</si>
  <si>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</si>
  <si>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</si>
  <si>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</si>
  <si>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</si>
  <si>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</si>
  <si>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</si>
  <si>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</si>
  <si>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</si>
  <si>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</si>
  <si>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</si>
  <si>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</si>
  <si>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</si>
  <si>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</si>
  <si>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</si>
  <si>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</si>
  <si>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</si>
  <si>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</si>
  <si>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</si>
  <si>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</si>
  <si>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</si>
  <si>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</si>
  <si>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</si>
  <si>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</si>
  <si>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</si>
  <si>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</si>
  <si>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</si>
  <si>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</si>
  <si>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</si>
  <si>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</si>
  <si>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</si>
  <si>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</si>
  <si>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</si>
  <si>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</si>
  <si>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</si>
  <si>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</si>
  <si>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</si>
  <si>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</si>
  <si>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</si>
  <si>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</si>
  <si>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</si>
  <si>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</si>
  <si>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</si>
  <si>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</si>
  <si>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</si>
  <si>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</si>
  <si>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</si>
  <si>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</si>
  <si>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</si>
  <si>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</si>
  <si>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</si>
  <si>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</si>
  <si>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</si>
  <si>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</si>
  <si>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</si>
  <si>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</si>
  <si>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</si>
  <si>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</si>
  <si>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</si>
  <si>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</si>
  <si>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</si>
  <si>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</si>
  <si>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</si>
  <si>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</si>
  <si>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</si>
  <si>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</si>
  <si>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</si>
  <si>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</si>
  <si>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</si>
  <si>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</si>
  <si>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</si>
  <si>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</si>
  <si>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</si>
  <si>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</si>
  <si>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</si>
  <si>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</si>
  <si>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</si>
  <si>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</si>
  <si>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</si>
  <si>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</si>
  <si>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</si>
  <si>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</si>
  <si>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</si>
  <si>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</si>
  <si>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</si>
  <si>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</si>
  <si>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</si>
  <si>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</si>
  <si>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</si>
  <si>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</si>
  <si>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</si>
  <si>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</si>
  <si>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</si>
  <si>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</si>
  <si>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</si>
  <si>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</si>
  <si>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</si>
  <si>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</si>
  <si>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</si>
  <si>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</si>
  <si>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</si>
  <si>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</si>
  <si>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</si>
  <si>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</si>
  <si>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</si>
  <si>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</si>
  <si>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</si>
  <si>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</si>
  <si>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</si>
  <si>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</si>
  <si>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</si>
  <si>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</si>
  <si>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</si>
  <si>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</si>
  <si>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</si>
  <si>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</si>
  <si>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</si>
  <si>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</si>
  <si>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</si>
  <si>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</si>
  <si>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</si>
  <si>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</si>
  <si>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</si>
  <si>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</si>
  <si>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</si>
  <si>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</si>
  <si>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</si>
  <si>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</si>
  <si>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</si>
  <si>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</si>
  <si>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</si>
  <si>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</si>
  <si>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</si>
  <si>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</si>
  <si>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</si>
  <si>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</si>
  <si>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</si>
  <si>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</si>
  <si>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</si>
  <si>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</si>
  <si>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</si>
  <si>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</si>
  <si>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</si>
  <si>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</si>
  <si>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</si>
  <si>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</si>
  <si>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</si>
  <si>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</si>
  <si>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</si>
  <si>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</si>
  <si>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</si>
  <si>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</si>
  <si>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</si>
  <si>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</si>
  <si>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</si>
  <si>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</si>
  <si>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</si>
  <si>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</si>
  <si>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</si>
  <si>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</si>
  <si>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</si>
  <si>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</si>
  <si>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</si>
  <si>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</si>
  <si>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</si>
  <si>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</si>
  <si>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</si>
  <si>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</si>
  <si>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</si>
  <si>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</si>
  <si>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</si>
  <si>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</si>
  <si>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</si>
  <si>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</si>
  <si>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</si>
  <si>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</si>
  <si>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</si>
  <si>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</si>
  <si>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</si>
  <si>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</si>
  <si>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</si>
  <si>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</si>
  <si>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</si>
  <si>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</si>
  <si>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</si>
  <si>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</si>
  <si>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</si>
  <si>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</si>
  <si>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</si>
  <si>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</si>
  <si>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</si>
  <si>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</si>
  <si>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</si>
  <si>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</si>
  <si>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</si>
  <si>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</si>
  <si>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</si>
  <si>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</si>
  <si>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</si>
  <si>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</si>
  <si>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</si>
  <si>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</si>
  <si>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</si>
  <si>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</si>
  <si>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</si>
  <si>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</si>
  <si>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</si>
  <si>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</si>
  <si>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</si>
  <si>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</si>
  <si>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</si>
  <si>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</si>
  <si>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</si>
  <si>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</si>
  <si>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</si>
  <si>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</si>
  <si>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</si>
  <si>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</si>
  <si>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</si>
  <si>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</si>
  <si>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</si>
  <si>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</si>
  <si>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</si>
  <si>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</si>
  <si>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</si>
  <si>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</si>
  <si>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</si>
  <si>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</si>
  <si>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</si>
  <si>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</si>
  <si>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</si>
  <si>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</si>
  <si>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</si>
  <si>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</si>
  <si>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</si>
  <si>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</si>
  <si>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</si>
  <si>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</si>
  <si>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</si>
  <si>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</si>
  <si>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</si>
  <si>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</si>
  <si>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</si>
  <si>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</si>
  <si>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</si>
  <si>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</si>
  <si>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</si>
  <si>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</si>
  <si>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</si>
  <si>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</si>
  <si>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</si>
  <si>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</si>
  <si>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</si>
  <si>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</si>
  <si>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</si>
  <si>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</si>
  <si>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</si>
  <si>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</si>
  <si>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</si>
  <si>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</si>
  <si>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</si>
  <si>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</si>
  <si>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</si>
  <si>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</si>
  <si>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</si>
  <si>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</si>
  <si>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</si>
  <si>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</si>
  <si>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</si>
  <si>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</si>
  <si>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</si>
  <si>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</si>
  <si>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</si>
  <si>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</si>
  <si>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</si>
  <si>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</si>
  <si>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</si>
  <si>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</si>
  <si>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</si>
  <si>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</si>
  <si>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</si>
  <si>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</si>
  <si>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</si>
  <si>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</si>
  <si>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</si>
  <si>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</si>
  <si>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</si>
  <si>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</si>
  <si>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</si>
  <si>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</si>
  <si>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</si>
  <si>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</si>
  <si>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</si>
  <si>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</si>
  <si>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</si>
  <si>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</si>
  <si>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</si>
  <si>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</si>
  <si>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</si>
  <si>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</si>
  <si>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</si>
  <si>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</si>
  <si>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</si>
  <si>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</si>
  <si>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</si>
  <si>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</si>
  <si>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</si>
  <si>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</si>
  <si>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</si>
  <si>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</si>
  <si>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</si>
  <si>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</si>
  <si>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</si>
  <si>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</si>
  <si>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</si>
  <si>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</si>
  <si>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</si>
  <si>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</si>
  <si>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</si>
  <si>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</si>
  <si>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</si>
  <si>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</si>
  <si>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</si>
  <si>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</si>
  <si>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</si>
  <si>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</si>
  <si>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</si>
  <si>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</si>
  <si>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</si>
  <si>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</si>
  <si>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</si>
  <si>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</si>
  <si>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</si>
  <si>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</si>
  <si>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</si>
  <si>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</si>
  <si>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</si>
  <si>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</si>
  <si>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</si>
  <si>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</si>
  <si>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</si>
  <si>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</si>
  <si>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</si>
  <si>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</si>
  <si>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</si>
  <si>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</si>
  <si>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</si>
  <si>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</si>
  <si>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</si>
  <si>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</si>
  <si>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</si>
  <si>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</si>
  <si>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</si>
  <si>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</si>
  <si>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</si>
  <si>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</si>
  <si>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</si>
  <si>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</si>
  <si>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</si>
  <si>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</si>
  <si>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</si>
  <si>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</si>
  <si>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</si>
  <si>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</si>
  <si>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</si>
  <si>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</si>
  <si>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</si>
  <si>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</si>
  <si>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</si>
  <si>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</si>
  <si>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</si>
  <si>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</si>
  <si>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</si>
  <si>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</si>
  <si>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</si>
  <si>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</si>
  <si>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</si>
  <si>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</si>
  <si>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</si>
  <si>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</si>
  <si>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</si>
  <si>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</si>
  <si>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</si>
  <si>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</si>
  <si>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</si>
  <si>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</si>
  <si>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</si>
  <si>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</si>
  <si>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</si>
  <si>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</si>
  <si>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</si>
  <si>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</si>
  <si>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</si>
  <si>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</si>
  <si>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</si>
  <si>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</si>
  <si>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</si>
  <si>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</si>
  <si>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</si>
  <si>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</si>
  <si>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</si>
  <si>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</si>
  <si>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</si>
  <si>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</si>
  <si>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</si>
  <si>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</si>
  <si>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</si>
  <si>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</si>
  <si>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</si>
  <si>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</si>
  <si>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</si>
  <si>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</si>
  <si>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</si>
  <si>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</si>
  <si>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</si>
  <si>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</si>
  <si>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</si>
  <si>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</si>
  <si>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</si>
  <si>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</si>
  <si>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</si>
  <si>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</si>
  <si>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</si>
  <si>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</si>
  <si>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</si>
  <si>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</si>
  <si>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</si>
  <si>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</si>
  <si>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</si>
  <si>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</si>
  <si>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</si>
  <si>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</si>
  <si>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</si>
  <si>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</si>
  <si>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</si>
  <si>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</si>
  <si>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</si>
  <si>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</si>
  <si>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</si>
  <si>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</si>
  <si>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</si>
  <si>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</si>
  <si>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</si>
  <si>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</si>
  <si>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</si>
  <si>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</si>
  <si>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</si>
  <si>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</si>
  <si>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</si>
  <si>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</si>
  <si>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</si>
  <si>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</si>
  <si>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</si>
  <si>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</si>
  <si>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</si>
  <si>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</si>
  <si>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</si>
  <si>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</si>
  <si>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</si>
  <si>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</si>
  <si>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</si>
  <si>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</si>
  <si>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</si>
  <si>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</si>
  <si>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</si>
  <si>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</si>
  <si>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</si>
  <si>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</si>
  <si>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</si>
  <si>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</si>
  <si>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</si>
  <si>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</si>
  <si>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</si>
  <si>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</si>
  <si>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</si>
  <si>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</si>
  <si>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</si>
  <si>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</si>
  <si>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</si>
  <si>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</si>
  <si>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</si>
  <si>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</si>
  <si>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</si>
  <si>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</si>
  <si>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</si>
  <si>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</si>
  <si>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</si>
  <si>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</si>
  <si>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</si>
  <si>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</si>
  <si>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</si>
  <si>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</si>
  <si>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</si>
  <si>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</si>
  <si>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</si>
  <si>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</si>
  <si>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</si>
  <si>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</si>
  <si>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</si>
  <si>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</si>
  <si>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</si>
  <si>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</si>
  <si>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</si>
  <si>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</si>
  <si>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</si>
  <si>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</si>
  <si>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</si>
  <si>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</si>
  <si>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</si>
  <si>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</si>
  <si>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</si>
  <si>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</si>
  <si>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</si>
  <si>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</si>
  <si>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</si>
  <si>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</si>
  <si>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</si>
  <si>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</si>
  <si>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</si>
  <si>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</si>
  <si>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</si>
  <si>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</si>
  <si>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</si>
  <si>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</si>
  <si>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</si>
  <si>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</si>
  <si>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</si>
  <si>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</si>
  <si>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</si>
  <si>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</si>
  <si>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</si>
  <si>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</si>
  <si>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</si>
  <si>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</si>
  <si>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</si>
  <si>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</si>
  <si>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</si>
  <si>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</si>
  <si>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</si>
  <si>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</si>
  <si>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</si>
  <si>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</si>
  <si>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</si>
  <si>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</si>
  <si>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</si>
  <si>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</si>
  <si>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</si>
  <si>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</si>
  <si>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</si>
  <si>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</si>
  <si>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</si>
  <si>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</si>
  <si>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</si>
  <si>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</si>
  <si>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</si>
  <si>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</si>
  <si>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</si>
  <si>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</si>
  <si>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</si>
  <si>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</si>
  <si>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</si>
  <si>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</si>
  <si>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</si>
  <si>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</si>
  <si>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</si>
  <si>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</si>
  <si>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</si>
  <si>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</si>
  <si>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</si>
  <si>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</si>
  <si>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</si>
  <si>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</si>
  <si>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</si>
  <si>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</si>
  <si>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</si>
  <si>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</si>
  <si>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</si>
  <si>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</si>
  <si>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</si>
  <si>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</si>
  <si>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</si>
  <si>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</si>
  <si>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</si>
  <si>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</si>
  <si>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</si>
  <si>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</si>
  <si>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</si>
  <si>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</si>
  <si>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</si>
  <si>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</si>
  <si>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</si>
  <si>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</si>
  <si>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</si>
  <si>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</si>
  <si>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</si>
  <si>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</si>
  <si>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</si>
  <si>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</si>
  <si>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</si>
  <si>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</si>
  <si>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</si>
  <si>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</si>
  <si>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</si>
  <si>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</si>
  <si>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</si>
  <si>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</si>
  <si>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</si>
  <si>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</si>
  <si>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</si>
  <si>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</si>
  <si>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</si>
  <si>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</si>
  <si>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</si>
  <si>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</si>
  <si>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</si>
  <si>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</si>
  <si>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</si>
  <si>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</si>
  <si>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</si>
  <si>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</si>
  <si>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</si>
  <si>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</si>
  <si>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</si>
  <si>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</si>
  <si>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</si>
  <si>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</si>
  <si>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</si>
  <si>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</si>
  <si>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</si>
  <si>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</si>
  <si>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</si>
  <si>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</si>
  <si>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</si>
  <si>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</si>
  <si>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</si>
  <si>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</si>
  <si>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</si>
  <si>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</si>
  <si>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</si>
  <si>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</si>
  <si>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</si>
  <si>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</si>
  <si>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</si>
  <si>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</si>
  <si>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</si>
  <si>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</si>
  <si>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</si>
  <si>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</si>
  <si>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</si>
  <si>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</si>
  <si>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</si>
  <si>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</si>
  <si>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</si>
  <si>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</si>
  <si>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</si>
  <si>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</si>
  <si>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</si>
  <si>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</si>
  <si>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</si>
  <si>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</si>
  <si>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</si>
  <si>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</si>
  <si>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</si>
  <si>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</si>
  <si>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</si>
  <si>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</si>
  <si>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</si>
  <si>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</si>
  <si>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</si>
  <si>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</si>
  <si>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</si>
  <si>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</si>
  <si>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</si>
  <si>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</si>
  <si>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</si>
  <si>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</si>
  <si>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</si>
  <si>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</si>
  <si>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</si>
  <si>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</si>
  <si>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</si>
  <si>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</si>
  <si>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</si>
  <si>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</si>
  <si>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</si>
  <si>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</si>
  <si>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</si>
  <si>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</si>
  <si>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</si>
  <si>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</si>
  <si>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</si>
  <si>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</si>
  <si>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</si>
  <si>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</si>
  <si>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</si>
  <si>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</si>
  <si>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</si>
  <si>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</si>
  <si>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</si>
  <si>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</si>
  <si>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</si>
  <si>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</si>
  <si>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</si>
  <si>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</si>
  <si>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</si>
  <si>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</si>
  <si>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</si>
  <si>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</si>
  <si>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</si>
  <si>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</si>
  <si>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</si>
  <si>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</si>
  <si>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</si>
  <si>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</si>
  <si>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</si>
  <si>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</si>
  <si>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</si>
  <si>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</si>
  <si>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</si>
  <si>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</si>
  <si>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</si>
  <si>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</si>
  <si>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</si>
  <si>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</si>
  <si>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</si>
  <si>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</si>
  <si>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</si>
  <si>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</si>
  <si>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</si>
  <si>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</si>
  <si>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</si>
  <si>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</si>
  <si>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</si>
  <si>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</si>
  <si>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</si>
  <si>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</si>
  <si>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</si>
  <si>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</si>
  <si>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</si>
  <si>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</si>
  <si>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</si>
  <si>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</si>
  <si>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</si>
  <si>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</si>
  <si>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</si>
  <si>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</si>
  <si>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</si>
  <si>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</si>
  <si>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</si>
  <si>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</si>
  <si>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</si>
  <si>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</si>
  <si>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</si>
  <si>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</si>
  <si>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</si>
  <si>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</si>
  <si>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</si>
  <si>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</si>
  <si>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</si>
  <si>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</si>
  <si>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</si>
  <si>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</si>
  <si>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</si>
  <si>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</si>
  <si>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</si>
  <si>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</si>
  <si>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</si>
  <si>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</si>
  <si>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</si>
  <si>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</si>
  <si>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</si>
  <si>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</si>
  <si>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</si>
  <si>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</si>
  <si>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</si>
  <si>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</si>
  <si>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</si>
  <si>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</si>
  <si>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</si>
  <si>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</si>
  <si>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</si>
  <si>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</si>
  <si>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</si>
  <si>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</si>
  <si>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</si>
  <si>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</si>
  <si>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</si>
  <si>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</si>
  <si>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</si>
  <si>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</si>
  <si>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</si>
  <si>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</si>
  <si>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</si>
  <si>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</si>
  <si>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</si>
  <si>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</si>
  <si>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</si>
  <si>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</si>
  <si>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</si>
  <si>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</si>
  <si>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</si>
  <si>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</si>
  <si>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</si>
  <si>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</si>
  <si>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</si>
  <si>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</si>
  <si>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</si>
  <si>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</si>
  <si>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</si>
  <si>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</si>
  <si>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</si>
  <si>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</si>
  <si>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</si>
  <si>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</si>
  <si>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</si>
  <si>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</si>
  <si>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</si>
  <si>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</si>
  <si>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</si>
  <si>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</si>
  <si>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</si>
  <si>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</si>
  <si>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</si>
  <si>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</si>
  <si>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</si>
  <si>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</si>
  <si>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</si>
  <si>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</si>
  <si>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</si>
  <si>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</si>
  <si>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</si>
  <si>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</si>
  <si>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</si>
  <si>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</si>
  <si>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</si>
  <si>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</si>
  <si>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</si>
  <si>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</si>
  <si>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</si>
  <si>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</si>
  <si>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</si>
  <si>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</si>
  <si>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</si>
  <si>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</si>
  <si>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</si>
  <si>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</si>
  <si>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</si>
  <si>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</si>
  <si>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</si>
  <si>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</si>
  <si>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</si>
  <si>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</si>
  <si>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</si>
  <si>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</si>
  <si>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</si>
  <si>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</si>
  <si>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</si>
  <si>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</si>
  <si>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</si>
  <si>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</si>
  <si>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</si>
  <si>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</si>
  <si>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</si>
  <si>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</si>
  <si>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</si>
  <si>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</si>
  <si>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</si>
  <si>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</si>
  <si>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</si>
  <si>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</si>
  <si>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</si>
  <si>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</si>
  <si>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</si>
  <si>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</si>
  <si>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</si>
  <si>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</si>
  <si>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</si>
  <si>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</si>
  <si>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</si>
  <si>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</si>
  <si>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</si>
  <si>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</si>
  <si>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</si>
  <si>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</si>
  <si>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</si>
  <si>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</si>
  <si>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</si>
  <si>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</si>
  <si>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</si>
  <si>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</si>
  <si>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</si>
  <si>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</si>
  <si>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</si>
  <si>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</si>
  <si>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</si>
  <si>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</si>
  <si>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</si>
  <si>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</si>
  <si>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</si>
  <si>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</si>
  <si>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</si>
  <si>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</si>
  <si>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</si>
  <si>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</si>
  <si>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</si>
  <si>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</si>
  <si>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</si>
  <si>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</si>
  <si>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</si>
  <si>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</si>
  <si>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</si>
  <si>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</si>
  <si>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</si>
  <si>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</si>
  <si>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</si>
  <si>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</si>
  <si>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</si>
  <si>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</si>
  <si>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</si>
  <si>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</si>
  <si>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</si>
  <si>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</si>
  <si>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</si>
  <si>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</si>
  <si>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</si>
  <si>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</si>
  <si>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</si>
  <si>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</si>
  <si>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</si>
  <si>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</si>
  <si>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</si>
  <si>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</si>
  <si>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</si>
  <si>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</si>
  <si>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</si>
  <si>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</si>
  <si>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</si>
  <si>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</si>
  <si>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</si>
  <si>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</si>
  <si>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</si>
  <si>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</si>
  <si>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</si>
  <si>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</si>
  <si>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</si>
  <si>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</si>
  <si>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</si>
  <si>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</si>
  <si>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</si>
  <si>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</si>
  <si>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</si>
  <si>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</si>
  <si>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</si>
  <si>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</si>
  <si>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</si>
  <si>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</si>
  <si>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</si>
  <si>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</si>
  <si>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</si>
  <si>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</si>
  <si>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</si>
  <si>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</si>
  <si>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</si>
  <si>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</si>
  <si>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</si>
  <si>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</si>
  <si>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</si>
  <si>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</si>
  <si>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</si>
  <si>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</si>
  <si>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</si>
  <si>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</si>
  <si>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</si>
  <si>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</si>
  <si>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</si>
  <si>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</si>
  <si>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</si>
  <si>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</si>
  <si>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</si>
  <si>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</si>
  <si>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</si>
  <si>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</si>
  <si>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</si>
  <si>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</si>
  <si>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</si>
  <si>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</si>
  <si>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</si>
  <si>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</si>
  <si>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</si>
  <si>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</si>
  <si>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</si>
  <si>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</si>
  <si>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</si>
  <si>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</si>
  <si>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</si>
  <si>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</si>
  <si>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</si>
  <si>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</si>
  <si>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</si>
  <si>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</si>
  <si>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</si>
  <si>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</si>
  <si>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</si>
  <si>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</si>
  <si>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</si>
  <si>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</si>
  <si>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</si>
  <si>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</si>
  <si>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</si>
  <si>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</si>
  <si>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</si>
  <si>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</si>
  <si>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</si>
  <si>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</si>
  <si>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</si>
  <si>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</si>
  <si>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</si>
  <si>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</si>
  <si>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</si>
  <si>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</si>
  <si>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</si>
  <si>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</si>
  <si>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</si>
  <si>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</si>
  <si>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</si>
  <si>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</si>
  <si>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</si>
  <si>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</si>
  <si>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</si>
  <si>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</si>
  <si>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</si>
  <si>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</si>
  <si>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</si>
  <si>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</si>
  <si>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</si>
  <si>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</si>
  <si>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</si>
  <si>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</si>
  <si>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</si>
  <si>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</si>
  <si>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</si>
  <si>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</si>
  <si>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</si>
  <si>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</si>
  <si>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</si>
  <si>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</si>
  <si>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</si>
  <si>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</si>
  <si>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</si>
  <si>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</si>
  <si>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</si>
  <si>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</si>
  <si>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</si>
  <si>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</si>
  <si>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</si>
  <si>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</si>
  <si>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</si>
  <si>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</si>
  <si>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</si>
  <si>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</si>
  <si>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</si>
  <si>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</si>
  <si>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</si>
  <si>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</si>
  <si>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</si>
  <si>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</si>
  <si>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</si>
  <si>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</si>
  <si>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</si>
  <si>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</si>
  <si>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</si>
  <si>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</si>
  <si>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</si>
  <si>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</si>
  <si>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</si>
  <si>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</si>
  <si>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</si>
  <si>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</si>
  <si>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</si>
  <si>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</si>
  <si>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</si>
  <si>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</si>
  <si>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</si>
  <si>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</si>
  <si>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</si>
  <si>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</si>
  <si>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</si>
  <si>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</si>
  <si>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</si>
  <si>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</si>
  <si>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</si>
  <si>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</si>
  <si>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</si>
  <si>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</si>
  <si>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</si>
  <si>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</si>
  <si>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</si>
  <si>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</si>
  <si>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</si>
  <si>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</si>
  <si>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</si>
  <si>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</si>
  <si>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</si>
  <si>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</si>
  <si>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</si>
  <si>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</si>
  <si>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</si>
  <si>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</si>
  <si>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</si>
  <si>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</si>
  <si>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</si>
  <si>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</si>
  <si>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</si>
  <si>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</si>
  <si>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</si>
  <si>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</si>
  <si>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</si>
  <si>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</si>
  <si>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</si>
  <si>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</si>
  <si>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</si>
  <si>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</si>
  <si>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</si>
  <si>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</si>
  <si>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</si>
  <si>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</si>
  <si>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</si>
  <si>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</si>
  <si>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</si>
  <si>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</si>
  <si>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</si>
  <si>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</si>
  <si>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</si>
  <si>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</si>
  <si>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</si>
  <si>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</si>
  <si>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</si>
  <si>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</si>
  <si>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</si>
  <si>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</si>
  <si>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</si>
  <si>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</si>
  <si>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</si>
  <si>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</si>
  <si>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</si>
  <si>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</si>
  <si>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</si>
  <si>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</si>
  <si>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</si>
  <si>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</si>
  <si>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</si>
  <si>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</si>
  <si>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</si>
  <si>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</si>
  <si>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</si>
  <si>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</si>
  <si>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</si>
  <si>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</si>
  <si>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</si>
  <si>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</si>
  <si>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</si>
  <si>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</si>
  <si>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</si>
  <si>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</si>
  <si>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</si>
  <si>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</si>
  <si>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</si>
  <si>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</si>
  <si>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</si>
  <si>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</si>
  <si>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</si>
  <si>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</si>
  <si>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</si>
  <si>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</si>
  <si>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</si>
  <si>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</si>
  <si>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</si>
  <si>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</si>
  <si>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</si>
  <si>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</si>
  <si>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</si>
  <si>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</si>
  <si>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</si>
  <si>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</si>
  <si>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</si>
  <si>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</si>
  <si>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</si>
  <si>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</si>
  <si>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</si>
  <si>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</si>
  <si>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</si>
  <si>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</si>
  <si>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</si>
  <si>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</si>
  <si>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</si>
  <si>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</si>
  <si>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</si>
  <si>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</si>
  <si>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</si>
  <si>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</si>
  <si>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</si>
  <si>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</si>
  <si>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</si>
  <si>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</si>
  <si>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</si>
  <si>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</si>
  <si>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</si>
  <si>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</si>
  <si>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</si>
  <si>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</si>
  <si>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</si>
  <si>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</si>
  <si>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</si>
  <si>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</si>
  <si>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</si>
  <si>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</si>
  <si>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</si>
  <si>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</si>
  <si>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</si>
  <si>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</si>
  <si>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</si>
  <si>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</si>
  <si>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</si>
  <si>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</si>
  <si>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</si>
  <si>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</si>
  <si>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</si>
  <si>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</si>
  <si>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</si>
  <si>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</si>
  <si>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</si>
  <si>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</si>
  <si>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</si>
  <si>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</si>
  <si>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</si>
  <si>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</si>
  <si>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</si>
  <si>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</si>
  <si>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</si>
  <si>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</si>
  <si>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</si>
  <si>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</si>
  <si>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</si>
  <si>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</si>
  <si>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</si>
  <si>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</si>
  <si>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</si>
  <si>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</si>
  <si>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</si>
  <si>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</si>
  <si>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</si>
  <si>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</si>
  <si>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</si>
  <si>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</si>
  <si>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</si>
  <si>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</si>
  <si>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</si>
  <si>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</si>
  <si>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</si>
  <si>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</si>
  <si>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</si>
  <si>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</si>
  <si>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</si>
  <si>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</si>
  <si>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</si>
  <si>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</si>
  <si>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Ogle</t>
  </si>
  <si>
    <t>Rochelle</t>
  </si>
  <si>
    <t>jharper@rthsd212.org</t>
  </si>
  <si>
    <t>815-562-6363</t>
  </si>
  <si>
    <t>815-562-5500</t>
  </si>
  <si>
    <t>Jason Harper</t>
  </si>
  <si>
    <t>Matthew J. Schueler</t>
  </si>
  <si>
    <t>23. Qualified for the District not maintaining historical cost and adverse for not adopting GASB 34.</t>
  </si>
  <si>
    <t>1401 East Flag Road</t>
  </si>
  <si>
    <t>SERIES 2007 GENERAL OBLIGATION DEBT CERTIFICATE</t>
  </si>
  <si>
    <t>7(100%)</t>
  </si>
  <si>
    <t>2012 SERIES BOND 100% GENERAL OBLIGATION BOND</t>
  </si>
  <si>
    <t>6(96%), 3(4%)</t>
  </si>
  <si>
    <t>2013 SERIES BOND 100% REFUNDING</t>
  </si>
  <si>
    <t>3(100%)</t>
  </si>
  <si>
    <t>2015 SERIES BOND 100% GENERAL OBLIGATION BOND</t>
  </si>
  <si>
    <t>4(100%)</t>
  </si>
  <si>
    <t>2016A SERIES BOND 100% GENERAL OBLIGATION BOND</t>
  </si>
  <si>
    <t>1(100%)</t>
  </si>
  <si>
    <t>2018 SERIES BOND 100% GENERAL OBLIGATION BOND</t>
  </si>
  <si>
    <t>x</t>
  </si>
  <si>
    <t>N/A</t>
  </si>
  <si>
    <t>Ogle County Education Cooperative</t>
  </si>
  <si>
    <t>Rochelle Township High School</t>
  </si>
  <si>
    <t>OCEC - Amboy, Ashton/Franklin Center, Creston, Eswood, Forreston, Kings, Meridian, Oregon, Polo, Rochelle High School, Steward</t>
  </si>
  <si>
    <t>Page 23, Line 18 Other: Lease Levy</t>
  </si>
  <si>
    <t>Page 9 Line 11 (1190) Other Tax Levies: Debt Service Fund: $134,544 Lease Levy</t>
  </si>
  <si>
    <t>Page 10 Line 74 (1690) Other Food Service: Education: $16,698 Milk and other fees for lunch services</t>
  </si>
  <si>
    <t>Page 11 Line 107 Other local Revenues (1999): Education Fund: $89,878 Other Revenue, O&amp;M Fund: $11,469 Other Revenue, Transportation Fund: $66,202, Receipts for special education transportation</t>
  </si>
  <si>
    <t>Page 12 Line 168 Other Restricted Revenues from State Sources(3999): Education Fund: $7,084 Other State Revenue</t>
  </si>
  <si>
    <t>Page 14 Line 272 Other Restricted Revenue from Fed Sources (4999): Education Fund: $27,099 unmarked HFS payment</t>
  </si>
  <si>
    <t>Page 15 Line 41 Other Support Services (2190): Education Fund: $75,680 Expenses Associated with Title II Teachers, playground supervisors and RSVC Office</t>
  </si>
  <si>
    <t>Page 18 Line 193 Payment to In-State Govt. Units (4190): Transportation Fund: $653,964, expenses paid to High School for Transportation services</t>
  </si>
  <si>
    <t>Page 19 Line 237 Other Support Services - Pupils (2190): IMRF Fund: $4,227 Medicare Title II, RSVC, and lunch supervision</t>
  </si>
  <si>
    <t>NA</t>
  </si>
  <si>
    <t xml:space="preserve">  Admin expenses in 2018 Medicaid Outreach</t>
  </si>
  <si>
    <t xml:space="preserve">  IHFS payment not identified as federal per deposit slip</t>
  </si>
  <si>
    <t xml:space="preserve">  Rounding</t>
  </si>
  <si>
    <t xml:space="preserve">  Admin expenses in 2019 Medicaid Outreach</t>
  </si>
  <si>
    <t>ROCHELLE COMMUNITY CONSOLIDATED ELEMENTARY SCHOOL DISTRICT NO. 231</t>
  </si>
  <si>
    <t>SCHEDULE OF EXPENDITURE OF FEDERAL AWARDS 47-071-2310-04</t>
  </si>
  <si>
    <t>CFDA#</t>
  </si>
  <si>
    <t>PROGRAMS - NON LOAN PROGRAMS</t>
  </si>
  <si>
    <t>Identify Number</t>
  </si>
  <si>
    <t>Grant Term</t>
  </si>
  <si>
    <t>Revenue (7/1/17-6/30/18)</t>
  </si>
  <si>
    <t>Expenditures (7/1/17-6/30/18)</t>
  </si>
  <si>
    <t>Passed Through to Subrecipients (7/1/17-6/30/18)</t>
  </si>
  <si>
    <t>Obligations</t>
  </si>
  <si>
    <t>Final Status</t>
  </si>
  <si>
    <t>US Dept of Agriculture</t>
  </si>
  <si>
    <t>Pass-thru: IL State Board of Education</t>
  </si>
  <si>
    <t>Child Nutrition Cluster</t>
  </si>
  <si>
    <t>(M)</t>
  </si>
  <si>
    <t>17-4220-00</t>
  </si>
  <si>
    <t>9/1/16 - 9/30/17</t>
  </si>
  <si>
    <t>18-4220-00</t>
  </si>
  <si>
    <t>9/1/17 - 9/30/18</t>
  </si>
  <si>
    <t>47071231004A1</t>
  </si>
  <si>
    <t>17-4210-00</t>
  </si>
  <si>
    <t>18-4210-00</t>
  </si>
  <si>
    <t>Special Milk Program for Children</t>
  </si>
  <si>
    <t>17-4215-00</t>
  </si>
  <si>
    <t>18-4215-00</t>
  </si>
  <si>
    <t>Total US Department of Agriculture</t>
  </si>
  <si>
    <t>US Dept of Education</t>
  </si>
  <si>
    <t>Title I, Part A Cluster</t>
  </si>
  <si>
    <t>84.010</t>
  </si>
  <si>
    <t>17-4300-00</t>
  </si>
  <si>
    <t>7/1/16 - 6/30/17</t>
  </si>
  <si>
    <t>18-4300-00</t>
  </si>
  <si>
    <t>7/1/17 - 6/30/18</t>
  </si>
  <si>
    <t>Individuals with Disabilities Education Act (IDEA) Flow-through</t>
  </si>
  <si>
    <t>17-4620-00</t>
  </si>
  <si>
    <t>18-4620-00</t>
  </si>
  <si>
    <t>Individuals with Disabilities Education Act (IDEA) Preschool</t>
  </si>
  <si>
    <t>17-4600-00</t>
  </si>
  <si>
    <t>18-4600-00</t>
  </si>
  <si>
    <t>17-44210-0</t>
  </si>
  <si>
    <t>18-44210-0</t>
  </si>
  <si>
    <t>17-4932-00</t>
  </si>
  <si>
    <t>18-4932-00</t>
  </si>
  <si>
    <t>Title VI - Rural Education Initiative</t>
  </si>
  <si>
    <t>17-4107-00</t>
  </si>
  <si>
    <t>TITLE III - Language Instr Program - Limited Eng LILEP</t>
  </si>
  <si>
    <t>17-4909-00</t>
  </si>
  <si>
    <t>9/1/16 - 8/31/17</t>
  </si>
  <si>
    <t>18-4909-00</t>
  </si>
  <si>
    <t>9/1/17 - 8/31/18</t>
  </si>
  <si>
    <t>Total US Department of Education</t>
  </si>
  <si>
    <t>US Dept of Health and Human Services</t>
  </si>
  <si>
    <t>Pass-thru: IL Dept of Healthcare and Family Services</t>
  </si>
  <si>
    <t>Medical Assistance Program</t>
  </si>
  <si>
    <t>Medicaid Outreach</t>
  </si>
  <si>
    <t>n/a</t>
  </si>
  <si>
    <t>FY2017</t>
  </si>
  <si>
    <t>FY2018</t>
  </si>
  <si>
    <t>TOTALS</t>
  </si>
  <si>
    <t>For the Year Ended June 30, 2019</t>
  </si>
  <si>
    <t>19-4220-00</t>
  </si>
  <si>
    <t>9/1/18 - 9/30/19</t>
  </si>
  <si>
    <t>19-4210-00</t>
  </si>
  <si>
    <t>19-4215-00</t>
  </si>
  <si>
    <t>Revenue (7/1/18-6/30/19)</t>
  </si>
  <si>
    <t>19-4300-00</t>
  </si>
  <si>
    <t>7/1/18 - 6/30/19</t>
  </si>
  <si>
    <t>19-4331-00</t>
  </si>
  <si>
    <t>19-4620-00</t>
  </si>
  <si>
    <t>19-4600-00</t>
  </si>
  <si>
    <t>19-44210-0</t>
  </si>
  <si>
    <t>19-4932-00</t>
  </si>
  <si>
    <t>19-4909-00</t>
  </si>
  <si>
    <t>9/1/18 - 8/31/19</t>
  </si>
  <si>
    <t>12/21/16-8/31/17</t>
  </si>
  <si>
    <t>FY2019</t>
  </si>
  <si>
    <t>Adverse and Qualified on regualtory basis</t>
  </si>
  <si>
    <t>10.553, 10.555, 10.556</t>
  </si>
  <si>
    <t>Management is responsible fo restablishing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</si>
  <si>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</si>
  <si>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</si>
  <si>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</si>
  <si>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</si>
  <si>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</si>
  <si>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</si>
  <si>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The District must have proper segregation of duties.</t>
  </si>
  <si>
    <t>There is inadequate control over the functions of processing and recording the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</si>
  <si>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financial statements.</t>
  </si>
  <si>
    <t>The District has a limited number of staff to allow for adequate segregation of duties.</t>
  </si>
  <si>
    <t>The Board of Education's close review of accounting information appears to be the most economical and appropriate manner to help prevent and detect errors and irregularities in the District's accounting and financial reporting.</t>
  </si>
  <si>
    <t>The District's management and Board of Education's close supervision and review of accounting information is the most economical and appropriate manner to help prevent and detect errors and irregularities in the District's accounting and financial reporting.</t>
  </si>
  <si>
    <t>Financial statements drafted by auditors.</t>
  </si>
  <si>
    <t>No plan; not cost feasible to add staff.</t>
  </si>
  <si>
    <t>District lacks proper segregation of duties</t>
  </si>
  <si>
    <t>in the accounting department.</t>
  </si>
  <si>
    <t>2018 - 001</t>
  </si>
  <si>
    <t>2018 - 002</t>
  </si>
  <si>
    <t>2018 - 003</t>
  </si>
  <si>
    <t>Page 13 Line 216 Fed Special Ed IDEA (4699): Education Fund: $108,380 IDEA Flow Through, Line 203 Title I School Improvement &amp; Accountability</t>
  </si>
  <si>
    <t>Passed Through to Subrecipients (7/1/18-6/30/19)</t>
  </si>
  <si>
    <t>Expenditures (7/1/18-6/30/19)</t>
  </si>
  <si>
    <t>(m) Audited as a major program</t>
  </si>
  <si>
    <t>School Breakfast Program (m)</t>
  </si>
  <si>
    <t>Food Commodities (m)</t>
  </si>
  <si>
    <t>Dept of Defense Fruits &amp; Vegitables (m)</t>
  </si>
  <si>
    <t>National School Lunch Program (m)</t>
  </si>
  <si>
    <t>Special Milk Program for Children (m)</t>
  </si>
  <si>
    <t>TITLE I - Low Income (m)</t>
  </si>
  <si>
    <t>TITLE I - School Improvement &amp; Accountability (m)</t>
  </si>
  <si>
    <r>
      <t xml:space="preserve">The accompanying Schedule of Expenditures of Federal Awards includes the federal grant activity of </t>
    </r>
    <r>
      <rPr>
        <b/>
        <sz val="9"/>
        <rFont val="Calibri"/>
        <family val="2"/>
        <scheme val="minor"/>
      </rPr>
      <t>Rochelle Community Consolidated Elementary #231</t>
    </r>
    <r>
      <rPr>
        <sz val="9"/>
        <rFont val="Calibri"/>
        <family val="2"/>
        <scheme val="minor"/>
      </rPr>
      <t xml:space="preserve">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</si>
  <si>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Rochelle Community Consolidated #231</t>
    </r>
    <r>
      <rPr>
        <sz val="9"/>
        <rFont val="Calibri"/>
        <family val="2"/>
        <scheme val="minor"/>
      </rPr>
      <t xml:space="preserve"> provided federal awards to subrecipients as follows:</t>
    </r>
  </si>
  <si>
    <r>
      <t xml:space="preserve">The following amounts were expended in the form of non-cash assistance by Rochelle Community Consolidated Elementary #231 and </t>
    </r>
    <r>
      <rPr>
        <b/>
        <sz val="9"/>
        <rFont val="Calibri"/>
        <family val="2"/>
        <scheme val="minor"/>
      </rPr>
      <t>should be</t>
    </r>
    <r>
      <rPr>
        <sz val="9"/>
        <rFont val="Calibri"/>
        <family val="2"/>
        <scheme val="minor"/>
      </rPr>
      <t xml:space="preserve"> included in the Schedule of Expenditures of Federal Awards:</t>
    </r>
  </si>
  <si>
    <t>Unmodified</t>
  </si>
  <si>
    <t>by the December 15, 2017 deadline.</t>
  </si>
  <si>
    <t xml:space="preserve">District did not submit proof of verification </t>
  </si>
  <si>
    <t>Corrective Action Plan implemented,</t>
  </si>
  <si>
    <t>not a current year finding</t>
  </si>
  <si>
    <t>Rochelle CCSD 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</si>
</sst>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0"/>
      <color indexed="8"/>
      <name val="Arial"/>
      <family val="2"/>
    </font>
    <font>
      <sz val="8"/>
      <color indexed="8"/>
      <name val="Arial"/>
      <family val="2"/>
    </font>
    <font>
      <sz val="8"/>
      <color indexed="10"/>
      <name val="Arial"/>
      <family val="2"/>
    </font>
    <font>
      <sz val="11"/>
      <color indexed="8"/>
      <name val="Calibri"/>
      <family val="2"/>
    </font>
    <font>
      <sz val="12"/>
      <name val="Times New Roman"/>
      <family val="1"/>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2"/>
      <name val="MartinGotURWTLig"/>
    </font>
    <font>
      <sz val="10"/>
      <name val="MS Sans Serif"/>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indexed="62"/>
      <name val="Cambria"/>
      <family val="2"/>
      <scheme val="major"/>
    </font>
    <font>
      <b/>
      <sz val="18"/>
      <color theme="3"/>
      <name val="Cambria"/>
      <family val="2"/>
      <scheme val="major"/>
    </font>
    <font>
      <sz val="10"/>
      <color rgb="FFFF0000"/>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
      <patternFill patternType="solid">
        <fgColor theme="3" tint="0.59999389629810485"/>
        <bgColor indexed="64"/>
      </patternFill>
    </fill>
  </fills>
  <borders count="17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s>
  <cellStyleXfs count="527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1" fillId="57" borderId="0" applyNumberFormat="0" applyBorder="0" applyAlignment="0" applyProtection="0"/>
    <xf numFmtId="0" fontId="151" fillId="34" borderId="0" applyNumberFormat="0" applyBorder="0" applyAlignment="0" applyProtection="0"/>
    <xf numFmtId="0" fontId="2" fillId="34" borderId="0" applyNumberFormat="0" applyBorder="0" applyAlignment="0" applyProtection="0"/>
    <xf numFmtId="0" fontId="151" fillId="34" borderId="0" applyNumberFormat="0" applyBorder="0" applyAlignment="0" applyProtection="0"/>
    <xf numFmtId="0" fontId="151" fillId="57"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58" borderId="0" applyNumberFormat="0" applyBorder="0" applyAlignment="0" applyProtection="0"/>
    <xf numFmtId="0" fontId="151" fillId="38" borderId="0" applyNumberFormat="0" applyBorder="0" applyAlignment="0" applyProtection="0"/>
    <xf numFmtId="0" fontId="2" fillId="38" borderId="0" applyNumberFormat="0" applyBorder="0" applyAlignment="0" applyProtection="0"/>
    <xf numFmtId="0" fontId="151" fillId="38" borderId="0" applyNumberFormat="0" applyBorder="0" applyAlignment="0" applyProtection="0"/>
    <xf numFmtId="0" fontId="151" fillId="5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59" borderId="0" applyNumberFormat="0" applyBorder="0" applyAlignment="0" applyProtection="0"/>
    <xf numFmtId="0" fontId="151" fillId="42" borderId="0" applyNumberFormat="0" applyBorder="0" applyAlignment="0" applyProtection="0"/>
    <xf numFmtId="0" fontId="2" fillId="42" borderId="0" applyNumberFormat="0" applyBorder="0" applyAlignment="0" applyProtection="0"/>
    <xf numFmtId="0" fontId="151" fillId="42" borderId="0" applyNumberFormat="0" applyBorder="0" applyAlignment="0" applyProtection="0"/>
    <xf numFmtId="0" fontId="151" fillId="59"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60" borderId="0" applyNumberFormat="0" applyBorder="0" applyAlignment="0" applyProtection="0"/>
    <xf numFmtId="0" fontId="151" fillId="46" borderId="0" applyNumberFormat="0" applyBorder="0" applyAlignment="0" applyProtection="0"/>
    <xf numFmtId="0" fontId="2" fillId="46" borderId="0" applyNumberFormat="0" applyBorder="0" applyAlignment="0" applyProtection="0"/>
    <xf numFmtId="0" fontId="151" fillId="46" borderId="0" applyNumberFormat="0" applyBorder="0" applyAlignment="0" applyProtection="0"/>
    <xf numFmtId="0" fontId="151" fillId="60"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2"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9" borderId="0" applyNumberFormat="0" applyBorder="0" applyAlignment="0" applyProtection="0"/>
    <xf numFmtId="0" fontId="151" fillId="54" borderId="0" applyNumberFormat="0" applyBorder="0" applyAlignment="0" applyProtection="0"/>
    <xf numFmtId="0" fontId="2" fillId="54" borderId="0" applyNumberFormat="0" applyBorder="0" applyAlignment="0" applyProtection="0"/>
    <xf numFmtId="0" fontId="151" fillId="54" borderId="0" applyNumberFormat="0" applyBorder="0" applyAlignment="0" applyProtection="0"/>
    <xf numFmtId="0" fontId="151" fillId="59"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61" borderId="0" applyNumberFormat="0" applyBorder="0" applyAlignment="0" applyProtection="0"/>
    <xf numFmtId="0" fontId="151" fillId="35" borderId="0" applyNumberFormat="0" applyBorder="0" applyAlignment="0" applyProtection="0"/>
    <xf numFmtId="0" fontId="2" fillId="35" borderId="0" applyNumberFormat="0" applyBorder="0" applyAlignment="0" applyProtection="0"/>
    <xf numFmtId="0" fontId="151" fillId="35" borderId="0" applyNumberFormat="0" applyBorder="0" applyAlignment="0" applyProtection="0"/>
    <xf numFmtId="0" fontId="151" fillId="61"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2"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62" borderId="0" applyNumberFormat="0" applyBorder="0" applyAlignment="0" applyProtection="0"/>
    <xf numFmtId="0" fontId="151" fillId="43" borderId="0" applyNumberFormat="0" applyBorder="0" applyAlignment="0" applyProtection="0"/>
    <xf numFmtId="0" fontId="2" fillId="43" borderId="0" applyNumberFormat="0" applyBorder="0" applyAlignment="0" applyProtection="0"/>
    <xf numFmtId="0" fontId="151" fillId="43" borderId="0" applyNumberFormat="0" applyBorder="0" applyAlignment="0" applyProtection="0"/>
    <xf numFmtId="0" fontId="151" fillId="62"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63" borderId="0" applyNumberFormat="0" applyBorder="0" applyAlignment="0" applyProtection="0"/>
    <xf numFmtId="0" fontId="151" fillId="47" borderId="0" applyNumberFormat="0" applyBorder="0" applyAlignment="0" applyProtection="0"/>
    <xf numFmtId="0" fontId="2" fillId="47" borderId="0" applyNumberFormat="0" applyBorder="0" applyAlignment="0" applyProtection="0"/>
    <xf numFmtId="0" fontId="151" fillId="47" borderId="0" applyNumberFormat="0" applyBorder="0" applyAlignment="0" applyProtection="0"/>
    <xf numFmtId="0" fontId="151" fillId="63"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61" borderId="0" applyNumberFormat="0" applyBorder="0" applyAlignment="0" applyProtection="0"/>
    <xf numFmtId="0" fontId="151" fillId="51" borderId="0" applyNumberFormat="0" applyBorder="0" applyAlignment="0" applyProtection="0"/>
    <xf numFmtId="0" fontId="2" fillId="51" borderId="0" applyNumberFormat="0" applyBorder="0" applyAlignment="0" applyProtection="0"/>
    <xf numFmtId="0" fontId="151" fillId="51" borderId="0" applyNumberFormat="0" applyBorder="0" applyAlignment="0" applyProtection="0"/>
    <xf numFmtId="0" fontId="151" fillId="6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9" borderId="0" applyNumberFormat="0" applyBorder="0" applyAlignment="0" applyProtection="0"/>
    <xf numFmtId="0" fontId="151" fillId="55" borderId="0" applyNumberFormat="0" applyBorder="0" applyAlignment="0" applyProtection="0"/>
    <xf numFmtId="0" fontId="2" fillId="55" borderId="0" applyNumberFormat="0" applyBorder="0" applyAlignment="0" applyProtection="0"/>
    <xf numFmtId="0" fontId="151" fillId="55" borderId="0" applyNumberFormat="0" applyBorder="0" applyAlignment="0" applyProtection="0"/>
    <xf numFmtId="0" fontId="151" fillId="59"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55" fillId="61" borderId="0" applyNumberFormat="0" applyBorder="0" applyAlignment="0" applyProtection="0"/>
    <xf numFmtId="0" fontId="155" fillId="36" borderId="0" applyNumberFormat="0" applyBorder="0" applyAlignment="0" applyProtection="0"/>
    <xf numFmtId="0" fontId="135" fillId="36" borderId="0" applyNumberFormat="0" applyBorder="0" applyAlignment="0" applyProtection="0"/>
    <xf numFmtId="0" fontId="155" fillId="36" borderId="0" applyNumberFormat="0" applyBorder="0" applyAlignment="0" applyProtection="0"/>
    <xf numFmtId="0" fontId="155" fillId="61"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64" borderId="0" applyNumberFormat="0" applyBorder="0" applyAlignment="0" applyProtection="0"/>
    <xf numFmtId="0" fontId="155" fillId="40" borderId="0" applyNumberFormat="0" applyBorder="0" applyAlignment="0" applyProtection="0"/>
    <xf numFmtId="0" fontId="135" fillId="40" borderId="0" applyNumberFormat="0" applyBorder="0" applyAlignment="0" applyProtection="0"/>
    <xf numFmtId="0" fontId="155" fillId="40" borderId="0" applyNumberFormat="0" applyBorder="0" applyAlignment="0" applyProtection="0"/>
    <xf numFmtId="0" fontId="155" fillId="64"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35" fillId="44" borderId="0" applyNumberFormat="0" applyBorder="0" applyAlignment="0" applyProtection="0"/>
    <xf numFmtId="0" fontId="155" fillId="44"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63" borderId="0" applyNumberFormat="0" applyBorder="0" applyAlignment="0" applyProtection="0"/>
    <xf numFmtId="0" fontId="155" fillId="48" borderId="0" applyNumberFormat="0" applyBorder="0" applyAlignment="0" applyProtection="0"/>
    <xf numFmtId="0" fontId="135" fillId="48" borderId="0" applyNumberFormat="0" applyBorder="0" applyAlignment="0" applyProtection="0"/>
    <xf numFmtId="0" fontId="155" fillId="48" borderId="0" applyNumberFormat="0" applyBorder="0" applyAlignment="0" applyProtection="0"/>
    <xf numFmtId="0" fontId="155" fillId="63"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61" borderId="0" applyNumberFormat="0" applyBorder="0" applyAlignment="0" applyProtection="0"/>
    <xf numFmtId="0" fontId="155" fillId="52" borderId="0" applyNumberFormat="0" applyBorder="0" applyAlignment="0" applyProtection="0"/>
    <xf numFmtId="0" fontId="135" fillId="52" borderId="0" applyNumberFormat="0" applyBorder="0" applyAlignment="0" applyProtection="0"/>
    <xf numFmtId="0" fontId="155" fillId="52" borderId="0" applyNumberFormat="0" applyBorder="0" applyAlignment="0" applyProtection="0"/>
    <xf numFmtId="0" fontId="155" fillId="61"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8" borderId="0" applyNumberFormat="0" applyBorder="0" applyAlignment="0" applyProtection="0"/>
    <xf numFmtId="0" fontId="155" fillId="56" borderId="0" applyNumberFormat="0" applyBorder="0" applyAlignment="0" applyProtection="0"/>
    <xf numFmtId="0" fontId="135" fillId="56" borderId="0" applyNumberFormat="0" applyBorder="0" applyAlignment="0" applyProtection="0"/>
    <xf numFmtId="0" fontId="155" fillId="56" borderId="0" applyNumberFormat="0" applyBorder="0" applyAlignment="0" applyProtection="0"/>
    <xf numFmtId="0" fontId="155" fillId="58"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66" borderId="0" applyNumberFormat="0" applyBorder="0" applyAlignment="0" applyProtection="0"/>
    <xf numFmtId="0" fontId="155" fillId="33" borderId="0" applyNumberFormat="0" applyBorder="0" applyAlignment="0" applyProtection="0"/>
    <xf numFmtId="0" fontId="135" fillId="33" borderId="0" applyNumberFormat="0" applyBorder="0" applyAlignment="0" applyProtection="0"/>
    <xf numFmtId="0" fontId="155" fillId="33" borderId="0" applyNumberFormat="0" applyBorder="0" applyAlignment="0" applyProtection="0"/>
    <xf numFmtId="0" fontId="155" fillId="66"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64" borderId="0" applyNumberFormat="0" applyBorder="0" applyAlignment="0" applyProtection="0"/>
    <xf numFmtId="0" fontId="155" fillId="37" borderId="0" applyNumberFormat="0" applyBorder="0" applyAlignment="0" applyProtection="0"/>
    <xf numFmtId="0" fontId="135" fillId="37" borderId="0" applyNumberFormat="0" applyBorder="0" applyAlignment="0" applyProtection="0"/>
    <xf numFmtId="0" fontId="155" fillId="37" borderId="0" applyNumberFormat="0" applyBorder="0" applyAlignment="0" applyProtection="0"/>
    <xf numFmtId="0" fontId="155" fillId="64"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65" borderId="0" applyNumberFormat="0" applyBorder="0" applyAlignment="0" applyProtection="0"/>
    <xf numFmtId="0" fontId="155" fillId="41" borderId="0" applyNumberFormat="0" applyBorder="0" applyAlignment="0" applyProtection="0"/>
    <xf numFmtId="0" fontId="135" fillId="41" borderId="0" applyNumberFormat="0" applyBorder="0" applyAlignment="0" applyProtection="0"/>
    <xf numFmtId="0" fontId="155" fillId="41" borderId="0" applyNumberFormat="0" applyBorder="0" applyAlignment="0" applyProtection="0"/>
    <xf numFmtId="0" fontId="155" fillId="65"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67" borderId="0" applyNumberFormat="0" applyBorder="0" applyAlignment="0" applyProtection="0"/>
    <xf numFmtId="0" fontId="155" fillId="45" borderId="0" applyNumberFormat="0" applyBorder="0" applyAlignment="0" applyProtection="0"/>
    <xf numFmtId="0" fontId="135" fillId="45" borderId="0" applyNumberFormat="0" applyBorder="0" applyAlignment="0" applyProtection="0"/>
    <xf numFmtId="0" fontId="155" fillId="45" borderId="0" applyNumberFormat="0" applyBorder="0" applyAlignment="0" applyProtection="0"/>
    <xf numFmtId="0" fontId="155" fillId="67"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3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68" borderId="0" applyNumberFormat="0" applyBorder="0" applyAlignment="0" applyProtection="0"/>
    <xf numFmtId="0" fontId="155" fillId="53" borderId="0" applyNumberFormat="0" applyBorder="0" applyAlignment="0" applyProtection="0"/>
    <xf numFmtId="0" fontId="135" fillId="53" borderId="0" applyNumberFormat="0" applyBorder="0" applyAlignment="0" applyProtection="0"/>
    <xf numFmtId="0" fontId="155" fillId="53" borderId="0" applyNumberFormat="0" applyBorder="0" applyAlignment="0" applyProtection="0"/>
    <xf numFmtId="0" fontId="155" fillId="68"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70" fillId="69" borderId="0" applyNumberFormat="0" applyBorder="0" applyAlignment="0" applyProtection="0"/>
    <xf numFmtId="0" fontId="170" fillId="27" borderId="0" applyNumberFormat="0" applyBorder="0" applyAlignment="0" applyProtection="0"/>
    <xf numFmtId="0" fontId="143" fillId="27" borderId="0" applyNumberFormat="0" applyBorder="0" applyAlignment="0" applyProtection="0"/>
    <xf numFmtId="0" fontId="170" fillId="27" borderId="0" applyNumberFormat="0" applyBorder="0" applyAlignment="0" applyProtection="0"/>
    <xf numFmtId="0" fontId="170" fillId="6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62" fillId="70" borderId="164" applyNumberFormat="0" applyAlignment="0" applyProtection="0"/>
    <xf numFmtId="0" fontId="171" fillId="30" borderId="164" applyNumberFormat="0" applyAlignment="0" applyProtection="0"/>
    <xf numFmtId="0" fontId="146" fillId="30" borderId="164" applyNumberFormat="0" applyAlignment="0" applyProtection="0"/>
    <xf numFmtId="0" fontId="171" fillId="30" borderId="164" applyNumberFormat="0" applyAlignment="0" applyProtection="0"/>
    <xf numFmtId="0" fontId="162" fillId="70" borderId="164" applyNumberFormat="0" applyAlignment="0" applyProtection="0"/>
    <xf numFmtId="0" fontId="171" fillId="30" borderId="164" applyNumberFormat="0" applyAlignment="0" applyProtection="0"/>
    <xf numFmtId="0" fontId="171" fillId="30" borderId="164" applyNumberFormat="0" applyAlignment="0" applyProtection="0"/>
    <xf numFmtId="0" fontId="172" fillId="31" borderId="167" applyNumberFormat="0" applyAlignment="0" applyProtection="0"/>
    <xf numFmtId="0" fontId="172" fillId="31" borderId="167" applyNumberFormat="0" applyAlignment="0" applyProtection="0"/>
    <xf numFmtId="0" fontId="148" fillId="31" borderId="167" applyNumberFormat="0" applyAlignment="0" applyProtection="0"/>
    <xf numFmtId="0" fontId="172" fillId="31" borderId="167" applyNumberFormat="0" applyAlignment="0" applyProtection="0"/>
    <xf numFmtId="0" fontId="172" fillId="31" borderId="167" applyNumberFormat="0" applyAlignment="0" applyProtection="0"/>
    <xf numFmtId="43" fontId="157" fillId="0" borderId="0" applyFont="0" applyFill="0" applyBorder="0" applyAlignment="0" applyProtection="0"/>
    <xf numFmtId="43" fontId="46" fillId="0" borderId="0" applyFont="0" applyFill="0" applyBorder="0" applyAlignment="0" applyProtection="0"/>
    <xf numFmtId="43" fontId="157"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7"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1" fillId="0" borderId="0" applyFont="0" applyFill="0" applyBorder="0" applyAlignment="0" applyProtection="0"/>
    <xf numFmtId="43" fontId="160"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9" fillId="0" borderId="0" applyFont="0" applyFill="0" applyBorder="0" applyAlignment="0" applyProtection="0"/>
    <xf numFmtId="43" fontId="161" fillId="0" borderId="0" applyFont="0" applyFill="0" applyBorder="0" applyAlignment="0" applyProtection="0"/>
    <xf numFmtId="43" fontId="173" fillId="0" borderId="0" applyFont="0" applyFill="0" applyBorder="0" applyAlignment="0" applyProtection="0"/>
    <xf numFmtId="43" fontId="19" fillId="0" borderId="0" applyFont="0" applyFill="0" applyBorder="0" applyAlignment="0" applyProtection="0"/>
    <xf numFmtId="43" fontId="173" fillId="0" borderId="0" applyFont="0" applyFill="0" applyBorder="0" applyAlignment="0" applyProtection="0"/>
    <xf numFmtId="43" fontId="169"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7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9" fillId="0" borderId="0" applyFont="0" applyFill="0" applyBorder="0" applyAlignment="0" applyProtection="0"/>
    <xf numFmtId="43" fontId="169" fillId="0" borderId="0" applyFont="0" applyFill="0" applyBorder="0" applyAlignment="0" applyProtection="0"/>
    <xf numFmtId="43" fontId="19"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50"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5" fillId="61" borderId="0" applyNumberFormat="0" applyBorder="0" applyAlignment="0" applyProtection="0"/>
    <xf numFmtId="0" fontId="175" fillId="26" borderId="0" applyNumberFormat="0" applyBorder="0" applyAlignment="0" applyProtection="0"/>
    <xf numFmtId="0" fontId="142" fillId="26" borderId="0" applyNumberFormat="0" applyBorder="0" applyAlignment="0" applyProtection="0"/>
    <xf numFmtId="0" fontId="175" fillId="26" borderId="0" applyNumberFormat="0" applyBorder="0" applyAlignment="0" applyProtection="0"/>
    <xf numFmtId="0" fontId="175" fillId="61" borderId="0" applyNumberFormat="0" applyBorder="0" applyAlignment="0" applyProtection="0"/>
    <xf numFmtId="0" fontId="175" fillId="26" borderId="0" applyNumberFormat="0" applyBorder="0" applyAlignment="0" applyProtection="0"/>
    <xf numFmtId="0" fontId="175" fillId="26" borderId="0" applyNumberFormat="0" applyBorder="0" applyAlignment="0" applyProtection="0"/>
    <xf numFmtId="0" fontId="163" fillId="0" borderId="170" applyNumberFormat="0" applyFill="0" applyAlignment="0" applyProtection="0"/>
    <xf numFmtId="0" fontId="176" fillId="0" borderId="161" applyNumberFormat="0" applyFill="0" applyAlignment="0" applyProtection="0"/>
    <xf numFmtId="0" fontId="139" fillId="0" borderId="161" applyNumberFormat="0" applyFill="0" applyAlignment="0" applyProtection="0"/>
    <xf numFmtId="0" fontId="176" fillId="0" borderId="161" applyNumberFormat="0" applyFill="0" applyAlignment="0" applyProtection="0"/>
    <xf numFmtId="0" fontId="163" fillId="0" borderId="170" applyNumberFormat="0" applyFill="0" applyAlignment="0" applyProtection="0"/>
    <xf numFmtId="0" fontId="176" fillId="0" borderId="161" applyNumberFormat="0" applyFill="0" applyAlignment="0" applyProtection="0"/>
    <xf numFmtId="0" fontId="176" fillId="0" borderId="161" applyNumberFormat="0" applyFill="0" applyAlignment="0" applyProtection="0"/>
    <xf numFmtId="0" fontId="164" fillId="0" borderId="171" applyNumberFormat="0" applyFill="0" applyAlignment="0" applyProtection="0"/>
    <xf numFmtId="0" fontId="177" fillId="0" borderId="162" applyNumberFormat="0" applyFill="0" applyAlignment="0" applyProtection="0"/>
    <xf numFmtId="0" fontId="140" fillId="0" borderId="162" applyNumberFormat="0" applyFill="0" applyAlignment="0" applyProtection="0"/>
    <xf numFmtId="0" fontId="177" fillId="0" borderId="162" applyNumberFormat="0" applyFill="0" applyAlignment="0" applyProtection="0"/>
    <xf numFmtId="0" fontId="164" fillId="0" borderId="171" applyNumberFormat="0" applyFill="0" applyAlignment="0" applyProtection="0"/>
    <xf numFmtId="0" fontId="177" fillId="0" borderId="162" applyNumberFormat="0" applyFill="0" applyAlignment="0" applyProtection="0"/>
    <xf numFmtId="0" fontId="177" fillId="0" borderId="162" applyNumberFormat="0" applyFill="0" applyAlignment="0" applyProtection="0"/>
    <xf numFmtId="0" fontId="165" fillId="0" borderId="172" applyNumberFormat="0" applyFill="0" applyAlignment="0" applyProtection="0"/>
    <xf numFmtId="0" fontId="178" fillId="0" borderId="163" applyNumberFormat="0" applyFill="0" applyAlignment="0" applyProtection="0"/>
    <xf numFmtId="0" fontId="141" fillId="0" borderId="163" applyNumberFormat="0" applyFill="0" applyAlignment="0" applyProtection="0"/>
    <xf numFmtId="0" fontId="178" fillId="0" borderId="163" applyNumberFormat="0" applyFill="0" applyAlignment="0" applyProtection="0"/>
    <xf numFmtId="0" fontId="165" fillId="0" borderId="172" applyNumberFormat="0" applyFill="0" applyAlignment="0" applyProtection="0"/>
    <xf numFmtId="0" fontId="178" fillId="0" borderId="163" applyNumberFormat="0" applyFill="0" applyAlignment="0" applyProtection="0"/>
    <xf numFmtId="0" fontId="178" fillId="0" borderId="163" applyNumberFormat="0" applyFill="0" applyAlignment="0" applyProtection="0"/>
    <xf numFmtId="0" fontId="165" fillId="0" borderId="0" applyNumberFormat="0" applyFill="0" applyBorder="0" applyAlignment="0" applyProtection="0"/>
    <xf numFmtId="0" fontId="178" fillId="0" borderId="0" applyNumberFormat="0" applyFill="0" applyBorder="0" applyAlignment="0" applyProtection="0"/>
    <xf numFmtId="0" fontId="141" fillId="0" borderId="0" applyNumberFormat="0" applyFill="0" applyBorder="0" applyAlignment="0" applyProtection="0"/>
    <xf numFmtId="0" fontId="178" fillId="0" borderId="0" applyNumberFormat="0" applyFill="0" applyBorder="0" applyAlignment="0" applyProtection="0"/>
    <xf numFmtId="0" fontId="165"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3" fillId="0" borderId="0" applyNumberFormat="0" applyFill="0" applyBorder="0" applyAlignment="0" applyProtection="0">
      <alignment vertical="top"/>
      <protection locked="0"/>
    </xf>
    <xf numFmtId="0" fontId="179" fillId="62" borderId="164" applyNumberFormat="0" applyAlignment="0" applyProtection="0"/>
    <xf numFmtId="0" fontId="179" fillId="29" borderId="164" applyNumberFormat="0" applyAlignment="0" applyProtection="0"/>
    <xf numFmtId="0" fontId="144" fillId="29" borderId="164" applyNumberFormat="0" applyAlignment="0" applyProtection="0"/>
    <xf numFmtId="0" fontId="179" fillId="29" borderId="164" applyNumberFormat="0" applyAlignment="0" applyProtection="0"/>
    <xf numFmtId="0" fontId="179" fillId="62" borderId="164" applyNumberFormat="0" applyAlignment="0" applyProtection="0"/>
    <xf numFmtId="0" fontId="179" fillId="29" borderId="164" applyNumberFormat="0" applyAlignment="0" applyProtection="0"/>
    <xf numFmtId="0" fontId="179" fillId="29" borderId="164" applyNumberFormat="0" applyAlignment="0" applyProtection="0"/>
    <xf numFmtId="0" fontId="166" fillId="0" borderId="173" applyNumberFormat="0" applyFill="0" applyAlignment="0" applyProtection="0"/>
    <xf numFmtId="0" fontId="180" fillId="0" borderId="166" applyNumberFormat="0" applyFill="0" applyAlignment="0" applyProtection="0"/>
    <xf numFmtId="0" fontId="147" fillId="0" borderId="166" applyNumberFormat="0" applyFill="0" applyAlignment="0" applyProtection="0"/>
    <xf numFmtId="0" fontId="180" fillId="0" borderId="166" applyNumberFormat="0" applyFill="0" applyAlignment="0" applyProtection="0"/>
    <xf numFmtId="0" fontId="166" fillId="0" borderId="173" applyNumberFormat="0" applyFill="0" applyAlignment="0" applyProtection="0"/>
    <xf numFmtId="0" fontId="180" fillId="0" borderId="166" applyNumberFormat="0" applyFill="0" applyAlignment="0" applyProtection="0"/>
    <xf numFmtId="0" fontId="180" fillId="0" borderId="166" applyNumberFormat="0" applyFill="0" applyAlignment="0" applyProtection="0"/>
    <xf numFmtId="0" fontId="167" fillId="28" borderId="0" applyNumberFormat="0" applyBorder="0" applyAlignment="0" applyProtection="0"/>
    <xf numFmtId="0" fontId="181" fillId="28" borderId="0" applyNumberFormat="0" applyBorder="0" applyAlignment="0" applyProtection="0"/>
    <xf numFmtId="0" fontId="156" fillId="28" borderId="0" applyNumberFormat="0" applyBorder="0" applyAlignment="0" applyProtection="0"/>
    <xf numFmtId="0" fontId="181" fillId="28" borderId="0" applyNumberFormat="0" applyBorder="0" applyAlignment="0" applyProtection="0"/>
    <xf numFmtId="0" fontId="167" fillId="28" borderId="0" applyNumberFormat="0" applyBorder="0" applyAlignment="0" applyProtection="0"/>
    <xf numFmtId="0" fontId="181" fillId="28" borderId="0" applyNumberFormat="0" applyBorder="0" applyAlignment="0" applyProtection="0"/>
    <xf numFmtId="0" fontId="181" fillId="28" borderId="0" applyNumberFormat="0" applyBorder="0" applyAlignment="0" applyProtection="0"/>
    <xf numFmtId="0" fontId="161" fillId="0" borderId="0"/>
    <xf numFmtId="0" fontId="161" fillId="0" borderId="0"/>
    <xf numFmtId="0" fontId="161" fillId="0" borderId="0"/>
    <xf numFmtId="0" fontId="11" fillId="0" borderId="0"/>
    <xf numFmtId="0" fontId="2" fillId="0" borderId="0"/>
    <xf numFmtId="0" fontId="161" fillId="0" borderId="0"/>
    <xf numFmtId="0" fontId="161" fillId="0" borderId="0"/>
    <xf numFmtId="0" fontId="161" fillId="0" borderId="0"/>
    <xf numFmtId="0" fontId="1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1" fillId="0" borderId="0"/>
    <xf numFmtId="0" fontId="152" fillId="0" borderId="0"/>
    <xf numFmtId="0" fontId="152" fillId="0" borderId="0"/>
    <xf numFmtId="0" fontId="152" fillId="0" borderId="0"/>
    <xf numFmtId="0" fontId="11" fillId="0" borderId="0"/>
    <xf numFmtId="0" fontId="11" fillId="0" borderId="0"/>
    <xf numFmtId="0" fontId="2" fillId="0" borderId="0"/>
    <xf numFmtId="0" fontId="2" fillId="0" borderId="0"/>
    <xf numFmtId="0" fontId="46" fillId="0" borderId="0"/>
    <xf numFmtId="0" fontId="11" fillId="0" borderId="0"/>
    <xf numFmtId="0" fontId="11" fillId="0" borderId="0"/>
    <xf numFmtId="0" fontId="11" fillId="0" borderId="0"/>
    <xf numFmtId="0" fontId="151"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11" fillId="0" borderId="0"/>
    <xf numFmtId="0" fontId="11" fillId="0" borderId="0"/>
    <xf numFmtId="0" fontId="152"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1" fillId="0" borderId="0"/>
    <xf numFmtId="0" fontId="152"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52" fillId="0" borderId="0"/>
    <xf numFmtId="0" fontId="11"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61" fillId="0" borderId="0"/>
    <xf numFmtId="0" fontId="152" fillId="0" borderId="0"/>
    <xf numFmtId="0" fontId="152" fillId="0" borderId="0"/>
    <xf numFmtId="0" fontId="11" fillId="0" borderId="0"/>
    <xf numFmtId="0" fontId="152" fillId="0" borderId="0"/>
    <xf numFmtId="0" fontId="11" fillId="0" borderId="0"/>
    <xf numFmtId="0" fontId="11" fillId="0" borderId="0"/>
    <xf numFmtId="0" fontId="11" fillId="0" borderId="0"/>
    <xf numFmtId="0" fontId="11" fillId="0" borderId="0"/>
    <xf numFmtId="0" fontId="19" fillId="0" borderId="0"/>
    <xf numFmtId="0" fontId="46" fillId="0" borderId="0"/>
    <xf numFmtId="0" fontId="152" fillId="0" borderId="0"/>
    <xf numFmtId="0" fontId="152" fillId="0" borderId="0"/>
    <xf numFmtId="0" fontId="152" fillId="0" borderId="0"/>
    <xf numFmtId="0" fontId="46" fillId="0" borderId="0"/>
    <xf numFmtId="0" fontId="152" fillId="0" borderId="0"/>
    <xf numFmtId="0" fontId="152" fillId="0" borderId="0"/>
    <xf numFmtId="0" fontId="46" fillId="0" borderId="0"/>
    <xf numFmtId="0" fontId="11" fillId="0" borderId="0"/>
    <xf numFmtId="0" fontId="11" fillId="0" borderId="0"/>
    <xf numFmtId="0" fontId="46" fillId="0" borderId="0"/>
    <xf numFmtId="0" fontId="152" fillId="0" borderId="0"/>
    <xf numFmtId="0" fontId="152" fillId="0" borderId="0"/>
    <xf numFmtId="0" fontId="46" fillId="0" borderId="0"/>
    <xf numFmtId="0" fontId="152" fillId="0" borderId="0"/>
    <xf numFmtId="0" fontId="11" fillId="0" borderId="0"/>
    <xf numFmtId="0" fontId="161" fillId="0" borderId="0"/>
    <xf numFmtId="0" fontId="161" fillId="0" borderId="0"/>
    <xf numFmtId="0" fontId="46" fillId="0" borderId="0"/>
    <xf numFmtId="0" fontId="152"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1" fillId="0" borderId="0"/>
    <xf numFmtId="0" fontId="11" fillId="0" borderId="0"/>
    <xf numFmtId="0" fontId="46" fillId="0" borderId="0"/>
    <xf numFmtId="0" fontId="11" fillId="0" borderId="0"/>
    <xf numFmtId="0" fontId="2" fillId="0" borderId="0"/>
    <xf numFmtId="0" fontId="2" fillId="0" borderId="0"/>
    <xf numFmtId="0" fontId="152" fillId="0" borderId="0"/>
    <xf numFmtId="0" fontId="152" fillId="0" borderId="0"/>
    <xf numFmtId="0" fontId="152" fillId="0" borderId="0"/>
    <xf numFmtId="0" fontId="11" fillId="0" borderId="0"/>
    <xf numFmtId="0" fontId="11" fillId="0" borderId="0"/>
    <xf numFmtId="0" fontId="152" fillId="0" borderId="0"/>
    <xf numFmtId="0" fontId="46" fillId="0" borderId="0"/>
    <xf numFmtId="0" fontId="19" fillId="0" borderId="0"/>
    <xf numFmtId="0" fontId="19" fillId="0" borderId="0"/>
    <xf numFmtId="0" fontId="46" fillId="0" borderId="0"/>
    <xf numFmtId="0" fontId="19" fillId="0" borderId="0"/>
    <xf numFmtId="0" fontId="19" fillId="0" borderId="0"/>
    <xf numFmtId="0" fontId="46"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0" borderId="0"/>
    <xf numFmtId="0" fontId="161" fillId="0" borderId="0"/>
    <xf numFmtId="0" fontId="11" fillId="0" borderId="0"/>
    <xf numFmtId="0" fontId="11" fillId="0" borderId="0"/>
    <xf numFmtId="0" fontId="11" fillId="0" borderId="0"/>
    <xf numFmtId="0" fontId="161" fillId="0" borderId="0"/>
    <xf numFmtId="0" fontId="16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0" borderId="0"/>
    <xf numFmtId="0" fontId="11" fillId="0" borderId="0"/>
    <xf numFmtId="0" fontId="11" fillId="0" borderId="0"/>
    <xf numFmtId="0" fontId="16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1" fillId="0" borderId="0"/>
    <xf numFmtId="0" fontId="11" fillId="0" borderId="0"/>
    <xf numFmtId="0" fontId="152" fillId="0" borderId="0"/>
    <xf numFmtId="0" fontId="152"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57" fillId="0" borderId="0"/>
    <xf numFmtId="0" fontId="157" fillId="0" borderId="0"/>
    <xf numFmtId="0" fontId="157" fillId="0" borderId="0"/>
    <xf numFmtId="0" fontId="157" fillId="0" borderId="0"/>
    <xf numFmtId="0" fontId="2" fillId="0" borderId="0"/>
    <xf numFmtId="0" fontId="157" fillId="0" borderId="0"/>
    <xf numFmtId="0" fontId="157" fillId="0" borderId="0"/>
    <xf numFmtId="0" fontId="157" fillId="0" borderId="0"/>
    <xf numFmtId="0" fontId="157" fillId="0" borderId="0"/>
    <xf numFmtId="0" fontId="168" fillId="0" borderId="0"/>
    <xf numFmtId="0" fontId="11" fillId="0" borderId="0"/>
    <xf numFmtId="0" fontId="11" fillId="0" borderId="0"/>
    <xf numFmtId="0" fontId="11" fillId="0" borderId="0"/>
    <xf numFmtId="0" fontId="11" fillId="0" borderId="0"/>
    <xf numFmtId="0" fontId="11" fillId="0" borderId="0"/>
    <xf numFmtId="0" fontId="161" fillId="0" borderId="0"/>
    <xf numFmtId="0" fontId="11" fillId="0" borderId="0"/>
    <xf numFmtId="0" fontId="152" fillId="0" borderId="0"/>
    <xf numFmtId="0" fontId="2" fillId="0" borderId="0"/>
    <xf numFmtId="0" fontId="11" fillId="0" borderId="0"/>
    <xf numFmtId="0" fontId="2" fillId="0" borderId="0"/>
    <xf numFmtId="0" fontId="11" fillId="0" borderId="0"/>
    <xf numFmtId="0" fontId="46" fillId="0" borderId="0"/>
    <xf numFmtId="0" fontId="46" fillId="0" borderId="0"/>
    <xf numFmtId="0" fontId="157" fillId="0" borderId="0"/>
    <xf numFmtId="0" fontId="157" fillId="0" borderId="0">
      <alignment vertical="top"/>
    </xf>
    <xf numFmtId="0" fontId="19" fillId="0" borderId="0"/>
    <xf numFmtId="0" fontId="169" fillId="0" borderId="0"/>
    <xf numFmtId="0" fontId="19" fillId="0" borderId="0"/>
    <xf numFmtId="0" fontId="19" fillId="0" borderId="0"/>
    <xf numFmtId="0" fontId="19" fillId="0" borderId="0"/>
    <xf numFmtId="0" fontId="16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9" fillId="0" borderId="0"/>
    <xf numFmtId="0" fontId="161" fillId="0" borderId="0"/>
    <xf numFmtId="0" fontId="152" fillId="0" borderId="0"/>
    <xf numFmtId="0" fontId="19" fillId="0" borderId="0"/>
    <xf numFmtId="0" fontId="11" fillId="0" borderId="0"/>
    <xf numFmtId="0" fontId="169" fillId="0" borderId="0"/>
    <xf numFmtId="0" fontId="161" fillId="0" borderId="0"/>
    <xf numFmtId="0" fontId="152" fillId="0" borderId="0"/>
    <xf numFmtId="0" fontId="161" fillId="0" borderId="0"/>
    <xf numFmtId="0" fontId="11" fillId="0" borderId="0"/>
    <xf numFmtId="0" fontId="161" fillId="0" borderId="0"/>
    <xf numFmtId="0" fontId="161" fillId="0" borderId="0"/>
    <xf numFmtId="0" fontId="11" fillId="0" borderId="0"/>
    <xf numFmtId="0" fontId="182" fillId="0" borderId="0"/>
    <xf numFmtId="0" fontId="182" fillId="0" borderId="0"/>
    <xf numFmtId="0" fontId="11" fillId="0" borderId="0"/>
    <xf numFmtId="0" fontId="152" fillId="0" borderId="0"/>
    <xf numFmtId="0" fontId="46" fillId="0" borderId="0"/>
    <xf numFmtId="0" fontId="152" fillId="0" borderId="0"/>
    <xf numFmtId="0" fontId="152" fillId="0" borderId="0"/>
    <xf numFmtId="0" fontId="11" fillId="0" borderId="0"/>
    <xf numFmtId="0" fontId="161" fillId="0" borderId="0"/>
    <xf numFmtId="0" fontId="19" fillId="0" borderId="0"/>
    <xf numFmtId="0" fontId="46" fillId="0" borderId="0"/>
    <xf numFmtId="0" fontId="19" fillId="0" borderId="0"/>
    <xf numFmtId="0" fontId="161" fillId="0" borderId="0"/>
    <xf numFmtId="0" fontId="161" fillId="0" borderId="0"/>
    <xf numFmtId="0" fontId="173"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 fillId="0" borderId="0"/>
    <xf numFmtId="0" fontId="152" fillId="0" borderId="0"/>
    <xf numFmtId="0" fontId="161" fillId="0" borderId="0"/>
    <xf numFmtId="0" fontId="161" fillId="0" borderId="0"/>
    <xf numFmtId="0" fontId="152" fillId="0" borderId="0"/>
    <xf numFmtId="0" fontId="151" fillId="0" borderId="0"/>
    <xf numFmtId="0" fontId="151" fillId="0" borderId="0"/>
    <xf numFmtId="0" fontId="152" fillId="0" borderId="0"/>
    <xf numFmtId="0" fontId="46" fillId="0" borderId="0"/>
    <xf numFmtId="0" fontId="157" fillId="32" borderId="168" applyNumberFormat="0" applyFont="0" applyAlignment="0" applyProtection="0"/>
    <xf numFmtId="0" fontId="151" fillId="32" borderId="168" applyNumberFormat="0" applyFont="0" applyAlignment="0" applyProtection="0"/>
    <xf numFmtId="0" fontId="2" fillId="32" borderId="168" applyNumberFormat="0" applyFont="0" applyAlignment="0" applyProtection="0"/>
    <xf numFmtId="0" fontId="151" fillId="32" borderId="168" applyNumberFormat="0" applyFont="0" applyAlignment="0" applyProtection="0"/>
    <xf numFmtId="0" fontId="157"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83" fillId="70" borderId="165" applyNumberFormat="0" applyAlignment="0" applyProtection="0"/>
    <xf numFmtId="0" fontId="183" fillId="30" borderId="165" applyNumberFormat="0" applyAlignment="0" applyProtection="0"/>
    <xf numFmtId="0" fontId="145" fillId="30" borderId="165" applyNumberFormat="0" applyAlignment="0" applyProtection="0"/>
    <xf numFmtId="0" fontId="183" fillId="30" borderId="165" applyNumberFormat="0" applyAlignment="0" applyProtection="0"/>
    <xf numFmtId="0" fontId="183" fillId="70" borderId="165" applyNumberFormat="0" applyAlignment="0" applyProtection="0"/>
    <xf numFmtId="0" fontId="183" fillId="30" borderId="165" applyNumberFormat="0" applyAlignment="0" applyProtection="0"/>
    <xf numFmtId="0" fontId="183" fillId="30" borderId="16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6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6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57" fillId="0" borderId="0" applyFont="0" applyFill="0" applyBorder="0" applyAlignment="0" applyProtection="0">
      <alignment vertical="top"/>
    </xf>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54" fillId="0" borderId="174" applyNumberFormat="0" applyFill="0" applyAlignment="0" applyProtection="0"/>
    <xf numFmtId="0" fontId="154" fillId="0" borderId="169" applyNumberFormat="0" applyFill="0" applyAlignment="0" applyProtection="0"/>
    <xf numFmtId="0" fontId="126" fillId="0" borderId="169" applyNumberFormat="0" applyFill="0" applyAlignment="0" applyProtection="0"/>
    <xf numFmtId="0" fontId="154" fillId="0" borderId="169" applyNumberFormat="0" applyFill="0" applyAlignment="0" applyProtection="0"/>
    <xf numFmtId="0" fontId="154" fillId="0" borderId="174" applyNumberFormat="0" applyFill="0" applyAlignment="0" applyProtection="0"/>
    <xf numFmtId="0" fontId="154" fillId="0" borderId="169" applyNumberFormat="0" applyFill="0" applyAlignment="0" applyProtection="0"/>
    <xf numFmtId="0" fontId="154" fillId="0" borderId="169"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49"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57"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157" fillId="0" borderId="0" applyFont="0" applyFill="0" applyBorder="0" applyAlignment="0" applyProtection="0">
      <alignment vertical="top"/>
    </xf>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4" fontId="2" fillId="0" borderId="0" applyFont="0" applyFill="0" applyBorder="0" applyAlignment="0" applyProtection="0"/>
    <xf numFmtId="0" fontId="2" fillId="0" borderId="0"/>
    <xf numFmtId="0" fontId="161" fillId="0" borderId="0"/>
    <xf numFmtId="0" fontId="152" fillId="0" borderId="0"/>
    <xf numFmtId="0" fontId="2" fillId="0" borderId="0"/>
    <xf numFmtId="0" fontId="2" fillId="0" borderId="0"/>
    <xf numFmtId="0" fontId="2" fillId="0" borderId="0"/>
    <xf numFmtId="0" fontId="2" fillId="0" borderId="0"/>
    <xf numFmtId="0" fontId="152" fillId="0" borderId="0"/>
    <xf numFmtId="0" fontId="152" fillId="0" borderId="0"/>
    <xf numFmtId="0" fontId="11" fillId="0" borderId="0"/>
    <xf numFmtId="0" fontId="11" fillId="0" borderId="0"/>
    <xf numFmtId="0" fontId="2" fillId="0" borderId="0"/>
    <xf numFmtId="0" fontId="2" fillId="0" borderId="0"/>
    <xf numFmtId="0" fontId="2" fillId="0" borderId="0"/>
    <xf numFmtId="0" fontId="11" fillId="0" borderId="0"/>
    <xf numFmtId="0" fontId="152" fillId="0" borderId="0"/>
    <xf numFmtId="0" fontId="2" fillId="0" borderId="0"/>
    <xf numFmtId="0" fontId="2" fillId="0" borderId="0"/>
    <xf numFmtId="0" fontId="2" fillId="0" borderId="0"/>
    <xf numFmtId="0" fontId="157" fillId="0" borderId="0">
      <alignment vertical="top"/>
    </xf>
    <xf numFmtId="0" fontId="152" fillId="0" borderId="0"/>
    <xf numFmtId="0" fontId="161" fillId="0" borderId="0"/>
    <xf numFmtId="0" fontId="161" fillId="0" borderId="0"/>
    <xf numFmtId="0" fontId="2" fillId="32" borderId="168" applyNumberFormat="0" applyFont="0" applyAlignment="0" applyProtection="0"/>
    <xf numFmtId="9" fontId="157" fillId="0" borderId="0" applyFont="0" applyFill="0" applyBorder="0" applyAlignment="0" applyProtection="0">
      <alignment vertical="top"/>
    </xf>
    <xf numFmtId="0" fontId="2" fillId="0" borderId="0"/>
    <xf numFmtId="0" fontId="2" fillId="0" borderId="0"/>
    <xf numFmtId="0" fontId="2"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2" fillId="0" borderId="0"/>
    <xf numFmtId="0" fontId="2" fillId="0" borderId="0"/>
    <xf numFmtId="0" fontId="11" fillId="0" borderId="0"/>
    <xf numFmtId="0" fontId="152" fillId="0" borderId="0"/>
    <xf numFmtId="0" fontId="152" fillId="0" borderId="0"/>
    <xf numFmtId="0" fontId="151" fillId="59"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5" fillId="59" borderId="0" applyNumberFormat="0" applyBorder="0" applyAlignment="0" applyProtection="0"/>
    <xf numFmtId="0" fontId="2" fillId="0" borderId="0"/>
    <xf numFmtId="43" fontId="161" fillId="0" borderId="0" applyFont="0" applyFill="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60" fillId="0" borderId="0" applyFont="0" applyFill="0" applyBorder="0" applyAlignment="0" applyProtection="0"/>
    <xf numFmtId="0" fontId="2" fillId="38" borderId="0" applyNumberFormat="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1" fillId="0" borderId="0" applyFont="0" applyFill="0" applyBorder="0" applyAlignment="0" applyProtection="0"/>
    <xf numFmtId="0" fontId="2" fillId="42" borderId="0" applyNumberFormat="0" applyBorder="0" applyAlignment="0" applyProtection="0"/>
    <xf numFmtId="0" fontId="181" fillId="60" borderId="0" applyNumberFormat="0" applyBorder="0" applyAlignment="0" applyProtection="0"/>
    <xf numFmtId="0" fontId="2" fillId="0" borderId="0"/>
    <xf numFmtId="0" fontId="2" fillId="0" borderId="0"/>
    <xf numFmtId="0" fontId="152" fillId="0" borderId="0"/>
    <xf numFmtId="0" fontId="11" fillId="0" borderId="0"/>
    <xf numFmtId="0" fontId="161" fillId="0" borderId="0"/>
    <xf numFmtId="0" fontId="11" fillId="0" borderId="0"/>
    <xf numFmtId="0" fontId="2" fillId="0" borderId="0"/>
    <xf numFmtId="0" fontId="152" fillId="0" borderId="0"/>
    <xf numFmtId="0" fontId="152" fillId="0" borderId="0"/>
    <xf numFmtId="0" fontId="2" fillId="50" borderId="0" applyNumberFormat="0" applyBorder="0" applyAlignment="0" applyProtection="0"/>
    <xf numFmtId="0" fontId="11" fillId="0" borderId="0"/>
    <xf numFmtId="0" fontId="152" fillId="0" borderId="0"/>
    <xf numFmtId="0" fontId="2" fillId="54" borderId="0" applyNumberFormat="0" applyBorder="0" applyAlignment="0" applyProtection="0"/>
    <xf numFmtId="0" fontId="2" fillId="35" borderId="0" applyNumberFormat="0" applyBorder="0" applyAlignment="0" applyProtection="0"/>
    <xf numFmtId="0" fontId="157" fillId="32" borderId="168" applyNumberFormat="0" applyFont="0" applyAlignment="0" applyProtection="0"/>
    <xf numFmtId="0" fontId="2" fillId="46" borderId="0" applyNumberFormat="0" applyBorder="0" applyAlignment="0" applyProtection="0"/>
    <xf numFmtId="0" fontId="2" fillId="34" borderId="0" applyNumberFormat="0" applyBorder="0" applyAlignment="0" applyProtection="0"/>
    <xf numFmtId="0" fontId="157" fillId="0" borderId="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0" fontId="2" fillId="0" borderId="0"/>
    <xf numFmtId="0" fontId="2" fillId="0" borderId="0"/>
    <xf numFmtId="0" fontId="2" fillId="0" borderId="0"/>
    <xf numFmtId="0" fontId="152" fillId="0" borderId="0"/>
    <xf numFmtId="0" fontId="46" fillId="0" borderId="0"/>
    <xf numFmtId="0" fontId="2" fillId="0" borderId="0"/>
    <xf numFmtId="0" fontId="19" fillId="0" borderId="0"/>
    <xf numFmtId="0" fontId="19" fillId="0" borderId="0"/>
    <xf numFmtId="0" fontId="2" fillId="0" borderId="0"/>
    <xf numFmtId="0" fontId="11" fillId="0" borderId="0"/>
    <xf numFmtId="0" fontId="154" fillId="0" borderId="174" applyNumberFormat="0" applyFill="0" applyAlignment="0" applyProtection="0"/>
    <xf numFmtId="0" fontId="2" fillId="0" borderId="0"/>
    <xf numFmtId="0" fontId="157" fillId="0" borderId="0"/>
    <xf numFmtId="0" fontId="152" fillId="0" borderId="0"/>
    <xf numFmtId="0" fontId="2" fillId="0" borderId="0"/>
    <xf numFmtId="0" fontId="2" fillId="0" borderId="0"/>
    <xf numFmtId="0" fontId="46" fillId="0" borderId="0"/>
    <xf numFmtId="0" fontId="151" fillId="32" borderId="168" applyNumberFormat="0" applyFont="0" applyAlignment="0" applyProtection="0"/>
    <xf numFmtId="0" fontId="2" fillId="32" borderId="168" applyNumberFormat="0" applyFont="0" applyAlignment="0" applyProtection="0"/>
    <xf numFmtId="0" fontId="154" fillId="0" borderId="174" applyNumberFormat="0" applyFill="0" applyAlignment="0" applyProtection="0"/>
    <xf numFmtId="0" fontId="157" fillId="0" borderId="0"/>
    <xf numFmtId="0" fontId="157" fillId="0" borderId="0"/>
    <xf numFmtId="0" fontId="157" fillId="0" borderId="0"/>
    <xf numFmtId="0" fontId="157" fillId="0" borderId="0"/>
    <xf numFmtId="0" fontId="157" fillId="0" borderId="0"/>
    <xf numFmtId="0" fontId="2" fillId="0" borderId="0"/>
    <xf numFmtId="0" fontId="157"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alignment vertical="top"/>
    </xf>
    <xf numFmtId="0" fontId="2" fillId="32" borderId="168" applyNumberFormat="0" applyFont="0" applyAlignment="0" applyProtection="0"/>
    <xf numFmtId="0" fontId="157" fillId="0" borderId="0"/>
    <xf numFmtId="0" fontId="157" fillId="0" borderId="0"/>
    <xf numFmtId="0" fontId="157"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7" fillId="0" borderId="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7" fillId="0" borderId="0" applyFont="0" applyFill="0" applyBorder="0" applyAlignment="0" applyProtection="0">
      <alignment vertical="top"/>
    </xf>
    <xf numFmtId="0" fontId="2" fillId="0" borderId="0"/>
    <xf numFmtId="0" fontId="2" fillId="0" borderId="0"/>
    <xf numFmtId="0" fontId="2" fillId="0" borderId="0"/>
    <xf numFmtId="0" fontId="2" fillId="32" borderId="168" applyNumberFormat="0" applyFont="0" applyAlignment="0" applyProtection="0"/>
    <xf numFmtId="0" fontId="157" fillId="0" borderId="0"/>
    <xf numFmtId="9" fontId="157" fillId="0" borderId="0" applyFont="0" applyFill="0" applyBorder="0" applyAlignment="0" applyProtection="0">
      <alignment vertical="top"/>
    </xf>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 fillId="0" borderId="0"/>
    <xf numFmtId="0" fontId="2" fillId="0" borderId="0"/>
    <xf numFmtId="0" fontId="2" fillId="0" borderId="0"/>
    <xf numFmtId="0" fontId="2" fillId="38" borderId="0" applyNumberFormat="0" applyBorder="0" applyAlignment="0" applyProtection="0"/>
    <xf numFmtId="0" fontId="157" fillId="0" borderId="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157" fillId="0" borderId="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157"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alignment vertical="top"/>
    </xf>
    <xf numFmtId="0" fontId="2" fillId="32" borderId="168" applyNumberFormat="0" applyFont="0" applyAlignment="0" applyProtection="0"/>
    <xf numFmtId="0" fontId="157" fillId="0" borderId="0"/>
    <xf numFmtId="0" fontId="157" fillId="0" borderId="0"/>
    <xf numFmtId="0" fontId="157"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04" fillId="0" borderId="0"/>
    <xf numFmtId="0" fontId="201" fillId="0" borderId="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9" fillId="0" borderId="0"/>
    <xf numFmtId="0" fontId="203" fillId="0" borderId="0"/>
    <xf numFmtId="0" fontId="202" fillId="0" borderId="0"/>
    <xf numFmtId="0" fontId="200" fillId="0" borderId="0"/>
    <xf numFmtId="0" fontId="199" fillId="0" borderId="0"/>
    <xf numFmtId="0" fontId="197" fillId="0" borderId="0"/>
    <xf numFmtId="0" fontId="196" fillId="0" borderId="0"/>
    <xf numFmtId="0" fontId="188" fillId="0" borderId="0"/>
    <xf numFmtId="0" fontId="154" fillId="0" borderId="174" applyNumberFormat="0" applyFill="0" applyAlignment="0" applyProtection="0"/>
    <xf numFmtId="0" fontId="192" fillId="0" borderId="0"/>
    <xf numFmtId="0" fontId="187" fillId="0" borderId="0"/>
    <xf numFmtId="0" fontId="193" fillId="0" borderId="0"/>
    <xf numFmtId="0" fontId="191" fillId="0" borderId="0"/>
    <xf numFmtId="0" fontId="190" fillId="0" borderId="0"/>
    <xf numFmtId="0" fontId="190" fillId="0" borderId="0"/>
    <xf numFmtId="0" fontId="154" fillId="0" borderId="174" applyNumberFormat="0" applyFill="0" applyAlignment="0" applyProtection="0"/>
    <xf numFmtId="0" fontId="2" fillId="0" borderId="0"/>
    <xf numFmtId="0" fontId="190" fillId="0" borderId="0"/>
    <xf numFmtId="0" fontId="173" fillId="0" borderId="0"/>
    <xf numFmtId="0" fontId="154" fillId="0" borderId="174" applyNumberFormat="0" applyFill="0" applyAlignment="0" applyProtection="0"/>
    <xf numFmtId="0" fontId="2" fillId="0" borderId="0"/>
    <xf numFmtId="0" fontId="2" fillId="0" borderId="0"/>
    <xf numFmtId="0" fontId="2" fillId="0" borderId="0"/>
    <xf numFmtId="0" fontId="194"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89"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198" fillId="0" borderId="0"/>
    <xf numFmtId="0" fontId="195" fillId="0" borderId="0"/>
    <xf numFmtId="0" fontId="195" fillId="0" borderId="0"/>
    <xf numFmtId="0" fontId="188" fillId="0" borderId="0"/>
    <xf numFmtId="0" fontId="197" fillId="0" borderId="0"/>
    <xf numFmtId="0" fontId="207" fillId="0" borderId="0"/>
    <xf numFmtId="0" fontId="188" fillId="0" borderId="0"/>
    <xf numFmtId="0" fontId="154" fillId="0" borderId="174" applyNumberFormat="0" applyFill="0" applyAlignment="0" applyProtection="0"/>
    <xf numFmtId="0" fontId="205" fillId="0" borderId="0"/>
    <xf numFmtId="0" fontId="208" fillId="0" borderId="0"/>
    <xf numFmtId="0" fontId="188" fillId="0" borderId="0"/>
    <xf numFmtId="0" fontId="206" fillId="0" borderId="0"/>
    <xf numFmtId="0" fontId="195" fillId="0" borderId="0"/>
    <xf numFmtId="0" fontId="188" fillId="0" borderId="0"/>
    <xf numFmtId="0" fontId="2" fillId="0" borderId="0"/>
    <xf numFmtId="0" fontId="2" fillId="0" borderId="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4" fillId="0" borderId="174"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54" fillId="0" borderId="174" applyNumberFormat="0" applyFill="0" applyAlignment="0" applyProtection="0"/>
    <xf numFmtId="0" fontId="2" fillId="0" borderId="0"/>
    <xf numFmtId="0" fontId="2" fillId="0" borderId="0"/>
    <xf numFmtId="0" fontId="2" fillId="0" borderId="0"/>
    <xf numFmtId="0" fontId="154" fillId="0" borderId="174" applyNumberFormat="0" applyFill="0" applyAlignment="0" applyProtection="0"/>
    <xf numFmtId="0" fontId="2" fillId="0" borderId="0"/>
    <xf numFmtId="0" fontId="2" fillId="0" borderId="0"/>
    <xf numFmtId="0" fontId="2" fillId="0" borderId="0"/>
    <xf numFmtId="0" fontId="2" fillId="0" borderId="0"/>
    <xf numFmtId="0" fontId="154" fillId="0" borderId="174" applyNumberFormat="0" applyFill="0" applyAlignment="0" applyProtection="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43" fontId="1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52" fillId="0" borderId="0"/>
    <xf numFmtId="0" fontId="152" fillId="0" borderId="0"/>
    <xf numFmtId="0" fontId="161" fillId="0" borderId="0"/>
    <xf numFmtId="0" fontId="161" fillId="0" borderId="0"/>
    <xf numFmtId="0" fontId="154" fillId="0" borderId="174" applyNumberFormat="0" applyFill="0" applyAlignment="0" applyProtection="0"/>
    <xf numFmtId="0" fontId="154" fillId="0" borderId="174" applyNumberFormat="0" applyFill="0" applyAlignment="0" applyProtection="0"/>
    <xf numFmtId="0" fontId="154" fillId="0" borderId="174" applyNumberFormat="0" applyFill="0" applyAlignment="0" applyProtection="0"/>
    <xf numFmtId="0" fontId="154" fillId="0" borderId="174" applyNumberFormat="0" applyFill="0" applyAlignment="0" applyProtection="0"/>
    <xf numFmtId="0" fontId="2" fillId="0" borderId="0"/>
    <xf numFmtId="0" fontId="2" fillId="0" borderId="0"/>
    <xf numFmtId="0" fontId="2" fillId="0" borderId="0"/>
    <xf numFmtId="0" fontId="2" fillId="0" borderId="0"/>
    <xf numFmtId="0" fontId="2" fillId="0" borderId="0"/>
    <xf numFmtId="0" fontId="185" fillId="0" borderId="0" applyNumberFormat="0" applyFill="0" applyBorder="0" applyAlignment="0" applyProtection="0"/>
    <xf numFmtId="0" fontId="2" fillId="0" borderId="0"/>
    <xf numFmtId="0" fontId="151" fillId="71" borderId="0" applyNumberFormat="0" applyBorder="0" applyAlignment="0" applyProtection="0"/>
    <xf numFmtId="0" fontId="2"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151" fillId="71" borderId="0" applyNumberFormat="0" applyBorder="0" applyAlignment="0" applyProtection="0"/>
    <xf numFmtId="0" fontId="2"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151" fillId="59" borderId="0" applyNumberFormat="0" applyBorder="0" applyAlignment="0" applyProtection="0"/>
    <xf numFmtId="0" fontId="2"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5" fillId="59" borderId="0" applyNumberFormat="0" applyBorder="0" applyAlignment="0" applyProtection="0"/>
    <xf numFmtId="0" fontId="13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8" borderId="0" applyNumberFormat="0" applyBorder="0" applyAlignment="0" applyProtection="0"/>
    <xf numFmtId="0" fontId="13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70" fillId="69" borderId="0" applyNumberFormat="0" applyBorder="0" applyAlignment="0" applyProtection="0"/>
    <xf numFmtId="0" fontId="143" fillId="69" borderId="0" applyNumberFormat="0" applyBorder="0" applyAlignment="0" applyProtection="0"/>
    <xf numFmtId="0" fontId="170" fillId="69" borderId="0" applyNumberFormat="0" applyBorder="0" applyAlignment="0" applyProtection="0"/>
    <xf numFmtId="0" fontId="170" fillId="69" borderId="0" applyNumberFormat="0" applyBorder="0" applyAlignment="0" applyProtection="0"/>
    <xf numFmtId="0" fontId="170" fillId="69" borderId="0" applyNumberFormat="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1" fillId="60" borderId="0" applyNumberFormat="0" applyBorder="0" applyAlignment="0" applyProtection="0"/>
    <xf numFmtId="0" fontId="156" fillId="60" borderId="0" applyNumberFormat="0" applyBorder="0" applyAlignment="0" applyProtection="0"/>
    <xf numFmtId="0" fontId="181" fillId="60" borderId="0" applyNumberFormat="0" applyBorder="0" applyAlignment="0" applyProtection="0"/>
    <xf numFmtId="0" fontId="181" fillId="60" borderId="0" applyNumberFormat="0" applyBorder="0" applyAlignment="0" applyProtection="0"/>
    <xf numFmtId="0" fontId="181" fillId="60" borderId="0" applyNumberFormat="0" applyBorder="0" applyAlignment="0" applyProtection="0"/>
    <xf numFmtId="0" fontId="181"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1" fillId="0" borderId="0"/>
    <xf numFmtId="0" fontId="46" fillId="0" borderId="0"/>
    <xf numFmtId="0" fontId="2" fillId="0" borderId="0"/>
    <xf numFmtId="0" fontId="2" fillId="0" borderId="0"/>
    <xf numFmtId="0" fontId="2" fillId="0" borderId="0"/>
    <xf numFmtId="0" fontId="2" fillId="0" borderId="0"/>
    <xf numFmtId="0" fontId="152" fillId="0" borderId="0"/>
    <xf numFmtId="0" fontId="152" fillId="0" borderId="0"/>
    <xf numFmtId="0" fontId="46" fillId="0" borderId="0"/>
    <xf numFmtId="0" fontId="2" fillId="0" borderId="0"/>
    <xf numFmtId="0" fontId="157" fillId="0" borderId="0"/>
    <xf numFmtId="0" fontId="11" fillId="0" borderId="0"/>
    <xf numFmtId="0" fontId="157" fillId="0" borderId="0"/>
    <xf numFmtId="0" fontId="2" fillId="0" borderId="0"/>
    <xf numFmtId="0" fontId="2" fillId="0" borderId="0"/>
    <xf numFmtId="0" fontId="160" fillId="32" borderId="168" applyNumberFormat="0" applyFont="0" applyAlignment="0" applyProtection="0"/>
    <xf numFmtId="0" fontId="157" fillId="32" borderId="168" applyNumberFormat="0" applyFont="0" applyAlignment="0" applyProtection="0"/>
    <xf numFmtId="0" fontId="157" fillId="32" borderId="168" applyNumberFormat="0" applyFont="0" applyAlignment="0" applyProtection="0"/>
    <xf numFmtId="0" fontId="157" fillId="32" borderId="168" applyNumberFormat="0" applyFont="0" applyAlignment="0" applyProtection="0"/>
    <xf numFmtId="0" fontId="157" fillId="32" borderId="168" applyNumberFormat="0" applyFont="0" applyAlignment="0" applyProtection="0"/>
    <xf numFmtId="0" fontId="157" fillId="32" borderId="168" applyNumberFormat="0" applyFont="0" applyAlignment="0" applyProtection="0"/>
    <xf numFmtId="9" fontId="157" fillId="0" borderId="0" applyFont="0" applyFill="0" applyBorder="0" applyAlignment="0" applyProtection="0"/>
    <xf numFmtId="0" fontId="151" fillId="34" borderId="0" applyNumberFormat="0" applyBorder="0" applyAlignment="0" applyProtection="0"/>
    <xf numFmtId="0" fontId="151" fillId="46" borderId="0" applyNumberFormat="0" applyBorder="0" applyAlignment="0" applyProtection="0"/>
    <xf numFmtId="0" fontId="151" fillId="43" borderId="0" applyNumberFormat="0" applyBorder="0" applyAlignment="0" applyProtection="0"/>
    <xf numFmtId="0" fontId="155" fillId="44" borderId="0" applyNumberFormat="0" applyBorder="0" applyAlignment="0" applyProtection="0"/>
    <xf numFmtId="0" fontId="155" fillId="56" borderId="0" applyNumberFormat="0" applyBorder="0" applyAlignment="0" applyProtection="0"/>
    <xf numFmtId="0" fontId="170" fillId="27" borderId="0" applyNumberFormat="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1" fillId="28" borderId="0" applyNumberFormat="0" applyBorder="0" applyAlignment="0" applyProtection="0"/>
    <xf numFmtId="0" fontId="151" fillId="32" borderId="168" applyNumberFormat="0" applyFont="0" applyAlignment="0" applyProtection="0"/>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1" fillId="34" borderId="0" applyNumberFormat="0" applyBorder="0" applyAlignment="0" applyProtection="0"/>
    <xf numFmtId="0" fontId="2" fillId="34" borderId="0" applyNumberFormat="0" applyBorder="0" applyAlignment="0" applyProtection="0"/>
    <xf numFmtId="0" fontId="151" fillId="34"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58" borderId="0" applyNumberFormat="0" applyBorder="0" applyAlignment="0" applyProtection="0"/>
    <xf numFmtId="0" fontId="151" fillId="59" borderId="0" applyNumberFormat="0" applyBorder="0" applyAlignment="0" applyProtection="0"/>
    <xf numFmtId="0" fontId="151" fillId="46" borderId="0" applyNumberFormat="0" applyBorder="0" applyAlignment="0" applyProtection="0"/>
    <xf numFmtId="0" fontId="2" fillId="46" borderId="0" applyNumberFormat="0" applyBorder="0" applyAlignment="0" applyProtection="0"/>
    <xf numFmtId="0" fontId="151" fillId="46"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59" borderId="0" applyNumberFormat="0" applyBorder="0" applyAlignment="0" applyProtection="0"/>
    <xf numFmtId="0" fontId="151" fillId="61" borderId="0" applyNumberFormat="0" applyBorder="0" applyAlignment="0" applyProtection="0"/>
    <xf numFmtId="0" fontId="151" fillId="43" borderId="0" applyNumberFormat="0" applyBorder="0" applyAlignment="0" applyProtection="0"/>
    <xf numFmtId="0" fontId="2" fillId="43" borderId="0" applyNumberFormat="0" applyBorder="0" applyAlignment="0" applyProtection="0"/>
    <xf numFmtId="0" fontId="151" fillId="43"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63" borderId="0" applyNumberFormat="0" applyBorder="0" applyAlignment="0" applyProtection="0"/>
    <xf numFmtId="0" fontId="151" fillId="61" borderId="0" applyNumberFormat="0" applyBorder="0" applyAlignment="0" applyProtection="0"/>
    <xf numFmtId="0" fontId="151" fillId="59" borderId="0" applyNumberFormat="0" applyBorder="0" applyAlignment="0" applyProtection="0"/>
    <xf numFmtId="0" fontId="155" fillId="61" borderId="0" applyNumberFormat="0" applyBorder="0" applyAlignment="0" applyProtection="0"/>
    <xf numFmtId="0" fontId="155" fillId="64" borderId="0" applyNumberFormat="0" applyBorder="0" applyAlignment="0" applyProtection="0"/>
    <xf numFmtId="0" fontId="155" fillId="44" borderId="0" applyNumberFormat="0" applyBorder="0" applyAlignment="0" applyProtection="0"/>
    <xf numFmtId="0" fontId="135" fillId="44" borderId="0" applyNumberFormat="0" applyBorder="0" applyAlignment="0" applyProtection="0"/>
    <xf numFmtId="0" fontId="155" fillId="44"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63"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35" fillId="56" borderId="0" applyNumberFormat="0" applyBorder="0" applyAlignment="0" applyProtection="0"/>
    <xf numFmtId="0" fontId="155" fillId="56" borderId="0" applyNumberFormat="0" applyBorder="0" applyAlignment="0" applyProtection="0"/>
    <xf numFmtId="0" fontId="155" fillId="58"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66" borderId="0" applyNumberFormat="0" applyBorder="0" applyAlignment="0" applyProtection="0"/>
    <xf numFmtId="0" fontId="155" fillId="64" borderId="0" applyNumberFormat="0" applyBorder="0" applyAlignment="0" applyProtection="0"/>
    <xf numFmtId="0" fontId="155" fillId="65" borderId="0" applyNumberFormat="0" applyBorder="0" applyAlignment="0" applyProtection="0"/>
    <xf numFmtId="0" fontId="155" fillId="67" borderId="0" applyNumberFormat="0" applyBorder="0" applyAlignment="0" applyProtection="0"/>
    <xf numFmtId="0" fontId="155" fillId="68" borderId="0" applyNumberFormat="0" applyBorder="0" applyAlignment="0" applyProtection="0"/>
    <xf numFmtId="0" fontId="170" fillId="27" borderId="0" applyNumberFormat="0" applyBorder="0" applyAlignment="0" applyProtection="0"/>
    <xf numFmtId="0" fontId="143" fillId="27" borderId="0" applyNumberFormat="0" applyBorder="0" applyAlignment="0" applyProtection="0"/>
    <xf numFmtId="0" fontId="170" fillId="27" borderId="0" applyNumberFormat="0" applyBorder="0" applyAlignment="0" applyProtection="0"/>
    <xf numFmtId="0" fontId="170" fillId="6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62" fillId="70" borderId="16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9" fillId="0" borderId="0" applyFont="0" applyFill="0" applyBorder="0" applyAlignment="0" applyProtection="0"/>
    <xf numFmtId="43" fontId="173"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0" fontId="175" fillId="61" borderId="0" applyNumberFormat="0" applyBorder="0" applyAlignment="0" applyProtection="0"/>
    <xf numFmtId="0" fontId="163" fillId="0" borderId="170" applyNumberFormat="0" applyFill="0" applyAlignment="0" applyProtection="0"/>
    <xf numFmtId="0" fontId="164" fillId="0" borderId="171" applyNumberFormat="0" applyFill="0" applyAlignment="0" applyProtection="0"/>
    <xf numFmtId="0" fontId="165" fillId="0" borderId="172" applyNumberFormat="0" applyFill="0" applyAlignment="0" applyProtection="0"/>
    <xf numFmtId="0" fontId="165" fillId="0" borderId="0" applyNumberFormat="0" applyFill="0" applyBorder="0" applyAlignment="0" applyProtection="0"/>
    <xf numFmtId="0" fontId="153" fillId="0" borderId="0" applyNumberFormat="0" applyFill="0" applyBorder="0" applyAlignment="0" applyProtection="0">
      <alignment vertical="top"/>
      <protection locked="0"/>
    </xf>
    <xf numFmtId="0" fontId="179" fillId="62" borderId="164" applyNumberFormat="0" applyAlignment="0" applyProtection="0"/>
    <xf numFmtId="0" fontId="166" fillId="0" borderId="173" applyNumberFormat="0" applyFill="0" applyAlignment="0" applyProtection="0"/>
    <xf numFmtId="0" fontId="181" fillId="28" borderId="0" applyNumberFormat="0" applyBorder="0" applyAlignment="0" applyProtection="0"/>
    <xf numFmtId="0" fontId="156" fillId="28" borderId="0" applyNumberFormat="0" applyBorder="0" applyAlignment="0" applyProtection="0"/>
    <xf numFmtId="0" fontId="181" fillId="28" borderId="0" applyNumberFormat="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81" fillId="28" borderId="0" applyNumberFormat="0" applyBorder="0" applyAlignment="0" applyProtection="0"/>
    <xf numFmtId="0" fontId="181" fillId="28" borderId="0" applyNumberFormat="0" applyBorder="0" applyAlignment="0" applyProtection="0"/>
    <xf numFmtId="0" fontId="152" fillId="0" borderId="0"/>
    <xf numFmtId="0" fontId="11" fillId="0" borderId="0"/>
    <xf numFmtId="0" fontId="11" fillId="0" borderId="0"/>
    <xf numFmtId="0" fontId="46" fillId="0" borderId="0"/>
    <xf numFmtId="0" fontId="11" fillId="0" borderId="0"/>
    <xf numFmtId="0" fontId="152" fillId="0" borderId="0"/>
    <xf numFmtId="0" fontId="11" fillId="0" borderId="0"/>
    <xf numFmtId="0" fontId="46" fillId="0" borderId="0"/>
    <xf numFmtId="0" fontId="19" fillId="0" borderId="0"/>
    <xf numFmtId="0" fontId="19" fillId="0" borderId="0"/>
    <xf numFmtId="0" fontId="19" fillId="0" borderId="0"/>
    <xf numFmtId="0" fontId="19" fillId="0" borderId="0"/>
    <xf numFmtId="0" fontId="152" fillId="0" borderId="0"/>
    <xf numFmtId="0" fontId="11" fillId="0" borderId="0"/>
    <xf numFmtId="0" fontId="173" fillId="0" borderId="0"/>
    <xf numFmtId="0" fontId="161" fillId="0" borderId="0"/>
    <xf numFmtId="0" fontId="161" fillId="0" borderId="0"/>
    <xf numFmtId="0" fontId="152" fillId="0" borderId="0"/>
    <xf numFmtId="0" fontId="2" fillId="32" borderId="168" applyNumberFormat="0" applyFont="0" applyAlignment="0" applyProtection="0"/>
    <xf numFmtId="0" fontId="151" fillId="32" borderId="168" applyNumberFormat="0" applyFont="0" applyAlignment="0" applyProtection="0"/>
    <xf numFmtId="0" fontId="157"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83" fillId="70" borderId="16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4" fillId="0" borderId="174" applyNumberFormat="0" applyFill="0" applyAlignment="0" applyProtection="0"/>
    <xf numFmtId="0" fontId="2" fillId="0" borderId="0"/>
    <xf numFmtId="0" fontId="2" fillId="0" borderId="0"/>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157" fillId="0" borderId="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157" fillId="0" borderId="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9" fontId="169" fillId="0" borderId="0" applyFont="0" applyFill="0" applyBorder="0" applyAlignment="0" applyProtection="0"/>
    <xf numFmtId="9" fontId="169" fillId="0" borderId="0" applyFont="0" applyFill="0" applyBorder="0" applyAlignment="0" applyProtection="0"/>
    <xf numFmtId="0" fontId="157" fillId="0" borderId="0"/>
    <xf numFmtId="43" fontId="2" fillId="0" borderId="0" applyFont="0" applyFill="0" applyBorder="0" applyAlignment="0" applyProtection="0"/>
    <xf numFmtId="0" fontId="2" fillId="0" borderId="0"/>
    <xf numFmtId="0" fontId="151" fillId="71" borderId="0" applyNumberFormat="0" applyBorder="0" applyAlignment="0" applyProtection="0"/>
    <xf numFmtId="0" fontId="2" fillId="38"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43" fontId="1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0" applyNumberFormat="0" applyBorder="0" applyAlignment="0" applyProtection="0"/>
    <xf numFmtId="0" fontId="2" fillId="42" borderId="0" applyNumberFormat="0" applyBorder="0" applyAlignment="0" applyProtection="0"/>
    <xf numFmtId="0" fontId="2" fillId="39" borderId="0" applyNumberFormat="0" applyBorder="0" applyAlignment="0" applyProtection="0"/>
    <xf numFmtId="0" fontId="2" fillId="0" borderId="0"/>
    <xf numFmtId="0" fontId="2" fillId="46" borderId="0" applyNumberFormat="0" applyBorder="0" applyAlignment="0" applyProtection="0"/>
    <xf numFmtId="43" fontId="151" fillId="0" borderId="0" applyFont="0" applyFill="0" applyBorder="0" applyAlignment="0" applyProtection="0"/>
    <xf numFmtId="0" fontId="2" fillId="0" borderId="0"/>
    <xf numFmtId="0" fontId="2" fillId="54" borderId="0" applyNumberFormat="0" applyBorder="0" applyAlignment="0" applyProtection="0"/>
    <xf numFmtId="0" fontId="2" fillId="43" borderId="0" applyNumberFormat="0" applyBorder="0" applyAlignment="0" applyProtection="0"/>
    <xf numFmtId="0" fontId="151" fillId="71" borderId="0" applyNumberFormat="0" applyBorder="0" applyAlignment="0" applyProtection="0"/>
    <xf numFmtId="43" fontId="2" fillId="0" borderId="0" applyFont="0" applyFill="0" applyBorder="0" applyAlignment="0" applyProtection="0"/>
    <xf numFmtId="0" fontId="2" fillId="0" borderId="0"/>
    <xf numFmtId="43" fontId="16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11" fillId="0" borderId="0"/>
    <xf numFmtId="0" fontId="157" fillId="0" borderId="0"/>
    <xf numFmtId="0" fontId="169" fillId="0" borderId="0"/>
    <xf numFmtId="0" fontId="2" fillId="0" borderId="0"/>
    <xf numFmtId="0" fontId="169" fillId="0" borderId="0"/>
    <xf numFmtId="0" fontId="2" fillId="0" borderId="0"/>
    <xf numFmtId="0" fontId="2" fillId="0" borderId="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57" fillId="0" borderId="0" applyFont="0" applyFill="0" applyBorder="0" applyAlignment="0" applyProtection="0">
      <alignment vertical="top"/>
    </xf>
    <xf numFmtId="0" fontId="2" fillId="0" borderId="0"/>
    <xf numFmtId="0" fontId="155" fillId="59" borderId="0" applyNumberFormat="0" applyBorder="0" applyAlignment="0" applyProtection="0"/>
    <xf numFmtId="43" fontId="157" fillId="0" borderId="0" applyFont="0" applyFill="0" applyBorder="0" applyAlignment="0" applyProtection="0"/>
    <xf numFmtId="0" fontId="2" fillId="42" borderId="0" applyNumberFormat="0" applyBorder="0" applyAlignment="0" applyProtection="0"/>
    <xf numFmtId="0" fontId="181" fillId="60" borderId="0" applyNumberFormat="0" applyBorder="0" applyAlignment="0" applyProtection="0"/>
    <xf numFmtId="0" fontId="2" fillId="50" borderId="0" applyNumberFormat="0" applyBorder="0" applyAlignment="0" applyProtection="0"/>
    <xf numFmtId="0" fontId="11" fillId="0" borderId="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7" fillId="0" borderId="0"/>
    <xf numFmtId="0" fontId="2" fillId="32" borderId="168" applyNumberFormat="0" applyFont="0" applyAlignment="0" applyProtection="0"/>
    <xf numFmtId="0" fontId="2" fillId="46" borderId="0" applyNumberFormat="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4" fillId="0" borderId="0" applyNumberFormat="0" applyFill="0" applyBorder="0" applyAlignment="0" applyProtection="0">
      <alignment vertical="top"/>
      <protection locked="0"/>
    </xf>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11" fillId="0" borderId="0"/>
    <xf numFmtId="0" fontId="169" fillId="0" borderId="0"/>
    <xf numFmtId="0" fontId="2" fillId="46" borderId="0" applyNumberFormat="0" applyBorder="0" applyAlignment="0" applyProtection="0"/>
    <xf numFmtId="0" fontId="2" fillId="0" borderId="0"/>
    <xf numFmtId="0" fontId="151" fillId="59" borderId="0" applyNumberFormat="0" applyBorder="0" applyAlignment="0" applyProtection="0"/>
    <xf numFmtId="43" fontId="2" fillId="0" borderId="0" applyFont="0" applyFill="0" applyBorder="0" applyAlignment="0" applyProtection="0"/>
    <xf numFmtId="0" fontId="2" fillId="50" borderId="0" applyNumberFormat="0" applyBorder="0" applyAlignment="0" applyProtection="0"/>
    <xf numFmtId="0" fontId="2" fillId="5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157" fillId="0" borderId="0"/>
    <xf numFmtId="0" fontId="157" fillId="0" borderId="0"/>
    <xf numFmtId="44" fontId="2" fillId="0" borderId="0" applyFont="0" applyFill="0" applyBorder="0" applyAlignment="0" applyProtection="0"/>
    <xf numFmtId="0" fontId="2" fillId="32" borderId="168" applyNumberFormat="0" applyFont="0" applyAlignment="0" applyProtection="0"/>
    <xf numFmtId="0" fontId="2" fillId="0" borderId="0"/>
    <xf numFmtId="43" fontId="161"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8" borderId="0" applyNumberFormat="0" applyBorder="0" applyAlignment="0" applyProtection="0"/>
    <xf numFmtId="0" fontId="2" fillId="43" borderId="0" applyNumberFormat="0" applyBorder="0" applyAlignment="0" applyProtection="0"/>
    <xf numFmtId="0" fontId="157" fillId="0" borderId="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8" borderId="0" applyNumberFormat="0" applyBorder="0" applyAlignment="0" applyProtection="0"/>
    <xf numFmtId="0" fontId="2" fillId="42"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46"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174" applyNumberFormat="0" applyFill="0" applyAlignment="0" applyProtection="0"/>
    <xf numFmtId="0" fontId="154" fillId="0" borderId="174" applyNumberFormat="0" applyFill="0" applyAlignment="0" applyProtection="0"/>
    <xf numFmtId="0" fontId="2" fillId="0" borderId="0"/>
    <xf numFmtId="0" fontId="2" fillId="0" borderId="0"/>
    <xf numFmtId="0" fontId="2" fillId="46" borderId="0" applyNumberFormat="0" applyBorder="0" applyAlignment="0" applyProtection="0"/>
    <xf numFmtId="0" fontId="2" fillId="0" borderId="0"/>
    <xf numFmtId="0" fontId="2" fillId="71" borderId="0" applyNumberFormat="0" applyBorder="0" applyAlignment="0" applyProtection="0"/>
    <xf numFmtId="43" fontId="2" fillId="0" borderId="0" applyFont="0" applyFill="0" applyBorder="0" applyAlignment="0" applyProtection="0"/>
    <xf numFmtId="0" fontId="2" fillId="32" borderId="168" applyNumberFormat="0" applyFont="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50"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4" fillId="0" borderId="174" applyNumberFormat="0" applyFill="0" applyAlignment="0" applyProtection="0"/>
    <xf numFmtId="0" fontId="2" fillId="34" borderId="0" applyNumberFormat="0" applyBorder="0" applyAlignment="0" applyProtection="0"/>
    <xf numFmtId="43" fontId="2" fillId="0" borderId="0" applyFont="0" applyFill="0" applyBorder="0" applyAlignment="0" applyProtection="0"/>
    <xf numFmtId="0" fontId="2" fillId="34" borderId="0" applyNumberFormat="0" applyBorder="0" applyAlignment="0" applyProtection="0"/>
    <xf numFmtId="0" fontId="152" fillId="0" borderId="0"/>
    <xf numFmtId="43" fontId="2" fillId="0" borderId="0" applyFont="0" applyFill="0" applyBorder="0" applyAlignment="0" applyProtection="0"/>
    <xf numFmtId="0" fontId="2" fillId="47" borderId="0" applyNumberFormat="0" applyBorder="0" applyAlignment="0" applyProtection="0"/>
    <xf numFmtId="43" fontId="2" fillId="0" borderId="0" applyFont="0" applyFill="0" applyBorder="0" applyAlignment="0" applyProtection="0"/>
    <xf numFmtId="0" fontId="2" fillId="43" borderId="0" applyNumberFormat="0" applyBorder="0" applyAlignment="0" applyProtection="0"/>
    <xf numFmtId="0" fontId="2" fillId="0" borderId="0"/>
    <xf numFmtId="0" fontId="2" fillId="42" borderId="0" applyNumberFormat="0" applyBorder="0" applyAlignment="0" applyProtection="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0" fontId="2" fillId="5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54" fillId="0" borderId="174" applyNumberFormat="0" applyFill="0" applyAlignment="0" applyProtection="0"/>
    <xf numFmtId="0" fontId="2" fillId="0" borderId="0"/>
    <xf numFmtId="0" fontId="2" fillId="0" borderId="0"/>
    <xf numFmtId="0" fontId="2" fillId="0" borderId="0"/>
    <xf numFmtId="0" fontId="2" fillId="0" borderId="0"/>
    <xf numFmtId="0" fontId="2" fillId="0" borderId="0"/>
    <xf numFmtId="0" fontId="157" fillId="0" borderId="0"/>
    <xf numFmtId="0" fontId="2" fillId="54" borderId="0" applyNumberFormat="0" applyBorder="0" applyAlignment="0" applyProtection="0"/>
    <xf numFmtId="43" fontId="2" fillId="0" borderId="0" applyFont="0" applyFill="0" applyBorder="0" applyAlignment="0" applyProtection="0"/>
    <xf numFmtId="0" fontId="2" fillId="55" borderId="0" applyNumberFormat="0" applyBorder="0" applyAlignment="0" applyProtection="0"/>
    <xf numFmtId="0" fontId="2" fillId="0" borderId="0"/>
    <xf numFmtId="0" fontId="2" fillId="0" borderId="0"/>
    <xf numFmtId="0" fontId="2" fillId="47" borderId="0" applyNumberFormat="0" applyBorder="0" applyAlignment="0" applyProtection="0"/>
    <xf numFmtId="0" fontId="2" fillId="43" borderId="0" applyNumberFormat="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71"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4" borderId="0" applyNumberFormat="0" applyBorder="0" applyAlignment="0" applyProtection="0"/>
    <xf numFmtId="0" fontId="2" fillId="38" borderId="0" applyNumberFormat="0" applyBorder="0" applyAlignment="0" applyProtection="0"/>
    <xf numFmtId="43" fontId="2" fillId="0" borderId="0" applyFont="0" applyFill="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0" borderId="0"/>
    <xf numFmtId="0" fontId="2" fillId="39"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54" fillId="0" borderId="174"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4" borderId="0" applyNumberFormat="0" applyBorder="0" applyAlignment="0" applyProtection="0"/>
    <xf numFmtId="0" fontId="2" fillId="39" borderId="0" applyNumberFormat="0" applyBorder="0" applyAlignment="0" applyProtection="0"/>
    <xf numFmtId="0" fontId="2" fillId="0" borderId="0"/>
    <xf numFmtId="44" fontId="2" fillId="0" borderId="0" applyFont="0" applyFill="0" applyBorder="0" applyAlignment="0" applyProtection="0"/>
    <xf numFmtId="0" fontId="11" fillId="0" borderId="0"/>
    <xf numFmtId="43" fontId="2" fillId="0" borderId="0" applyFont="0" applyFill="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154" fillId="0" borderId="174" applyNumberFormat="0" applyFill="0" applyAlignment="0" applyProtection="0"/>
    <xf numFmtId="0" fontId="2" fillId="0" borderId="0"/>
    <xf numFmtId="0" fontId="2" fillId="35" borderId="0" applyNumberFormat="0" applyBorder="0" applyAlignment="0" applyProtection="0"/>
    <xf numFmtId="0" fontId="2" fillId="0" borderId="0"/>
    <xf numFmtId="0" fontId="2" fillId="34" borderId="0" applyNumberFormat="0" applyBorder="0" applyAlignment="0" applyProtection="0"/>
    <xf numFmtId="0" fontId="2" fillId="32" borderId="16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52" fillId="0" borderId="0"/>
    <xf numFmtId="43" fontId="2" fillId="0" borderId="0" applyFont="0" applyFill="0" applyBorder="0" applyAlignment="0" applyProtection="0"/>
    <xf numFmtId="43" fontId="2" fillId="0" borderId="0" applyFont="0" applyFill="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8" borderId="0" applyNumberFormat="0" applyBorder="0" applyAlignment="0" applyProtection="0"/>
    <xf numFmtId="0" fontId="2" fillId="42"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154" fillId="0" borderId="174" applyNumberFormat="0" applyFill="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0" borderId="0"/>
    <xf numFmtId="0" fontId="2" fillId="0" borderId="0"/>
    <xf numFmtId="0" fontId="2" fillId="38"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46" borderId="0" applyNumberFormat="0" applyBorder="0" applyAlignment="0" applyProtection="0"/>
    <xf numFmtId="0" fontId="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0" borderId="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68" applyNumberFormat="0" applyFont="0" applyAlignment="0" applyProtection="0"/>
    <xf numFmtId="0" fontId="154" fillId="0" borderId="174" applyNumberFormat="0" applyFill="0" applyAlignment="0" applyProtection="0"/>
    <xf numFmtId="0" fontId="154" fillId="0" borderId="1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0" borderId="0"/>
    <xf numFmtId="0" fontId="1" fillId="46" borderId="0" applyNumberFormat="0" applyBorder="0" applyAlignment="0" applyProtection="0"/>
    <xf numFmtId="0" fontId="1" fillId="0" borderId="0"/>
    <xf numFmtId="0" fontId="1" fillId="54"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0" applyNumberFormat="0" applyBorder="0" applyAlignment="0" applyProtection="0"/>
    <xf numFmtId="0" fontId="1" fillId="50"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2" borderId="168" applyNumberFormat="0" applyFont="0" applyAlignment="0" applyProtection="0"/>
    <xf numFmtId="0" fontId="1" fillId="46"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0" borderId="0"/>
    <xf numFmtId="43" fontId="1" fillId="0" borderId="0" applyFont="0" applyFill="0" applyBorder="0" applyAlignment="0" applyProtection="0"/>
    <xf numFmtId="0" fontId="1" fillId="50"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46"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46" borderId="0" applyNumberFormat="0" applyBorder="0" applyAlignment="0" applyProtection="0"/>
    <xf numFmtId="0" fontId="1" fillId="0" borderId="0"/>
    <xf numFmtId="0" fontId="1" fillId="71" borderId="0" applyNumberFormat="0" applyBorder="0" applyAlignment="0" applyProtection="0"/>
    <xf numFmtId="43" fontId="1" fillId="0" borderId="0" applyFont="0" applyFill="0" applyBorder="0" applyAlignment="0" applyProtection="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50"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42"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0" borderId="0"/>
    <xf numFmtId="0" fontId="1" fillId="0" borderId="0"/>
    <xf numFmtId="0" fontId="1" fillId="47" borderId="0" applyNumberFormat="0" applyBorder="0" applyAlignment="0" applyProtection="0"/>
    <xf numFmtId="0" fontId="1" fillId="4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0" fontId="1" fillId="0" borderId="0"/>
    <xf numFmtId="0" fontId="1" fillId="42" borderId="0" applyNumberFormat="0" applyBorder="0" applyAlignment="0" applyProtection="0"/>
    <xf numFmtId="0" fontId="1" fillId="0" borderId="0"/>
    <xf numFmtId="0" fontId="1" fillId="3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0" borderId="0"/>
    <xf numFmtId="0" fontId="1" fillId="35" borderId="0" applyNumberFormat="0" applyBorder="0" applyAlignment="0" applyProtection="0"/>
    <xf numFmtId="0" fontId="1" fillId="0" borderId="0"/>
    <xf numFmtId="0" fontId="1" fillId="34" borderId="0" applyNumberFormat="0" applyBorder="0" applyAlignment="0" applyProtection="0"/>
    <xf numFmtId="0" fontId="1" fillId="32" borderId="16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cellStyleXfs>
  <cellXfs count="250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1" xfId="12" applyNumberFormat="1" applyFont="1" applyBorder="1" applyAlignment="1" applyProtection="1">
      <alignment horizontal="right" vertical="center"/>
    </xf>
    <xf numFmtId="0" fontId="12" fillId="0" borderId="121" xfId="12" applyFont="1" applyBorder="1" applyAlignment="1" applyProtection="1">
      <alignment vertical="center"/>
    </xf>
    <xf numFmtId="0" fontId="15" fillId="0" borderId="124" xfId="12" applyFont="1" applyBorder="1" applyAlignment="1" applyProtection="1">
      <alignment vertical="center"/>
    </xf>
    <xf numFmtId="0" fontId="15" fillId="0" borderId="122" xfId="12" applyFont="1" applyBorder="1" applyAlignment="1" applyProtection="1">
      <alignment vertical="center"/>
    </xf>
    <xf numFmtId="1" fontId="11" fillId="0" borderId="0" xfId="0" applyNumberFormat="1" applyFont="1" applyAlignment="1">
      <alignment horizontal="center" vertical="center"/>
    </xf>
    <xf numFmtId="0" fontId="12" fillId="0" borderId="131"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79" fillId="11" borderId="99" xfId="0" applyFont="1" applyFill="1" applyBorder="1" applyAlignment="1">
      <alignment vertical="center"/>
    </xf>
    <xf numFmtId="164" fontId="55" fillId="13" borderId="113" xfId="0" applyNumberFormat="1" applyFont="1" applyFill="1" applyBorder="1" applyAlignment="1" applyProtection="1">
      <alignment horizontal="center" vertical="center"/>
    </xf>
    <xf numFmtId="164" fontId="65" fillId="13" borderId="106"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6"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6" xfId="0" applyNumberFormat="1" applyFont="1" applyFill="1" applyBorder="1" applyAlignment="1" applyProtection="1">
      <alignment horizontal="right"/>
      <protection locked="0"/>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3" xfId="0" applyFont="1" applyFill="1" applyBorder="1" applyAlignment="1" applyProtection="1">
      <alignment horizontal="left" vertical="center"/>
    </xf>
    <xf numFmtId="164" fontId="55" fillId="13" borderId="106"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4" xfId="0" applyFont="1" applyFill="1" applyBorder="1" applyAlignment="1" applyProtection="1">
      <alignment horizontal="center" vertical="center"/>
    </xf>
    <xf numFmtId="164" fontId="55" fillId="13" borderId="115" xfId="0" applyNumberFormat="1" applyFont="1" applyFill="1" applyBorder="1" applyAlignment="1" applyProtection="1">
      <alignment horizontal="center" vertical="center"/>
    </xf>
    <xf numFmtId="164" fontId="65" fillId="13" borderId="115" xfId="0" applyNumberFormat="1" applyFont="1" applyFill="1" applyBorder="1" applyAlignment="1" applyProtection="1">
      <alignment vertical="center"/>
    </xf>
    <xf numFmtId="38" fontId="50" fillId="11" borderId="106"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3" xfId="0" applyNumberFormat="1" applyFont="1" applyBorder="1" applyAlignment="1" applyProtection="1">
      <alignment horizontal="center" vertical="center"/>
    </xf>
    <xf numFmtId="38" fontId="56" fillId="0" borderId="123" xfId="0" applyNumberFormat="1" applyFont="1" applyBorder="1" applyAlignment="1" applyProtection="1">
      <alignment horizontal="right"/>
      <protection locked="0"/>
    </xf>
    <xf numFmtId="38" fontId="56" fillId="3" borderId="123"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6" xfId="0" applyFont="1" applyFill="1" applyBorder="1" applyAlignment="1" applyProtection="1">
      <alignment horizontal="center" vertical="center"/>
    </xf>
    <xf numFmtId="38" fontId="56" fillId="0" borderId="120"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19" xfId="0" applyNumberFormat="1" applyFont="1" applyFill="1" applyBorder="1" applyAlignment="1" applyProtection="1">
      <alignment horizontal="right"/>
      <protection locked="0"/>
    </xf>
    <xf numFmtId="38" fontId="56" fillId="0" borderId="107"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3"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3"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1"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3" xfId="0" applyFont="1" applyFill="1" applyBorder="1" applyAlignment="1">
      <alignment horizontal="center" vertical="center"/>
    </xf>
    <xf numFmtId="38" fontId="56" fillId="0" borderId="123"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1"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2" xfId="0" applyNumberFormat="1" applyFont="1" applyFill="1" applyBorder="1" applyAlignment="1">
      <alignment horizontal="center" vertical="center"/>
    </xf>
    <xf numFmtId="49" fontId="63" fillId="0" borderId="123"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3"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1"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9" xfId="3" applyNumberFormat="1" applyFont="1" applyBorder="1" applyAlignment="1">
      <alignment horizontal="center" vertical="center"/>
    </xf>
    <xf numFmtId="0" fontId="58" fillId="0" borderId="129"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9"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8" xfId="0" applyFont="1" applyBorder="1"/>
    <xf numFmtId="0" fontId="56" fillId="0" borderId="13" xfId="0" applyFont="1" applyBorder="1"/>
    <xf numFmtId="0" fontId="56" fillId="0" borderId="121" xfId="0" applyFont="1" applyBorder="1" applyAlignment="1">
      <alignment horizontal="left" vertical="top"/>
    </xf>
    <xf numFmtId="164" fontId="114" fillId="0" borderId="124" xfId="0" applyNumberFormat="1" applyFont="1" applyBorder="1" applyAlignment="1">
      <alignment horizontal="right" vertical="top"/>
    </xf>
    <xf numFmtId="0" fontId="56" fillId="0" borderId="124" xfId="0" applyNumberFormat="1" applyFont="1" applyBorder="1" applyAlignment="1">
      <alignment horizontal="left" vertical="center" wrapText="1" indent="1"/>
    </xf>
    <xf numFmtId="0" fontId="86" fillId="0" borderId="123" xfId="0" applyFont="1" applyBorder="1" applyAlignment="1">
      <alignment horizontal="left" vertical="center" wrapText="1"/>
    </xf>
    <xf numFmtId="0" fontId="56" fillId="0" borderId="124" xfId="0" applyFont="1" applyBorder="1" applyAlignment="1">
      <alignment horizontal="left" vertical="top"/>
    </xf>
    <xf numFmtId="0" fontId="56" fillId="0" borderId="0" xfId="0" applyFont="1" applyBorder="1" applyAlignment="1">
      <alignment vertical="top"/>
    </xf>
    <xf numFmtId="0" fontId="116" fillId="0" borderId="124" xfId="0" applyNumberFormat="1" applyFont="1" applyBorder="1" applyAlignment="1">
      <alignment horizontal="left" vertical="center"/>
    </xf>
    <xf numFmtId="0" fontId="114" fillId="0" borderId="124" xfId="0" applyFont="1" applyBorder="1" applyAlignment="1">
      <alignment vertical="top"/>
    </xf>
    <xf numFmtId="0" fontId="114" fillId="0" borderId="124" xfId="0" applyFont="1" applyBorder="1" applyAlignment="1">
      <alignment horizontal="left" vertical="top"/>
    </xf>
    <xf numFmtId="0" fontId="56" fillId="0" borderId="121" xfId="0" applyFont="1" applyBorder="1" applyAlignment="1"/>
    <xf numFmtId="164" fontId="114" fillId="0" borderId="124" xfId="0" applyNumberFormat="1" applyFont="1" applyBorder="1" applyAlignment="1"/>
    <xf numFmtId="0" fontId="56" fillId="0" borderId="124" xfId="0" applyFont="1" applyBorder="1" applyAlignment="1"/>
    <xf numFmtId="0" fontId="63" fillId="0" borderId="122"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0"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1" xfId="0" applyFont="1" applyFill="1" applyBorder="1" applyAlignment="1"/>
    <xf numFmtId="0" fontId="55" fillId="0" borderId="124" xfId="0" applyFont="1" applyFill="1" applyBorder="1" applyAlignment="1">
      <alignment horizontal="left" vertical="top"/>
    </xf>
    <xf numFmtId="0" fontId="55" fillId="0" borderId="122"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2"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9" xfId="3" quotePrefix="1" applyNumberFormat="1" applyFont="1" applyBorder="1" applyAlignment="1" applyProtection="1">
      <alignment horizontal="left"/>
    </xf>
    <xf numFmtId="0" fontId="63" fillId="0" borderId="140" xfId="3" applyNumberFormat="1" applyFont="1" applyBorder="1" applyAlignment="1" applyProtection="1">
      <alignment horizontal="center"/>
    </xf>
    <xf numFmtId="0" fontId="63" fillId="0" borderId="140" xfId="3" applyNumberFormat="1" applyFont="1" applyBorder="1" applyProtection="1"/>
    <xf numFmtId="0" fontId="56" fillId="0" borderId="139" xfId="3" applyNumberFormat="1" applyFont="1" applyBorder="1" applyAlignment="1" applyProtection="1"/>
    <xf numFmtId="0" fontId="63" fillId="0" borderId="141" xfId="3" applyNumberFormat="1" applyFont="1" applyBorder="1" applyAlignment="1" applyProtection="1">
      <alignment horizontal="centerContinuous"/>
    </xf>
    <xf numFmtId="0" fontId="56" fillId="0" borderId="139" xfId="3" applyNumberFormat="1" applyFont="1" applyBorder="1" applyAlignment="1" applyProtection="1">
      <alignment horizontal="left"/>
    </xf>
    <xf numFmtId="0" fontId="63" fillId="0" borderId="141" xfId="3" applyNumberFormat="1" applyFont="1" applyBorder="1" applyProtection="1"/>
    <xf numFmtId="0" fontId="63" fillId="0" borderId="140"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9"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3"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0"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4"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2" xfId="3" applyFont="1" applyBorder="1" applyProtection="1"/>
    <xf numFmtId="0" fontId="56" fillId="0" borderId="143" xfId="3" applyFont="1" applyBorder="1" applyProtection="1">
      <protection locked="0"/>
    </xf>
    <xf numFmtId="0" fontId="56" fillId="0" borderId="142"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0" xfId="3" applyFont="1" applyBorder="1" applyProtection="1"/>
    <xf numFmtId="0" fontId="58" fillId="0" borderId="140" xfId="3" applyFont="1" applyBorder="1" applyProtection="1"/>
    <xf numFmtId="0" fontId="58" fillId="0" borderId="140"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0" xfId="3" quotePrefix="1" applyFont="1" applyBorder="1" applyAlignment="1" applyProtection="1">
      <alignment horizontal="left"/>
    </xf>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0" xfId="3" applyFont="1" applyBorder="1" applyProtection="1"/>
    <xf numFmtId="0" fontId="58" fillId="0" borderId="0" xfId="3" applyFont="1" applyBorder="1" applyAlignment="1" applyProtection="1">
      <alignment horizontal="left"/>
    </xf>
    <xf numFmtId="0" fontId="65" fillId="0" borderId="140"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0"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5"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7" xfId="3" applyFont="1" applyBorder="1" applyAlignment="1" applyProtection="1">
      <alignment horizontal="left"/>
    </xf>
    <xf numFmtId="0" fontId="58" fillId="0" borderId="147" xfId="3" applyFont="1" applyBorder="1" applyProtection="1"/>
    <xf numFmtId="0" fontId="58" fillId="0" borderId="147"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4"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5"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3" xfId="0" applyNumberFormat="1" applyFont="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3" xfId="0" applyNumberFormat="1" applyFont="1" applyFill="1" applyBorder="1" applyAlignment="1" applyProtection="1">
      <alignment horizontal="right" vertical="center"/>
      <protection locked="0"/>
    </xf>
    <xf numFmtId="38" fontId="55" fillId="6" borderId="151" xfId="0" applyNumberFormat="1" applyFont="1" applyFill="1" applyBorder="1" applyAlignment="1">
      <alignment horizontal="center" vertical="center" wrapText="1"/>
    </xf>
    <xf numFmtId="38" fontId="55" fillId="6" borderId="151" xfId="0" applyNumberFormat="1" applyFont="1" applyFill="1" applyBorder="1" applyAlignment="1">
      <alignment horizontal="center" vertical="top" wrapText="1"/>
    </xf>
    <xf numFmtId="38" fontId="65" fillId="6" borderId="151"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6" xfId="17" applyFont="1" applyBorder="1" applyAlignment="1">
      <alignment horizontal="left" vertical="top"/>
    </xf>
    <xf numFmtId="0" fontId="127" fillId="0" borderId="137" xfId="17" applyFont="1" applyBorder="1" applyAlignment="1">
      <alignment horizontal="center" vertical="top"/>
    </xf>
    <xf numFmtId="0" fontId="127" fillId="0" borderId="138"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1" borderId="153" xfId="17" applyNumberFormat="1" applyFill="1" applyBorder="1" applyAlignment="1">
      <alignment horizontal="right" vertical="top"/>
    </xf>
    <xf numFmtId="38" fontId="8" fillId="21" borderId="154"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2" xfId="17" applyFont="1" applyFill="1" applyBorder="1" applyAlignment="1">
      <alignment horizontal="center" vertical="center" wrapText="1"/>
    </xf>
    <xf numFmtId="38" fontId="126" fillId="22" borderId="152" xfId="17" applyNumberFormat="1" applyFont="1" applyFill="1" applyBorder="1" applyAlignment="1">
      <alignment horizontal="center" vertical="center" wrapText="1"/>
    </xf>
    <xf numFmtId="3" fontId="56" fillId="22" borderId="127" xfId="0" applyNumberFormat="1" applyFont="1" applyFill="1" applyBorder="1" applyAlignment="1">
      <alignment horizontal="center"/>
    </xf>
    <xf numFmtId="3" fontId="56" fillId="22" borderId="127" xfId="0" applyNumberFormat="1" applyFont="1" applyFill="1" applyBorder="1" applyAlignment="1">
      <alignment horizontal="right"/>
    </xf>
    <xf numFmtId="3" fontId="56" fillId="22" borderId="128"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1"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3"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1" xfId="0" applyNumberFormat="1" applyFont="1" applyFill="1" applyBorder="1" applyAlignment="1">
      <alignment horizontal="left" vertical="center" wrapText="1"/>
    </xf>
    <xf numFmtId="49" fontId="65" fillId="17" borderId="123"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1"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3" xfId="0" applyFont="1" applyFill="1" applyBorder="1" applyAlignment="1">
      <alignment horizontal="left" vertical="center" wrapText="1"/>
    </xf>
    <xf numFmtId="3" fontId="65" fillId="17" borderId="123"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5" xfId="0" applyFont="1" applyBorder="1" applyAlignment="1">
      <alignment horizontal="centerContinuous" vertical="center"/>
    </xf>
    <xf numFmtId="0" fontId="56" fillId="0" borderId="156" xfId="0" applyFont="1" applyBorder="1" applyAlignment="1">
      <alignment horizontal="centerContinuous" vertical="center"/>
    </xf>
    <xf numFmtId="0" fontId="58" fillId="0" borderId="156"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3" xfId="17" applyFont="1" applyFill="1" applyBorder="1" applyAlignment="1" applyProtection="1">
      <alignment horizontal="left" vertical="top" wrapText="1"/>
    </xf>
    <xf numFmtId="49" fontId="128" fillId="20" borderId="153" xfId="17" applyNumberFormat="1" applyFont="1" applyFill="1" applyBorder="1" applyAlignment="1" applyProtection="1">
      <alignment horizontal="center" vertical="top"/>
    </xf>
    <xf numFmtId="0" fontId="128" fillId="20" borderId="153" xfId="17" applyFont="1" applyFill="1" applyBorder="1" applyAlignment="1" applyProtection="1">
      <alignment vertical="top"/>
    </xf>
    <xf numFmtId="38" fontId="128" fillId="20" borderId="153" xfId="17" applyNumberFormat="1" applyFont="1" applyFill="1" applyBorder="1" applyAlignment="1" applyProtection="1">
      <alignment horizontal="right" vertical="top"/>
    </xf>
    <xf numFmtId="38" fontId="128" fillId="20" borderId="153" xfId="17" applyNumberFormat="1" applyFont="1" applyFill="1" applyBorder="1" applyAlignment="1" applyProtection="1">
      <alignment vertical="top"/>
    </xf>
    <xf numFmtId="0" fontId="8" fillId="0" borderId="153" xfId="17" applyBorder="1" applyAlignment="1" applyProtection="1">
      <alignment horizontal="left" vertical="top" wrapText="1"/>
      <protection locked="0"/>
    </xf>
    <xf numFmtId="0" fontId="8" fillId="0" borderId="153" xfId="17" applyBorder="1" applyAlignment="1" applyProtection="1">
      <alignment vertical="top"/>
      <protection locked="0"/>
    </xf>
    <xf numFmtId="0" fontId="7" fillId="0" borderId="153" xfId="17" applyFont="1" applyBorder="1" applyAlignment="1" applyProtection="1">
      <alignment horizontal="left" vertical="top" wrapText="1"/>
      <protection locked="0"/>
    </xf>
    <xf numFmtId="0" fontId="7" fillId="0" borderId="153"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3" xfId="17" applyNumberFormat="1" applyBorder="1" applyAlignment="1" applyProtection="1">
      <alignment horizontal="center" vertical="center"/>
      <protection locked="0"/>
    </xf>
    <xf numFmtId="49" fontId="6" fillId="0" borderId="153"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3"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3"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3" xfId="17" applyNumberFormat="1" applyFill="1" applyBorder="1" applyAlignment="1" applyProtection="1">
      <alignment vertical="top"/>
    </xf>
    <xf numFmtId="38" fontId="8" fillId="16" borderId="154" xfId="17" applyNumberFormat="1" applyFill="1" applyBorder="1" applyAlignment="1" applyProtection="1">
      <alignment horizontal="right" vertical="top"/>
    </xf>
    <xf numFmtId="38" fontId="8" fillId="16" borderId="154" xfId="17" applyNumberFormat="1" applyFill="1" applyBorder="1" applyAlignment="1" applyProtection="1">
      <alignment vertical="top"/>
    </xf>
    <xf numFmtId="0" fontId="8" fillId="16" borderId="154" xfId="17" applyFill="1" applyBorder="1" applyAlignment="1" applyProtection="1">
      <alignment horizontal="left" vertical="top" wrapText="1"/>
    </xf>
    <xf numFmtId="49" fontId="8" fillId="16" borderId="154" xfId="17" applyNumberFormat="1" applyFill="1" applyBorder="1" applyAlignment="1" applyProtection="1">
      <alignment vertical="top"/>
    </xf>
    <xf numFmtId="0" fontId="8" fillId="16" borderId="154" xfId="17" applyFill="1" applyBorder="1" applyAlignment="1" applyProtection="1">
      <alignment vertical="top"/>
    </xf>
    <xf numFmtId="0" fontId="56" fillId="16" borderId="122" xfId="0" applyFont="1" applyFill="1" applyBorder="1"/>
    <xf numFmtId="37" fontId="56" fillId="16" borderId="122" xfId="0" applyNumberFormat="1" applyFont="1" applyFill="1" applyBorder="1"/>
    <xf numFmtId="37" fontId="56" fillId="16" borderId="124"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3"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3"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7"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3"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3"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8"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60"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5" xfId="18" applyFont="1" applyBorder="1" applyAlignment="1">
      <alignment horizontal="left" vertical="center" wrapText="1"/>
    </xf>
    <xf numFmtId="0" fontId="105" fillId="0" borderId="156"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8"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6" xfId="18" applyFont="1" applyBorder="1" applyAlignment="1">
      <alignment vertical="top"/>
    </xf>
    <xf numFmtId="0" fontId="49" fillId="0" borderId="137" xfId="18" applyFont="1" applyBorder="1" applyAlignment="1">
      <alignment vertical="top"/>
    </xf>
    <xf numFmtId="0" fontId="50" fillId="15" borderId="72" xfId="18" applyFont="1" applyFill="1" applyBorder="1" applyAlignment="1">
      <alignment vertical="top"/>
    </xf>
    <xf numFmtId="0" fontId="49" fillId="0" borderId="136" xfId="18" applyFont="1" applyBorder="1" applyAlignment="1">
      <alignment vertical="top" wrapText="1"/>
    </xf>
    <xf numFmtId="0" fontId="49" fillId="0" borderId="137"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4" xfId="18" applyFont="1" applyFill="1" applyBorder="1" applyAlignment="1">
      <alignment horizontal="center" vertical="center" wrapText="1"/>
    </xf>
    <xf numFmtId="0" fontId="105" fillId="22" borderId="159" xfId="18" applyFont="1" applyFill="1" applyBorder="1" applyAlignment="1">
      <alignment horizontal="center" vertical="center" wrapText="1"/>
    </xf>
    <xf numFmtId="0" fontId="105" fillId="17" borderId="135"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5"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3"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3"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3" xfId="17" applyNumberFormat="1" applyFont="1" applyFill="1" applyBorder="1" applyAlignment="1" applyProtection="1">
      <alignment horizontal="right" vertical="top"/>
    </xf>
    <xf numFmtId="38" fontId="4" fillId="16" borderId="154" xfId="17" applyNumberFormat="1" applyFont="1" applyFill="1" applyBorder="1" applyAlignment="1" applyProtection="1">
      <alignment horizontal="right" vertical="top"/>
    </xf>
    <xf numFmtId="49" fontId="4" fillId="0" borderId="153" xfId="17" applyNumberFormat="1" applyFont="1" applyBorder="1" applyAlignment="1" applyProtection="1">
      <alignment horizontal="center" vertical="top"/>
      <protection locked="0"/>
    </xf>
    <xf numFmtId="49" fontId="4" fillId="0" borderId="153" xfId="17" applyNumberFormat="1" applyFont="1" applyBorder="1" applyAlignment="1" applyProtection="1">
      <alignment horizontal="center" vertical="center"/>
      <protection locked="0"/>
    </xf>
    <xf numFmtId="0" fontId="58" fillId="0" borderId="73" xfId="3" applyNumberFormat="1" applyFont="1" applyBorder="1" applyAlignment="1" applyProtection="1">
      <alignment horizontal="center"/>
      <protection locked="0"/>
    </xf>
    <xf numFmtId="0" fontId="3" fillId="0" borderId="153" xfId="17" applyFont="1" applyBorder="1" applyAlignment="1" applyProtection="1">
      <alignment horizontal="left" vertical="top" wrapText="1"/>
      <protection locked="0"/>
    </xf>
    <xf numFmtId="0" fontId="17" fillId="0" borderId="0" xfId="0" applyFont="1" applyFill="1"/>
    <xf numFmtId="0" fontId="17" fillId="0" borderId="0" xfId="0" applyFont="1" applyFill="1" applyAlignment="1">
      <alignment wrapText="1"/>
    </xf>
    <xf numFmtId="43" fontId="13" fillId="72" borderId="73" xfId="1" applyFont="1" applyFill="1" applyBorder="1" applyAlignment="1">
      <alignment horizontal="center" wrapText="1"/>
    </xf>
    <xf numFmtId="0" fontId="0" fillId="0" borderId="74" xfId="0" applyFill="1" applyBorder="1"/>
    <xf numFmtId="42" fontId="58" fillId="0" borderId="69" xfId="3" applyNumberFormat="1" applyFont="1" applyBorder="1" applyProtection="1">
      <protection locked="0"/>
    </xf>
    <xf numFmtId="42" fontId="58" fillId="0" borderId="68" xfId="3" applyNumberFormat="1" applyFont="1" applyBorder="1" applyProtection="1">
      <protection locked="0"/>
    </xf>
    <xf numFmtId="0" fontId="0" fillId="0" borderId="0" xfId="0"/>
    <xf numFmtId="0" fontId="0" fillId="0" borderId="0" xfId="0" applyFill="1"/>
    <xf numFmtId="0" fontId="12" fillId="0" borderId="0" xfId="0" applyFont="1" applyFill="1"/>
    <xf numFmtId="0" fontId="13" fillId="0" borderId="0" xfId="663" applyFont="1" applyFill="1" applyBorder="1" applyAlignment="1">
      <alignment horizontal="left"/>
    </xf>
    <xf numFmtId="0" fontId="13" fillId="0" borderId="0" xfId="663" applyFont="1" applyFill="1" applyBorder="1" applyAlignment="1">
      <alignment horizontal="center"/>
    </xf>
    <xf numFmtId="0" fontId="12" fillId="0" borderId="0" xfId="663" quotePrefix="1" applyFont="1" applyFill="1" applyBorder="1" applyAlignment="1">
      <alignment horizontal="center"/>
    </xf>
    <xf numFmtId="0" fontId="12" fillId="0" borderId="0" xfId="663" applyFont="1" applyFill="1" applyBorder="1" applyAlignment="1">
      <alignment horizontal="center"/>
    </xf>
    <xf numFmtId="0" fontId="13" fillId="0" borderId="0" xfId="663" applyFont="1" applyFill="1" applyBorder="1" applyAlignment="1">
      <alignment horizontal="center" wrapText="1"/>
    </xf>
    <xf numFmtId="0" fontId="13" fillId="0" borderId="0" xfId="663" applyFont="1" applyFill="1" applyBorder="1"/>
    <xf numFmtId="0" fontId="12" fillId="0" borderId="0" xfId="663" applyFont="1" applyFill="1" applyBorder="1" applyAlignment="1">
      <alignment horizontal="left"/>
    </xf>
    <xf numFmtId="0" fontId="158" fillId="0" borderId="0" xfId="688" applyFont="1" applyFill="1" applyBorder="1" applyAlignment="1">
      <alignment horizontal="center" vertical="center" wrapText="1"/>
    </xf>
    <xf numFmtId="0" fontId="159" fillId="0" borderId="0" xfId="663" applyFont="1" applyFill="1" applyBorder="1"/>
    <xf numFmtId="0" fontId="12" fillId="0" borderId="0" xfId="486" applyFont="1" applyFill="1" applyBorder="1" applyAlignment="1" applyProtection="1">
      <alignment horizontal="center"/>
    </xf>
    <xf numFmtId="0" fontId="12" fillId="0" borderId="0" xfId="663" applyFont="1" applyFill="1" applyBorder="1"/>
    <xf numFmtId="37" fontId="0" fillId="0" borderId="0" xfId="0" applyNumberFormat="1" applyFill="1"/>
    <xf numFmtId="0" fontId="13" fillId="0" borderId="0" xfId="0" applyFont="1" applyFill="1"/>
    <xf numFmtId="0" fontId="12" fillId="0" borderId="0" xfId="0" applyFont="1" applyFill="1" applyAlignment="1">
      <alignment horizontal="center"/>
    </xf>
    <xf numFmtId="3" fontId="0" fillId="0" borderId="0" xfId="0" applyNumberFormat="1"/>
    <xf numFmtId="0" fontId="12" fillId="0" borderId="0" xfId="0" quotePrefix="1" applyFont="1" applyFill="1" applyAlignment="1">
      <alignment horizontal="center"/>
    </xf>
    <xf numFmtId="0" fontId="12" fillId="0" borderId="0" xfId="486" applyFont="1" applyFill="1" applyBorder="1" applyProtection="1"/>
    <xf numFmtId="0" fontId="12" fillId="0" borderId="0" xfId="486" applyFont="1" applyFill="1" applyBorder="1" applyAlignment="1">
      <alignment horizontal="center"/>
    </xf>
    <xf numFmtId="3" fontId="12" fillId="0" borderId="0" xfId="0" applyNumberFormat="1" applyFont="1" applyFill="1"/>
    <xf numFmtId="3" fontId="12" fillId="0" borderId="0" xfId="209" applyNumberFormat="1" applyFont="1" applyFill="1" applyBorder="1" applyAlignment="1">
      <alignment horizontal="right"/>
    </xf>
    <xf numFmtId="3" fontId="12" fillId="0" borderId="0" xfId="663" applyNumberFormat="1" applyFont="1" applyFill="1" applyBorder="1"/>
    <xf numFmtId="0" fontId="12" fillId="0" borderId="0" xfId="0" applyFont="1" applyFill="1" applyAlignment="1">
      <alignment horizontal="right"/>
    </xf>
    <xf numFmtId="0" fontId="11" fillId="0" borderId="0" xfId="0" applyFont="1" applyFill="1"/>
    <xf numFmtId="37" fontId="13" fillId="0" borderId="175" xfId="1" applyNumberFormat="1" applyFont="1" applyFill="1" applyBorder="1"/>
    <xf numFmtId="3" fontId="13" fillId="0" borderId="175" xfId="1" applyNumberFormat="1" applyFont="1" applyFill="1" applyBorder="1"/>
    <xf numFmtId="3" fontId="12" fillId="0" borderId="176" xfId="0" applyNumberFormat="1" applyFont="1" applyFill="1" applyBorder="1"/>
    <xf numFmtId="0" fontId="12" fillId="0" borderId="72" xfId="0" applyFont="1" applyFill="1" applyBorder="1"/>
    <xf numFmtId="3" fontId="12" fillId="0" borderId="0" xfId="0" applyNumberFormat="1" applyFont="1" applyFill="1" applyAlignment="1">
      <alignment horizontal="right"/>
    </xf>
    <xf numFmtId="3" fontId="13" fillId="0" borderId="72" xfId="1" applyNumberFormat="1" applyFont="1" applyFill="1" applyBorder="1"/>
    <xf numFmtId="37" fontId="13" fillId="0" borderId="177" xfId="0" applyNumberFormat="1" applyFont="1" applyFill="1" applyBorder="1"/>
    <xf numFmtId="0" fontId="55" fillId="0" borderId="0" xfId="3" applyFont="1" applyBorder="1" applyAlignment="1" applyProtection="1">
      <alignment horizontal="center" vertical="center"/>
    </xf>
    <xf numFmtId="0" fontId="58" fillId="0" borderId="0" xfId="3" applyFont="1" applyProtection="1"/>
    <xf numFmtId="0" fontId="58" fillId="0" borderId="0" xfId="3" applyFont="1" applyBorder="1" applyProtection="1"/>
    <xf numFmtId="0" fontId="58" fillId="0" borderId="0" xfId="3" applyFont="1" applyAlignment="1" applyProtection="1">
      <alignment horizontal="center"/>
    </xf>
    <xf numFmtId="0" fontId="66" fillId="0" borderId="0" xfId="3" applyFont="1" applyProtection="1"/>
    <xf numFmtId="0" fontId="56" fillId="0" borderId="0" xfId="3" applyFont="1" applyProtection="1"/>
    <xf numFmtId="0" fontId="66" fillId="0" borderId="0" xfId="3" applyFont="1" applyBorder="1" applyProtection="1"/>
    <xf numFmtId="0" fontId="58" fillId="0" borderId="74" xfId="3" applyFont="1" applyBorder="1" applyProtection="1"/>
    <xf numFmtId="0" fontId="63" fillId="0" borderId="0" xfId="3" applyFont="1" applyProtection="1"/>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0" xfId="3" applyFont="1" applyBorder="1" applyProtection="1"/>
    <xf numFmtId="0" fontId="58" fillId="0" borderId="140" xfId="3" applyFont="1" applyBorder="1" applyProtection="1"/>
    <xf numFmtId="0" fontId="58" fillId="0" borderId="140"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0" xfId="3" quotePrefix="1" applyFont="1" applyBorder="1" applyAlignment="1" applyProtection="1">
      <alignment horizontal="left"/>
    </xf>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0" xfId="3" applyFont="1" applyBorder="1" applyProtection="1"/>
    <xf numFmtId="0" fontId="58" fillId="0" borderId="0" xfId="3" applyFont="1" applyBorder="1" applyAlignment="1" applyProtection="1">
      <alignment horizontal="left"/>
    </xf>
    <xf numFmtId="0" fontId="65" fillId="0" borderId="140"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58" fillId="0" borderId="0" xfId="3" applyFont="1" applyProtection="1">
      <protection locked="0"/>
    </xf>
    <xf numFmtId="179" fontId="58" fillId="0" borderId="0" xfId="3" applyNumberFormat="1" applyFont="1" applyBorder="1" applyProtection="1">
      <protection locked="0"/>
    </xf>
    <xf numFmtId="0" fontId="11" fillId="0" borderId="0" xfId="3" applyProtection="1">
      <protection locked="0"/>
    </xf>
    <xf numFmtId="0" fontId="11" fillId="0" borderId="0" xfId="3" applyBorder="1" applyProtection="1">
      <protection locked="0"/>
    </xf>
    <xf numFmtId="179" fontId="11" fillId="0" borderId="0" xfId="3" applyNumberFormat="1" applyBorder="1" applyProtection="1">
      <protection locked="0"/>
    </xf>
    <xf numFmtId="179" fontId="11" fillId="0" borderId="0" xfId="3" applyNumberFormat="1" applyFont="1" applyBorder="1" applyAlignment="1" applyProtection="1">
      <alignment horizontal="left"/>
      <protection locked="0"/>
    </xf>
    <xf numFmtId="3" fontId="13" fillId="0" borderId="0" xfId="1" applyNumberFormat="1" applyFont="1" applyFill="1" applyBorder="1"/>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1"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2" xfId="12"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5" fillId="0" borderId="130"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2"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2"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7"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2"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3" borderId="143" xfId="0" applyFont="1" applyFill="1" applyBorder="1" applyAlignment="1" applyProtection="1">
      <alignment horizontal="left" vertical="center"/>
    </xf>
    <xf numFmtId="0" fontId="65" fillId="3" borderId="144"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3" xfId="0" applyFont="1" applyBorder="1" applyAlignment="1" applyProtection="1">
      <alignment horizontal="left" vertical="center" wrapText="1" indent="1"/>
    </xf>
    <xf numFmtId="0" fontId="63" fillId="0" borderId="144"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6" fillId="22" borderId="144"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6" xfId="17" applyFont="1" applyFill="1" applyBorder="1" applyAlignment="1">
      <alignment horizontal="center" vertical="center"/>
    </xf>
    <xf numFmtId="0" fontId="127" fillId="22" borderId="137" xfId="17" applyFont="1" applyFill="1" applyBorder="1" applyAlignment="1">
      <alignment horizontal="center" vertical="center"/>
    </xf>
    <xf numFmtId="0" fontId="127" fillId="22" borderId="138"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3"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7" xfId="18" applyFont="1" applyBorder="1" applyAlignment="1" applyProtection="1">
      <alignment horizontal="center" vertical="top" wrapText="1"/>
      <protection locked="0"/>
    </xf>
    <xf numFmtId="0" fontId="5" fillId="0" borderId="138"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7" xfId="18" applyFont="1" applyBorder="1" applyAlignment="1" applyProtection="1">
      <alignment horizontal="center" vertical="top" wrapText="1"/>
      <protection locked="0"/>
    </xf>
    <xf numFmtId="0" fontId="50" fillId="0" borderId="138"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9" xfId="3" applyFont="1" applyBorder="1" applyAlignment="1">
      <alignment horizontal="center" vertical="center" wrapText="1"/>
    </xf>
    <xf numFmtId="0" fontId="74" fillId="0" borderId="129" xfId="3" applyNumberFormat="1" applyFont="1" applyBorder="1" applyAlignment="1">
      <alignment horizontal="center"/>
    </xf>
    <xf numFmtId="0" fontId="58" fillId="0" borderId="130" xfId="3" applyNumberFormat="1" applyFont="1" applyBorder="1" applyAlignment="1" applyProtection="1">
      <alignment horizontal="center"/>
      <protection locked="0"/>
    </xf>
    <xf numFmtId="171" fontId="58" fillId="0" borderId="130" xfId="3" applyNumberFormat="1" applyFont="1" applyBorder="1" applyAlignment="1" applyProtection="1">
      <alignment horizontal="center"/>
      <protection locked="0"/>
    </xf>
    <xf numFmtId="0" fontId="58" fillId="0" borderId="130"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1" xfId="0" applyFont="1" applyFill="1" applyBorder="1" applyAlignment="1">
      <alignment horizontal="center" vertical="center"/>
    </xf>
    <xf numFmtId="0" fontId="113" fillId="12" borderId="124" xfId="0" applyFont="1" applyFill="1" applyBorder="1" applyAlignment="1">
      <alignment horizontal="center" vertical="center"/>
    </xf>
    <xf numFmtId="0" fontId="113" fillId="12" borderId="149"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1" xfId="0" applyNumberFormat="1" applyFont="1" applyFill="1" applyBorder="1" applyAlignment="1">
      <alignment horizontal="center" vertical="top"/>
    </xf>
    <xf numFmtId="164" fontId="114" fillId="12" borderId="124" xfId="0" applyNumberFormat="1" applyFont="1" applyFill="1" applyBorder="1" applyAlignment="1">
      <alignment horizontal="center" vertical="top"/>
    </xf>
    <xf numFmtId="164" fontId="114" fillId="12" borderId="149"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4" xfId="0" applyNumberFormat="1" applyFont="1" applyBorder="1" applyAlignment="1">
      <alignment horizontal="left" vertical="center" wrapText="1"/>
    </xf>
    <xf numFmtId="0" fontId="58" fillId="0" borderId="122"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2" xfId="3" applyNumberFormat="1" applyFont="1" applyBorder="1" applyProtection="1"/>
    <xf numFmtId="0" fontId="56" fillId="0" borderId="143"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3" xfId="3" applyNumberFormat="1"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58" fillId="0" borderId="69" xfId="3" applyFont="1" applyBorder="1" applyAlignment="1" applyProtection="1">
      <alignment horizontal="left"/>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66" fillId="0" borderId="0" xfId="3" quotePrefix="1" applyFont="1" applyAlignment="1" applyProtection="1">
      <alignment horizontal="center" vertical="center"/>
    </xf>
    <xf numFmtId="0" fontId="14" fillId="0" borderId="0" xfId="0" applyFont="1" applyFill="1" applyAlignment="1">
      <alignment horizontal="center"/>
    </xf>
    <xf numFmtId="0" fontId="12" fillId="0" borderId="0" xfId="663" applyFont="1" applyFill="1" applyBorder="1" applyAlignment="1">
      <alignment horizontal="left"/>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5" xfId="3" applyNumberFormat="1" applyFont="1" applyBorder="1" applyAlignment="1" applyProtection="1">
      <protection locked="0"/>
    </xf>
    <xf numFmtId="0" fontId="66" fillId="0" borderId="146"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5"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6"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5" xfId="3" applyNumberFormat="1" applyFont="1" applyBorder="1" applyProtection="1">
      <protection locked="0"/>
    </xf>
    <xf numFmtId="6" fontId="63" fillId="0" borderId="146"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5"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6"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5" xfId="3" applyFont="1" applyBorder="1" applyAlignment="1" applyProtection="1">
      <alignment horizontal="center"/>
    </xf>
    <xf numFmtId="0" fontId="63" fillId="0" borderId="72" xfId="3" applyFont="1" applyBorder="1" applyAlignment="1" applyProtection="1">
      <alignment horizontal="center"/>
    </xf>
    <xf numFmtId="0" fontId="63" fillId="0" borderId="146" xfId="3" applyFont="1" applyBorder="1" applyAlignment="1" applyProtection="1">
      <alignment horizontal="center"/>
    </xf>
    <xf numFmtId="38" fontId="63" fillId="0" borderId="145"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6" xfId="3" applyNumberFormat="1" applyFont="1" applyBorder="1" applyAlignment="1" applyProtection="1">
      <alignment horizontal="right" vertical="center"/>
      <protection locked="0"/>
    </xf>
    <xf numFmtId="0" fontId="11" fillId="0" borderId="0" xfId="3"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11" fillId="0" borderId="0" xfId="3" applyFont="1" applyBorder="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0"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5272">
    <cellStyle name="20% - Accent1 2" xfId="28" xr:uid="{E7C22507-163D-4750-B971-0E232544CE47}"/>
    <cellStyle name="20% - Accent1 2 2" xfId="29" xr:uid="{0534F104-9A8B-4BE6-9EB3-634C036E1BC9}"/>
    <cellStyle name="20% - Accent1 2 2 2" xfId="2234" xr:uid="{23BB63D5-44B7-4BA8-A2E0-49922CC3EB20}"/>
    <cellStyle name="20% - Accent1 2 2 3" xfId="2103" xr:uid="{0DB58A95-FF44-48C6-8DCE-9063438DA9E8}"/>
    <cellStyle name="20% - Accent1 2 3" xfId="30" xr:uid="{B72D2853-085C-483F-8F45-622B14188F81}"/>
    <cellStyle name="20% - Accent1 2 3 10" xfId="3233" xr:uid="{A0C58192-A336-4D3C-8FEF-430660B01306}"/>
    <cellStyle name="20% - Accent1 2 3 2" xfId="811" xr:uid="{B97863CA-A5C6-4792-BB5D-6BB15BF21D79}"/>
    <cellStyle name="20% - Accent1 2 3 2 2" xfId="1081" xr:uid="{28DDC3F4-FB54-48EB-926F-3CBC5EF96C2F}"/>
    <cellStyle name="20% - Accent1 2 3 2 2 2" xfId="1498" xr:uid="{F8D377F2-88BA-49C7-98EE-510AE67504BD}"/>
    <cellStyle name="20% - Accent1 2 3 2 2 2 2" xfId="2667" xr:uid="{D2CE87AB-04D5-44ED-9341-C3542138A12A}"/>
    <cellStyle name="20% - Accent1 2 3 2 2 2 2 2" xfId="4737" xr:uid="{5237A2CD-86C3-4FEA-BCD6-8D3E3C74EEEE}"/>
    <cellStyle name="20% - Accent1 2 3 2 2 2 3" xfId="3833" xr:uid="{BAE359FD-38B6-4BE9-A3C7-23178D79726F}"/>
    <cellStyle name="20% - Accent1 2 3 2 2 3" xfId="1904" xr:uid="{C41B8331-F8EA-46AB-969C-17E04836AF3F}"/>
    <cellStyle name="20% - Accent1 2 3 2 2 3 2" xfId="3050" xr:uid="{C91E974A-47B9-4A88-B18F-C946E4732B5D}"/>
    <cellStyle name="20% - Accent1 2 3 2 2 3 2 2" xfId="5099" xr:uid="{55DA4F2C-72AA-43B2-8A54-EFE28F420D57}"/>
    <cellStyle name="20% - Accent1 2 3 2 2 3 3" xfId="4221" xr:uid="{DD822525-09B3-4FBB-9809-90F27B98B4AE}"/>
    <cellStyle name="20% - Accent1 2 3 2 2 4" xfId="2399" xr:uid="{A8DE5007-749D-4368-AA13-F741C3C3019A}"/>
    <cellStyle name="20% - Accent1 2 3 2 2 4 2" xfId="4500" xr:uid="{A309B798-A52C-4ED5-8CA2-B62AD7919F80}"/>
    <cellStyle name="20% - Accent1 2 3 2 2 5" xfId="3445" xr:uid="{C8DED105-7DDE-493E-8CE4-CFCF7F4BE033}"/>
    <cellStyle name="20% - Accent1 2 3 2 3" xfId="1188" xr:uid="{785BB5FA-6C5F-48F8-8AAC-9E9927D95D76}"/>
    <cellStyle name="20% - Accent1 2 3 2 3 2" xfId="1603" xr:uid="{31BCA4AF-8EA6-4663-BA50-4347B6FFF8D5}"/>
    <cellStyle name="20% - Accent1 2 3 2 3 2 2" xfId="2770" xr:uid="{EF696716-953F-405A-80E8-5464ED5CAFBB}"/>
    <cellStyle name="20% - Accent1 2 3 2 3 2 2 2" xfId="4840" xr:uid="{12D2EA2F-096F-4155-B26A-92FAA2FBA249}"/>
    <cellStyle name="20% - Accent1 2 3 2 3 2 3" xfId="3938" xr:uid="{25771727-FF2A-48FF-A8E6-A5F963E41602}"/>
    <cellStyle name="20% - Accent1 2 3 2 3 3" xfId="2009" xr:uid="{24DCF07B-6462-4E20-80A4-19CE64E93E28}"/>
    <cellStyle name="20% - Accent1 2 3 2 3 3 2" xfId="3155" xr:uid="{0EE825EC-8A12-430F-94DE-378AFF35DCA3}"/>
    <cellStyle name="20% - Accent1 2 3 2 3 3 2 2" xfId="5204" xr:uid="{03B0AD6C-5DB4-4095-BD2B-461263DB7CB6}"/>
    <cellStyle name="20% - Accent1 2 3 2 3 3 3" xfId="4326" xr:uid="{AEFEDEA4-43AF-4E77-AC98-F451A4164D36}"/>
    <cellStyle name="20% - Accent1 2 3 2 3 4" xfId="2533" xr:uid="{D747BB11-B8CB-48A9-BD47-D0A2CF83190F}"/>
    <cellStyle name="20% - Accent1 2 3 2 3 4 2" xfId="4612" xr:uid="{E2632214-4613-4B61-A6AD-4036706294BE}"/>
    <cellStyle name="20% - Accent1 2 3 2 3 5" xfId="3550" xr:uid="{CDBD13C2-4310-4F82-B4BB-3E3ABC4240DC}"/>
    <cellStyle name="20% - Accent1 2 3 2 4" xfId="958" xr:uid="{203152FD-75F2-4959-8AAA-788FD26E038F}"/>
    <cellStyle name="20% - Accent1 2 3 2 4 2" xfId="1393" xr:uid="{9074CA29-892F-4648-B177-0AC7123EC70C}"/>
    <cellStyle name="20% - Accent1 2 3 2 4 2 2" xfId="2841" xr:uid="{1AD7D108-B151-4E79-BD88-08675965E822}"/>
    <cellStyle name="20% - Accent1 2 3 2 4 2 2 2" xfId="4899" xr:uid="{A0EEDF2B-3A21-4657-B36D-DE7E696E9AFB}"/>
    <cellStyle name="20% - Accent1 2 3 2 4 2 3" xfId="3728" xr:uid="{7A5DFAEE-5445-466C-91BE-DFAE223FD067}"/>
    <cellStyle name="20% - Accent1 2 3 2 4 3" xfId="1799" xr:uid="{5D014C48-5DEF-4B43-B8DA-D1E472D364A6}"/>
    <cellStyle name="20% - Accent1 2 3 2 4 3 2" xfId="4116" xr:uid="{7D2AE4E6-5EBF-4B91-BF61-91C5D073C659}"/>
    <cellStyle name="20% - Accent1 2 3 2 4 4" xfId="2474" xr:uid="{C687655F-BBB1-425D-94CF-F7C45333D6D5}"/>
    <cellStyle name="20% - Accent1 2 3 2 4 4 2" xfId="4568" xr:uid="{D8A4419B-766A-4886-B907-7506E623F435}"/>
    <cellStyle name="20% - Accent1 2 3 2 4 5" xfId="3340" xr:uid="{517ADCD8-881C-4BAB-883F-190F15BC830E}"/>
    <cellStyle name="20% - Accent1 2 3 2 5" xfId="1319" xr:uid="{DB9FABFD-085A-46F5-BC4C-FDDC1BBC1617}"/>
    <cellStyle name="20% - Accent1 2 3 2 5 2" xfId="2504" xr:uid="{94B260D9-CFF8-46C7-B72D-A0F6181A8319}"/>
    <cellStyle name="20% - Accent1 2 3 2 5 2 2" xfId="4590" xr:uid="{288924E5-BB88-40F9-9E33-FE2FF7237E16}"/>
    <cellStyle name="20% - Accent1 2 3 2 5 3" xfId="3655" xr:uid="{476EB4E0-B5E2-4A24-A3CA-9FC57943EC42}"/>
    <cellStyle name="20% - Accent1 2 3 2 6" xfId="1726" xr:uid="{ED312BEE-4DC8-44FB-AEA2-2CBB86824687}"/>
    <cellStyle name="20% - Accent1 2 3 2 6 2" xfId="2898" xr:uid="{5878D2D4-6A08-460F-9D88-1D0E9B72B2BB}"/>
    <cellStyle name="20% - Accent1 2 3 2 6 2 2" xfId="4952" xr:uid="{F735D360-831C-4152-9ADD-D4C0FBEABF96}"/>
    <cellStyle name="20% - Accent1 2 3 2 6 3" xfId="4043" xr:uid="{6A5920B9-9D8F-4E8E-998B-A7FC24C5D483}"/>
    <cellStyle name="20% - Accent1 2 3 2 7" xfId="2843" xr:uid="{6990A8F4-AE56-4407-93E7-CC6209BE4032}"/>
    <cellStyle name="20% - Accent1 2 3 2 7 2" xfId="4901" xr:uid="{53FBCB9F-649D-4C70-B757-AF6241519A03}"/>
    <cellStyle name="20% - Accent1 2 3 2 8" xfId="2207" xr:uid="{8D7EB548-4C5C-40AD-88EF-464B15A9AB01}"/>
    <cellStyle name="20% - Accent1 2 3 2 8 2" xfId="4428" xr:uid="{E537D0EE-5F2F-4CF0-B14C-74B820FC51CD}"/>
    <cellStyle name="20% - Accent1 2 3 2 9" xfId="3267" xr:uid="{81C8CD21-A741-4DF1-BE56-5C52DC3E7167}"/>
    <cellStyle name="20% - Accent1 2 3 3" xfId="996" xr:uid="{7895C1F6-9DBC-4A2A-A16C-D136980C6464}"/>
    <cellStyle name="20% - Accent1 2 3 3 2" xfId="1115" xr:uid="{127D3C7A-4780-45B3-B4AE-AF24CCAB8AEC}"/>
    <cellStyle name="20% - Accent1 2 3 3 2 2" xfId="1532" xr:uid="{52F906DE-B100-40BE-ACF4-2D3DCA04F3D5}"/>
    <cellStyle name="20% - Accent1 2 3 3 2 2 2" xfId="2700" xr:uid="{697F0722-A7F7-493C-A080-55106084D1CE}"/>
    <cellStyle name="20% - Accent1 2 3 3 2 2 2 2" xfId="4770" xr:uid="{F141AEC6-DFA6-4C17-88E5-040FA194475A}"/>
    <cellStyle name="20% - Accent1 2 3 3 2 2 3" xfId="3867" xr:uid="{D8FDB482-D05C-462E-ACCC-D5EDC85FD394}"/>
    <cellStyle name="20% - Accent1 2 3 3 2 3" xfId="1938" xr:uid="{A02F279C-5D18-40DD-B9AD-65425F0E8445}"/>
    <cellStyle name="20% - Accent1 2 3 3 2 3 2" xfId="3084" xr:uid="{22DF9F1F-557C-4E15-8F7C-02AB80D1E63F}"/>
    <cellStyle name="20% - Accent1 2 3 3 2 3 2 2" xfId="5133" xr:uid="{B41BD68A-DF51-42B6-9C84-0A3E338000E9}"/>
    <cellStyle name="20% - Accent1 2 3 3 2 3 3" xfId="4255" xr:uid="{4090F3B7-82C3-43A7-8FF3-61499BBB1A57}"/>
    <cellStyle name="20% - Accent1 2 3 3 2 4" xfId="2426" xr:uid="{70386AD7-56BF-4D50-92D6-B0FC8743443E}"/>
    <cellStyle name="20% - Accent1 2 3 3 2 4 2" xfId="4527" xr:uid="{B2607F97-C1A7-4D23-AC5B-AFBFD21484BA}"/>
    <cellStyle name="20% - Accent1 2 3 3 2 5" xfId="3479" xr:uid="{4DE5707C-F074-4BA5-B04F-B0931C06365F}"/>
    <cellStyle name="20% - Accent1 2 3 3 3" xfId="1226" xr:uid="{01AF0C97-5835-4C07-94A7-458BCE815319}"/>
    <cellStyle name="20% - Accent1 2 3 3 3 2" xfId="1637" xr:uid="{8534B031-8D6A-4B4B-9241-EE07F0A519AF}"/>
    <cellStyle name="20% - Accent1 2 3 3 3 2 2" xfId="3189" xr:uid="{C927E97F-1DC1-4266-804F-5129F28A7D15}"/>
    <cellStyle name="20% - Accent1 2 3 3 3 2 2 2" xfId="5238" xr:uid="{51D23E71-F719-4DBD-9118-DDD3281B3AE7}"/>
    <cellStyle name="20% - Accent1 2 3 3 3 2 3" xfId="3972" xr:uid="{E5917FB2-4C7D-4C8E-9AC5-0425741E675A}"/>
    <cellStyle name="20% - Accent1 2 3 3 3 3" xfId="2043" xr:uid="{69399B95-1E00-4844-B58C-C0F23C614297}"/>
    <cellStyle name="20% - Accent1 2 3 3 3 3 2" xfId="4360" xr:uid="{F335637F-F520-4F87-8C23-AA9CA46260F6}"/>
    <cellStyle name="20% - Accent1 2 3 3 3 4" xfId="2560" xr:uid="{74016B76-0E7B-482A-82FA-6E4C5C2220DB}"/>
    <cellStyle name="20% - Accent1 2 3 3 3 4 2" xfId="4639" xr:uid="{8A195BCE-3D62-490D-8CD3-DF0DD9BD62CD}"/>
    <cellStyle name="20% - Accent1 2 3 3 3 5" xfId="3584" xr:uid="{369BD33B-8FCA-4DB3-8FFE-4206A350AC0A}"/>
    <cellStyle name="20% - Accent1 2 3 3 4" xfId="1427" xr:uid="{43922C5E-01DF-407A-A684-8904FEB0BAFA}"/>
    <cellStyle name="20% - Accent1 2 3 3 4 2" xfId="2926" xr:uid="{78E9397B-432C-40CC-A27C-B1FB93A0E343}"/>
    <cellStyle name="20% - Accent1 2 3 3 4 2 2" xfId="4980" xr:uid="{FC43A8D4-D4E5-4170-8304-BD5C84457E82}"/>
    <cellStyle name="20% - Accent1 2 3 3 4 3" xfId="3762" xr:uid="{441C8633-F53F-4CED-A27D-F6F6EA959D99}"/>
    <cellStyle name="20% - Accent1 2 3 3 5" xfId="1833" xr:uid="{A7EDEE32-E033-4D4A-B726-F9BCC0A07D04}"/>
    <cellStyle name="20% - Accent1 2 3 3 5 2" xfId="4150" xr:uid="{EF346902-96BB-4CE5-9A19-7585D530A1A9}"/>
    <cellStyle name="20% - Accent1 2 3 3 6" xfId="2235" xr:uid="{23578A8E-E2AC-4F6A-A1F9-A39486782282}"/>
    <cellStyle name="20% - Accent1 2 3 3 6 2" xfId="4455" xr:uid="{13B06B40-A9FE-47D9-9669-A74A5CC12F6C}"/>
    <cellStyle name="20% - Accent1 2 3 3 7" xfId="3374" xr:uid="{70C15414-E9BD-44D6-87CF-86CDF4AF7663}"/>
    <cellStyle name="20% - Accent1 2 3 4" xfId="1056" xr:uid="{C90FDA90-FD3A-4B0B-9477-CE27D204CDBB}"/>
    <cellStyle name="20% - Accent1 2 3 4 2" xfId="1473" xr:uid="{6FE1338D-F274-460B-9F84-FDC1FA240CD8}"/>
    <cellStyle name="20% - Accent1 2 3 4 2 2" xfId="2653" xr:uid="{1F42E0AA-E87E-4D82-99CD-B8E3D648E5EA}"/>
    <cellStyle name="20% - Accent1 2 3 4 2 2 2" xfId="4723" xr:uid="{59E6E8C9-549B-43C7-A5F3-4BD5613C4AD0}"/>
    <cellStyle name="20% - Accent1 2 3 4 2 3" xfId="3808" xr:uid="{1FE7E27E-AAF5-4C1A-8F11-FB2A5E7F326F}"/>
    <cellStyle name="20% - Accent1 2 3 4 3" xfId="1879" xr:uid="{38DAB54C-DB9A-4F9A-B1F3-9A55BC802977}"/>
    <cellStyle name="20% - Accent1 2 3 4 3 2" xfId="3025" xr:uid="{5069A4A4-A4DF-40B3-AF07-CD36A87E03B0}"/>
    <cellStyle name="20% - Accent1 2 3 4 3 2 2" xfId="5075" xr:uid="{17D7125C-3862-4D6E-9FC0-EEDA4522749C}"/>
    <cellStyle name="20% - Accent1 2 3 4 3 3" xfId="4196" xr:uid="{322FD28E-ACC9-4602-A9C9-DB94D574F6CD}"/>
    <cellStyle name="20% - Accent1 2 3 4 4" xfId="2371" xr:uid="{428AAE96-5645-4FA2-A592-19553EC1DE8C}"/>
    <cellStyle name="20% - Accent1 2 3 4 4 2" xfId="4472" xr:uid="{A65C42ED-CD47-440E-ABFB-69786158F7C2}"/>
    <cellStyle name="20% - Accent1 2 3 4 5" xfId="3420" xr:uid="{0A78993C-D2B4-4C75-8B24-8B723E2CF7C6}"/>
    <cellStyle name="20% - Accent1 2 3 5" xfId="1161" xr:uid="{02AECEF5-F1EE-48DC-AE4F-2FF639C203EF}"/>
    <cellStyle name="20% - Accent1 2 3 5 2" xfId="1578" xr:uid="{8516E186-F279-486C-8D32-BF885518BCB1}"/>
    <cellStyle name="20% - Accent1 2 3 5 2 2" xfId="2746" xr:uid="{653D7A8D-5616-4FDB-AD1B-4D692F27D8BB}"/>
    <cellStyle name="20% - Accent1 2 3 5 2 2 2" xfId="4816" xr:uid="{8E5B08D7-169D-4EF6-9224-0F3CD3372FE1}"/>
    <cellStyle name="20% - Accent1 2 3 5 2 3" xfId="3913" xr:uid="{6EF0FE97-E951-47A6-AFFE-CBD7B4D4045D}"/>
    <cellStyle name="20% - Accent1 2 3 5 3" xfId="1984" xr:uid="{28B722A8-5425-4F84-A373-B6973DB578B6}"/>
    <cellStyle name="20% - Accent1 2 3 5 3 2" xfId="3130" xr:uid="{6757C6E2-824B-4D96-9CA6-F9686A2ABB45}"/>
    <cellStyle name="20% - Accent1 2 3 5 3 2 2" xfId="5179" xr:uid="{7CE976CC-1F0E-48E1-A290-7FC7EBC1DD84}"/>
    <cellStyle name="20% - Accent1 2 3 5 3 3" xfId="4301" xr:uid="{5E79DF31-F5E9-4DD4-BA91-4C2E402B6CFF}"/>
    <cellStyle name="20% - Accent1 2 3 5 4" xfId="2445" xr:uid="{662AF6FB-EE25-46CF-8AA5-2180E2DA84AC}"/>
    <cellStyle name="20% - Accent1 2 3 5 4 2" xfId="4546" xr:uid="{57871472-D165-433E-A5F9-CB0B98D33B19}"/>
    <cellStyle name="20% - Accent1 2 3 5 5" xfId="3525" xr:uid="{33189543-E6FD-4902-B583-6BE74A7B3220}"/>
    <cellStyle name="20% - Accent1 2 3 6" xfId="909" xr:uid="{D4E3652F-A9F7-4DF0-9DFF-F55D8553EC51}"/>
    <cellStyle name="20% - Accent1 2 3 6 2" xfId="1367" xr:uid="{80157497-5AE4-431B-9B4B-D7810559A896}"/>
    <cellStyle name="20% - Accent1 2 3 6 2 2" xfId="2963" xr:uid="{95134FB3-EF3C-4A29-8A69-2BA5A296605A}"/>
    <cellStyle name="20% - Accent1 2 3 6 2 2 2" xfId="5014" xr:uid="{B45A775B-72EC-4B4C-808B-5787E29682A8}"/>
    <cellStyle name="20% - Accent1 2 3 6 2 3" xfId="3703" xr:uid="{5E8C0DA3-D665-4670-BCD6-46F5068D25E5}"/>
    <cellStyle name="20% - Accent1 2 3 6 3" xfId="1774" xr:uid="{243115D5-50A6-42B4-8A05-AB85D834817A}"/>
    <cellStyle name="20% - Accent1 2 3 6 3 2" xfId="4091" xr:uid="{480426FE-A9D0-4107-A675-A160481BF901}"/>
    <cellStyle name="20% - Accent1 2 3 6 4" xfId="2591" xr:uid="{2FCE9D2C-3A39-42DE-BF9B-0B2E1B9AF6D4}"/>
    <cellStyle name="20% - Accent1 2 3 6 4 2" xfId="4662" xr:uid="{1146DF3A-51FB-414A-9BA5-BCC0552EBE2E}"/>
    <cellStyle name="20% - Accent1 2 3 6 5" xfId="3315" xr:uid="{495B04AF-7589-4D17-B0A6-9423F99FE372}"/>
    <cellStyle name="20% - Accent1 2 3 7" xfId="1263" xr:uid="{BEB1F56D-8E4B-4A00-92D3-46A06ABA53CB}"/>
    <cellStyle name="20% - Accent1 2 3 7 2" xfId="2825" xr:uid="{28211EE6-3A2C-487D-932B-C3E026552E56}"/>
    <cellStyle name="20% - Accent1 2 3 7 2 2" xfId="4884" xr:uid="{52ED22D3-C0DE-4158-8A92-FF63C0181AC8}"/>
    <cellStyle name="20% - Accent1 2 3 7 3" xfId="3621" xr:uid="{179EEE9E-D1FE-4230-B192-0DB3B8AC74B2}"/>
    <cellStyle name="20% - Accent1 2 3 8" xfId="1688" xr:uid="{787194CE-84B3-4D7B-A65B-FE9DFE7DF5E1}"/>
    <cellStyle name="20% - Accent1 2 3 8 2" xfId="4009" xr:uid="{BC87C4A3-8BFD-4FBD-BCFF-EF0CE31CD71F}"/>
    <cellStyle name="20% - Accent1 2 3 9" xfId="2104" xr:uid="{21A14C47-7953-4EA9-957D-A74DA36654E8}"/>
    <cellStyle name="20% - Accent1 2 3 9 2" xfId="4400" xr:uid="{9D9AD009-7B2D-474D-B081-6E1D6C30D0A6}"/>
    <cellStyle name="20% - Accent1 2 4" xfId="31" xr:uid="{A823B5A7-B8C4-401A-B266-9862444F5AA8}"/>
    <cellStyle name="20% - Accent1 2 4 2" xfId="2236" xr:uid="{E8D126D4-1D7B-49A0-8B94-C43C2254868B}"/>
    <cellStyle name="20% - Accent1 2 4 3" xfId="2105" xr:uid="{7051E27E-3D91-48D9-B938-D7FBA92177A5}"/>
    <cellStyle name="20% - Accent1 2 5" xfId="32" xr:uid="{BC889F12-5E57-4699-8829-19C7CB71B549}"/>
    <cellStyle name="20% - Accent1 2 5 2" xfId="2237" xr:uid="{E7BB991B-DDD1-47B5-A209-49AD14E24AFB}"/>
    <cellStyle name="20% - Accent1 2 5 3" xfId="2106" xr:uid="{34C24F6A-5789-4C7B-B958-A1000E3B03A2}"/>
    <cellStyle name="20% - Accent1 2 6" xfId="877" xr:uid="{4A2AF66D-7431-42C6-A7E6-0B13CFF28B56}"/>
    <cellStyle name="20% - Accent1 2 6 2" xfId="2238" xr:uid="{BDD4496C-8159-41D2-899C-36AF7A8C1D64}"/>
    <cellStyle name="20% - Accent1 2 6 3" xfId="2483" xr:uid="{74591104-9505-4273-8A97-EED38B2F37DB}"/>
    <cellStyle name="20% - Accent1 2 6 4" xfId="2194" xr:uid="{B0EC38C1-6F3C-407B-ACFF-347D547D39AF}"/>
    <cellStyle name="20% - Accent1 3" xfId="33" xr:uid="{9EF4DAED-3C93-439F-98BA-F7D73066F370}"/>
    <cellStyle name="20% - Accent1 3 2" xfId="2239" xr:uid="{72085358-2F70-4EED-BFD9-816DA8F9B481}"/>
    <cellStyle name="20% - Accent1 3 3" xfId="2107" xr:uid="{BC88A28E-6B29-4605-B8AA-D77B55B0E456}"/>
    <cellStyle name="20% - Accent1 4" xfId="34" xr:uid="{C119E84C-F11F-430B-840A-6EEF5A0B8063}"/>
    <cellStyle name="20% - Accent1 4 2" xfId="2240" xr:uid="{4067B207-CA4C-40EE-A5BD-1B48A7ABDC09}"/>
    <cellStyle name="20% - Accent1 4 3" xfId="2108" xr:uid="{99C5F1E9-B814-4EFF-B052-501AC5C17804}"/>
    <cellStyle name="20% - Accent2 2" xfId="35" xr:uid="{4722041D-C27A-416E-B21C-1891968E03F7}"/>
    <cellStyle name="20% - Accent2 2 2" xfId="36" xr:uid="{2B17B3E7-653D-491E-8BF4-B85DA6194EE4}"/>
    <cellStyle name="20% - Accent2 2 3" xfId="37" xr:uid="{C71B54E4-4FF5-4B2E-A642-D06ED5EFF5C6}"/>
    <cellStyle name="20% - Accent2 2 3 10" xfId="3234" xr:uid="{4A235D55-C754-43E9-9503-288D4F1CA710}"/>
    <cellStyle name="20% - Accent2 2 3 2" xfId="812" xr:uid="{B695E49A-2480-487B-AE45-64BC8971F14F}"/>
    <cellStyle name="20% - Accent2 2 3 2 2" xfId="1082" xr:uid="{D3FE2ABD-CAA5-470E-BC2A-679E50C7E648}"/>
    <cellStyle name="20% - Accent2 2 3 2 2 2" xfId="1499" xr:uid="{0BC5CCED-85E6-4DA2-84B7-FE31EBF0C04F}"/>
    <cellStyle name="20% - Accent2 2 3 2 2 2 2" xfId="2668" xr:uid="{219411C4-0E2C-448F-AF00-1E7D38B09E98}"/>
    <cellStyle name="20% - Accent2 2 3 2 2 2 2 2" xfId="4738" xr:uid="{82DFF872-F9FC-421F-96F8-592D12CD0650}"/>
    <cellStyle name="20% - Accent2 2 3 2 2 2 3" xfId="3834" xr:uid="{A08DF2DA-2B57-4212-AD8A-1D7B9D5C76C9}"/>
    <cellStyle name="20% - Accent2 2 3 2 2 3" xfId="1905" xr:uid="{61B78F2B-A42C-4BE8-A0AD-0037840F90F2}"/>
    <cellStyle name="20% - Accent2 2 3 2 2 3 2" xfId="3051" xr:uid="{74CF0016-32E2-4A08-BBDB-54DE16DBC15E}"/>
    <cellStyle name="20% - Accent2 2 3 2 2 3 2 2" xfId="5100" xr:uid="{CA0DCFA6-B14D-4E3F-809A-46810AFF63B5}"/>
    <cellStyle name="20% - Accent2 2 3 2 2 3 3" xfId="4222" xr:uid="{16E5EE52-5B8A-4EFE-B6D6-47EAB924C14D}"/>
    <cellStyle name="20% - Accent2 2 3 2 2 4" xfId="2400" xr:uid="{6F99FD7C-E0A1-4872-A687-C8942107720E}"/>
    <cellStyle name="20% - Accent2 2 3 2 2 4 2" xfId="4501" xr:uid="{778D0A68-1286-4AF3-8269-2DDE0E3D8A17}"/>
    <cellStyle name="20% - Accent2 2 3 2 2 5" xfId="3446" xr:uid="{66CF6485-0472-4AD1-BD48-29549B1BC38C}"/>
    <cellStyle name="20% - Accent2 2 3 2 3" xfId="1189" xr:uid="{494E4E70-CC49-46AA-9776-9C281D36CC6B}"/>
    <cellStyle name="20% - Accent2 2 3 2 3 2" xfId="1604" xr:uid="{5E27C651-6F43-4576-9A12-3AEC42EC5B2B}"/>
    <cellStyle name="20% - Accent2 2 3 2 3 2 2" xfId="3156" xr:uid="{8D2067C9-5F89-4441-8652-4543A36DAA89}"/>
    <cellStyle name="20% - Accent2 2 3 2 3 2 2 2" xfId="5205" xr:uid="{52264448-DCAC-4A9F-9729-CBD9520F6296}"/>
    <cellStyle name="20% - Accent2 2 3 2 3 2 3" xfId="3939" xr:uid="{C1096164-F5CD-4DC6-BB05-E5FFDC625F66}"/>
    <cellStyle name="20% - Accent2 2 3 2 3 3" xfId="2010" xr:uid="{490A75ED-1A25-4657-A48E-0520585D5097}"/>
    <cellStyle name="20% - Accent2 2 3 2 3 3 2" xfId="4327" xr:uid="{1691FBF5-FE10-4FD4-AF73-2559E28D2500}"/>
    <cellStyle name="20% - Accent2 2 3 2 3 4" xfId="2534" xr:uid="{31FA0D33-B34F-4D5B-BD7C-3040BAE4CACC}"/>
    <cellStyle name="20% - Accent2 2 3 2 3 4 2" xfId="4613" xr:uid="{9713775B-B571-4F81-9679-908121D32A21}"/>
    <cellStyle name="20% - Accent2 2 3 2 3 5" xfId="3551" xr:uid="{519F581E-8757-4022-BD45-55F007371032}"/>
    <cellStyle name="20% - Accent2 2 3 2 4" xfId="959" xr:uid="{1C78D09C-F5CE-4555-B0DF-DCBB725221B7}"/>
    <cellStyle name="20% - Accent2 2 3 2 4 2" xfId="1394" xr:uid="{B3FAB5FF-7066-415A-AEC3-E8693ED70EBB}"/>
    <cellStyle name="20% - Accent2 2 3 2 4 2 2" xfId="2927" xr:uid="{3178FE99-87C2-44AC-924A-0145DC2974F9}"/>
    <cellStyle name="20% - Accent2 2 3 2 4 2 2 2" xfId="4981" xr:uid="{E828316A-C74A-412F-B309-0E0C08CA4A23}"/>
    <cellStyle name="20% - Accent2 2 3 2 4 2 3" xfId="3729" xr:uid="{397AD747-4BE7-4208-9D58-287F43B5BEAD}"/>
    <cellStyle name="20% - Accent2 2 3 2 4 3" xfId="1800" xr:uid="{D687BA1A-DACD-4425-97D8-21D11D5E5C49}"/>
    <cellStyle name="20% - Accent2 2 3 2 4 3 2" xfId="4117" xr:uid="{88063CD0-4E3E-4D32-BF28-7434894EA839}"/>
    <cellStyle name="20% - Accent2 2 3 2 4 4" xfId="2597" xr:uid="{F3B15F10-FC2D-4F68-9D85-A3913F30EA1E}"/>
    <cellStyle name="20% - Accent2 2 3 2 4 4 2" xfId="4668" xr:uid="{AC564CA0-D349-4C9F-AF92-84A9614DD239}"/>
    <cellStyle name="20% - Accent2 2 3 2 4 5" xfId="3341" xr:uid="{45623B3D-CE32-4468-AAED-A1F84282D027}"/>
    <cellStyle name="20% - Accent2 2 3 2 5" xfId="1320" xr:uid="{A27A383B-DD2F-41D1-B1EE-F16325DFA33F}"/>
    <cellStyle name="20% - Accent2 2 3 2 5 2" xfId="2899" xr:uid="{CF06B998-77E3-4450-BA76-4214CA5E4B97}"/>
    <cellStyle name="20% - Accent2 2 3 2 5 2 2" xfId="4953" xr:uid="{5A32E31B-7BAA-4475-98B5-62A9348D4303}"/>
    <cellStyle name="20% - Accent2 2 3 2 5 3" xfId="3656" xr:uid="{008C1C94-E155-4810-AFD7-1FBF35C22D4C}"/>
    <cellStyle name="20% - Accent2 2 3 2 6" xfId="1727" xr:uid="{A8734162-D198-4623-9ACC-3059B5358938}"/>
    <cellStyle name="20% - Accent2 2 3 2 6 2" xfId="4044" xr:uid="{D3BE7BF0-09E0-41F1-8EFB-9AA0F6C033A7}"/>
    <cellStyle name="20% - Accent2 2 3 2 7" xfId="2208" xr:uid="{C971B577-0B07-4897-BDE0-21FAD1598F21}"/>
    <cellStyle name="20% - Accent2 2 3 2 7 2" xfId="4429" xr:uid="{8795A341-6778-4901-98CE-083A2CA4C527}"/>
    <cellStyle name="20% - Accent2 2 3 2 8" xfId="3268" xr:uid="{1F061AA0-B74D-4262-8986-4CD92FF07BBB}"/>
    <cellStyle name="20% - Accent2 2 3 3" xfId="997" xr:uid="{26682E9D-35F8-4D4B-AAD6-D347E4487647}"/>
    <cellStyle name="20% - Accent2 2 3 3 2" xfId="1116" xr:uid="{70B4EF5C-FE7A-49D0-9690-CDC4DDCC44F1}"/>
    <cellStyle name="20% - Accent2 2 3 3 2 2" xfId="1533" xr:uid="{B17067D6-58EB-4E6B-9951-16021F39C793}"/>
    <cellStyle name="20% - Accent2 2 3 3 2 2 2" xfId="3085" xr:uid="{A223F0CD-9B97-459E-BC12-B5061A32937B}"/>
    <cellStyle name="20% - Accent2 2 3 3 2 2 2 2" xfId="5134" xr:uid="{88F54E47-9F39-4934-9A97-B0E6BDEBAE2B}"/>
    <cellStyle name="20% - Accent2 2 3 3 2 2 3" xfId="3868" xr:uid="{487CEC8A-9248-46B6-83C5-8827A1D04BAC}"/>
    <cellStyle name="20% - Accent2 2 3 3 2 3" xfId="1939" xr:uid="{F52ECB97-CBF4-4006-A6A9-F90B8BF9E5C2}"/>
    <cellStyle name="20% - Accent2 2 3 3 2 3 2" xfId="4256" xr:uid="{3BCF869B-70A9-4818-9929-400863A4571F}"/>
    <cellStyle name="20% - Accent2 2 3 3 2 4" xfId="2701" xr:uid="{3A684CC9-19F8-4501-B1D0-8A5DF0D5F2DD}"/>
    <cellStyle name="20% - Accent2 2 3 3 2 4 2" xfId="4771" xr:uid="{A43AAE59-2D93-4324-BFDC-D2677D90DC1E}"/>
    <cellStyle name="20% - Accent2 2 3 3 2 5" xfId="3480" xr:uid="{7BC49EE3-435A-4ACF-9E3E-9405FCB4159E}"/>
    <cellStyle name="20% - Accent2 2 3 3 3" xfId="1227" xr:uid="{2699B83E-9658-49B4-A3D5-3F9AC8FBEC69}"/>
    <cellStyle name="20% - Accent2 2 3 3 3 2" xfId="1638" xr:uid="{AFF81671-0BDB-40E8-BD96-E9B3B8103838}"/>
    <cellStyle name="20% - Accent2 2 3 3 3 2 2" xfId="3190" xr:uid="{E902F207-1A98-427F-997B-395810876215}"/>
    <cellStyle name="20% - Accent2 2 3 3 3 2 2 2" xfId="5239" xr:uid="{6FF4E113-840F-4A92-9831-CDC3D58F76BF}"/>
    <cellStyle name="20% - Accent2 2 3 3 3 2 3" xfId="3973" xr:uid="{252CA31B-82B0-4A94-A801-3C0C7A494696}"/>
    <cellStyle name="20% - Accent2 2 3 3 3 3" xfId="2044" xr:uid="{01A65581-B95B-4609-99A7-E75CB6D8ED95}"/>
    <cellStyle name="20% - Accent2 2 3 3 3 3 2" xfId="4361" xr:uid="{C1F5D4DE-7F66-4D67-8F16-EB7847BAE3E2}"/>
    <cellStyle name="20% - Accent2 2 3 3 3 4" xfId="2779" xr:uid="{592D0579-F6E1-4970-BDCE-94406DC5739C}"/>
    <cellStyle name="20% - Accent2 2 3 3 3 4 2" xfId="4849" xr:uid="{F1F6591C-E50C-4E59-9BD9-87F897D03CB5}"/>
    <cellStyle name="20% - Accent2 2 3 3 3 5" xfId="3585" xr:uid="{6A6495A4-5548-42B2-8BE2-B1EA8A157F4B}"/>
    <cellStyle name="20% - Accent2 2 3 3 4" xfId="1428" xr:uid="{FE40AB08-F9A5-4046-AFF0-3A24D701963A}"/>
    <cellStyle name="20% - Accent2 2 3 3 4 2" xfId="2623" xr:uid="{6525E296-84B6-4EE1-B02C-3145575F976D}"/>
    <cellStyle name="20% - Accent2 2 3 3 4 2 2" xfId="4693" xr:uid="{7246FE07-2562-4194-87CB-555C5880943D}"/>
    <cellStyle name="20% - Accent2 2 3 3 4 3" xfId="3763" xr:uid="{C8070DE0-6954-469C-B74F-84F09C177CDA}"/>
    <cellStyle name="20% - Accent2 2 3 3 5" xfId="1834" xr:uid="{043BFA7E-2231-414F-81BD-E8EB58B846F5}"/>
    <cellStyle name="20% - Accent2 2 3 3 5 2" xfId="2983" xr:uid="{A5E344A0-3E8F-47D3-BE9B-53823B22A37C}"/>
    <cellStyle name="20% - Accent2 2 3 3 5 2 2" xfId="5033" xr:uid="{58C76A55-46AD-4959-9721-5F36BF7C1329}"/>
    <cellStyle name="20% - Accent2 2 3 3 5 3" xfId="4151" xr:uid="{BB6618CE-C892-4819-A357-171E0E153F26}"/>
    <cellStyle name="20% - Accent2 2 3 3 6" xfId="2372" xr:uid="{2A78F448-8EF3-4414-B67C-3A92FBA5B13B}"/>
    <cellStyle name="20% - Accent2 2 3 3 6 2" xfId="4473" xr:uid="{C6CDCD09-E118-4160-9418-F1D85421FACC}"/>
    <cellStyle name="20% - Accent2 2 3 3 7" xfId="3375" xr:uid="{A3E0D551-D034-40E0-924F-0C62A50D4C58}"/>
    <cellStyle name="20% - Accent2 2 3 4" xfId="1046" xr:uid="{B6432373-4493-483D-ACE2-F2206825A447}"/>
    <cellStyle name="20% - Accent2 2 3 4 2" xfId="1464" xr:uid="{99F45D33-8544-4EE1-A6C9-C7BBF9BD4503}"/>
    <cellStyle name="20% - Accent2 2 3 4 2 2" xfId="3016" xr:uid="{AC45A306-5DBF-479B-A0E2-4C9E70D94D78}"/>
    <cellStyle name="20% - Accent2 2 3 4 2 2 2" xfId="5066" xr:uid="{EBCDA878-0D6D-4001-868D-7EB9938A4BFE}"/>
    <cellStyle name="20% - Accent2 2 3 4 2 3" xfId="3799" xr:uid="{E4284C7D-1F0D-4E37-90FB-D512A8958413}"/>
    <cellStyle name="20% - Accent2 2 3 4 3" xfId="1870" xr:uid="{F4862650-F71B-4E89-86BB-7ACB5B35771C}"/>
    <cellStyle name="20% - Accent2 2 3 4 3 2" xfId="4187" xr:uid="{CC70EBDB-C417-4EB9-AF3E-A9913EA9B72F}"/>
    <cellStyle name="20% - Accent2 2 3 4 4" xfId="2446" xr:uid="{C94A9E84-695B-407A-9D84-77A69ED8A8DC}"/>
    <cellStyle name="20% - Accent2 2 3 4 4 2" xfId="4547" xr:uid="{007B4331-F306-4AFA-A916-E65213ECF27A}"/>
    <cellStyle name="20% - Accent2 2 3 4 5" xfId="3411" xr:uid="{334975C5-DCAC-4C41-9F63-4A945C7048D2}"/>
    <cellStyle name="20% - Accent2 2 3 5" xfId="1152" xr:uid="{E920E648-4264-49F1-A843-4D1F59450C46}"/>
    <cellStyle name="20% - Accent2 2 3 5 2" xfId="1569" xr:uid="{D73749AB-A1B7-48B1-A85B-DEA3A17B7D7C}"/>
    <cellStyle name="20% - Accent2 2 3 5 2 2" xfId="3121" xr:uid="{BCEC3BD5-712B-44C1-B382-D2D0FD30418D}"/>
    <cellStyle name="20% - Accent2 2 3 5 2 2 2" xfId="5170" xr:uid="{53C17844-6B67-4CFA-BD9D-E75307483BAA}"/>
    <cellStyle name="20% - Accent2 2 3 5 2 3" xfId="3904" xr:uid="{30BFF181-DA55-41F4-AB14-F4325F2DA66E}"/>
    <cellStyle name="20% - Accent2 2 3 5 3" xfId="1975" xr:uid="{D490001C-18F2-4C4F-AF98-CA16A0F01495}"/>
    <cellStyle name="20% - Accent2 2 3 5 3 2" xfId="4292" xr:uid="{2DD675DE-D6E1-44EA-91FB-1953BF408B95}"/>
    <cellStyle name="20% - Accent2 2 3 5 4" xfId="2737" xr:uid="{7B160C16-0417-4BBC-B8A5-517801A785BE}"/>
    <cellStyle name="20% - Accent2 2 3 5 4 2" xfId="4807" xr:uid="{31877BEB-9BBC-425B-85C2-4BD6F6D5ADFA}"/>
    <cellStyle name="20% - Accent2 2 3 5 5" xfId="3516" xr:uid="{8DEAC9AA-BE30-499F-8A80-0EBD66E86A70}"/>
    <cellStyle name="20% - Accent2 2 3 6" xfId="885" xr:uid="{CCDE5620-73C8-4335-B216-F5770FF66CCB}"/>
    <cellStyle name="20% - Accent2 2 3 6 2" xfId="1358" xr:uid="{F10EC189-3CBA-42A3-8C79-7A8A2AFDAAA7}"/>
    <cellStyle name="20% - Accent2 2 3 6 2 2" xfId="2944" xr:uid="{57785A9A-40F6-4C25-A12F-A9D8A4E19F8C}"/>
    <cellStyle name="20% - Accent2 2 3 6 2 2 2" xfId="4997" xr:uid="{F86D0FC8-E60C-4479-A299-35B4F8B90086}"/>
    <cellStyle name="20% - Accent2 2 3 6 2 3" xfId="3694" xr:uid="{6C383FE0-2952-4D87-BD3A-F25C51D063D1}"/>
    <cellStyle name="20% - Accent2 2 3 6 3" xfId="1765" xr:uid="{E05EE3FA-84DD-464C-8A1E-F1B1EA071CD8}"/>
    <cellStyle name="20% - Accent2 2 3 6 3 2" xfId="4082" xr:uid="{B5E8ADB5-F0A6-4D78-85EF-D2DB9E72ED43}"/>
    <cellStyle name="20% - Accent2 2 3 6 4" xfId="2465" xr:uid="{EE1A0DB4-A820-450F-A7C4-FF5E29EB1E9F}"/>
    <cellStyle name="20% - Accent2 2 3 6 4 2" xfId="4560" xr:uid="{3986DA47-82AA-4C55-A08A-EAB280419ADF}"/>
    <cellStyle name="20% - Accent2 2 3 6 5" xfId="3306" xr:uid="{A0CA7E8C-FFD9-41ED-ACA7-8FEA5F219168}"/>
    <cellStyle name="20% - Accent2 2 3 7" xfId="1264" xr:uid="{32335061-79BD-4379-8CE7-36B1CC2A443C}"/>
    <cellStyle name="20% - Accent2 2 3 7 2" xfId="2828" xr:uid="{7E4BE766-4B7E-4C07-A781-6C8B762007F0}"/>
    <cellStyle name="20% - Accent2 2 3 7 2 2" xfId="4887" xr:uid="{E7104CB4-5DE7-4BD6-A731-21DB49FEC6BB}"/>
    <cellStyle name="20% - Accent2 2 3 7 3" xfId="3622" xr:uid="{4DDFC4F3-59C8-4888-ABA4-63407AA0117B}"/>
    <cellStyle name="20% - Accent2 2 3 8" xfId="1689" xr:uid="{8C9E53A4-2E6D-45FD-9C6D-DE3209C89705}"/>
    <cellStyle name="20% - Accent2 2 3 8 2" xfId="4010" xr:uid="{9B889E25-A677-48C1-B9D5-0A39A67CFF89}"/>
    <cellStyle name="20% - Accent2 2 3 9" xfId="2109" xr:uid="{C72D589C-A2CF-4C4B-B117-3B97F55C47EA}"/>
    <cellStyle name="20% - Accent2 2 3 9 2" xfId="4401" xr:uid="{59EDF9D9-C0F8-4D98-ACB7-3B2A80EF54D5}"/>
    <cellStyle name="20% - Accent2 2 4" xfId="38" xr:uid="{B1E7D8E0-6380-495C-ADF7-B339F5177F3C}"/>
    <cellStyle name="20% - Accent2 2 5" xfId="39" xr:uid="{CA11DF23-7BA0-46E8-8F3D-29476ED89504}"/>
    <cellStyle name="20% - Accent2 2 6" xfId="2241" xr:uid="{DDFB8EAB-931C-40C0-8806-E09D4C65EC65}"/>
    <cellStyle name="20% - Accent2 3" xfId="40" xr:uid="{9B8BA854-11B9-4B35-8BED-199B84199062}"/>
    <cellStyle name="20% - Accent2 4" xfId="41" xr:uid="{5F233C4A-A486-4082-9FA4-038B722B615F}"/>
    <cellStyle name="20% - Accent3 2" xfId="42" xr:uid="{60381F51-208F-4091-A978-7EC4036030E0}"/>
    <cellStyle name="20% - Accent3 2 2" xfId="43" xr:uid="{0D973BDD-8E0D-4700-9779-8D8B65EF1213}"/>
    <cellStyle name="20% - Accent3 2 3" xfId="44" xr:uid="{7867A2E0-D058-4A75-A19F-BC1716394D42}"/>
    <cellStyle name="20% - Accent3 2 3 10" xfId="3235" xr:uid="{66C762E3-64D2-46CA-B239-8F67462D1017}"/>
    <cellStyle name="20% - Accent3 2 3 2" xfId="813" xr:uid="{1DEA287A-9BDF-45F0-BB9F-A08C9EDD9343}"/>
    <cellStyle name="20% - Accent3 2 3 2 2" xfId="1083" xr:uid="{2FAE57BF-845B-416A-92D0-CBEE3CF161F9}"/>
    <cellStyle name="20% - Accent3 2 3 2 2 2" xfId="1500" xr:uid="{9E4B417B-C9C6-4A5B-8358-BD6DD78E583A}"/>
    <cellStyle name="20% - Accent3 2 3 2 2 2 2" xfId="2669" xr:uid="{C897EE98-8774-4065-AA5A-33D6B6B5AE6A}"/>
    <cellStyle name="20% - Accent3 2 3 2 2 2 2 2" xfId="4739" xr:uid="{91309EEA-840A-4819-AA52-E1BB78B52871}"/>
    <cellStyle name="20% - Accent3 2 3 2 2 2 3" xfId="3835" xr:uid="{47AE4892-AEE3-4BC8-B89C-132EDBBF37A2}"/>
    <cellStyle name="20% - Accent3 2 3 2 2 3" xfId="1906" xr:uid="{A3C52E84-6D61-40D4-8A35-03BBC4A64B68}"/>
    <cellStyle name="20% - Accent3 2 3 2 2 3 2" xfId="3052" xr:uid="{4E6D060B-C076-41ED-A1D4-333B5C3A75C4}"/>
    <cellStyle name="20% - Accent3 2 3 2 2 3 2 2" xfId="5101" xr:uid="{3DFE3C2D-A740-41E2-85EC-B133AA78FA65}"/>
    <cellStyle name="20% - Accent3 2 3 2 2 3 3" xfId="4223" xr:uid="{5F289AC5-3D68-496C-B837-8A1C3E248760}"/>
    <cellStyle name="20% - Accent3 2 3 2 2 4" xfId="2401" xr:uid="{3F35A479-9B94-4A13-9067-946CA689E954}"/>
    <cellStyle name="20% - Accent3 2 3 2 2 4 2" xfId="4502" xr:uid="{9FF6EF6F-C9DF-4630-8682-0EBAD000E454}"/>
    <cellStyle name="20% - Accent3 2 3 2 2 5" xfId="3447" xr:uid="{843EA508-A188-48DD-B301-A893CB509364}"/>
    <cellStyle name="20% - Accent3 2 3 2 3" xfId="1190" xr:uid="{C59D0A11-0618-4713-B0FC-00608D7CA946}"/>
    <cellStyle name="20% - Accent3 2 3 2 3 2" xfId="1605" xr:uid="{D4FB766C-43B0-4E20-B226-F5CEFE333013}"/>
    <cellStyle name="20% - Accent3 2 3 2 3 2 2" xfId="3157" xr:uid="{F8CF3078-1E5F-4684-90B1-A9F4CF3BB108}"/>
    <cellStyle name="20% - Accent3 2 3 2 3 2 2 2" xfId="5206" xr:uid="{ACDCB570-4F24-45EB-B07C-90EFABBB1AE8}"/>
    <cellStyle name="20% - Accent3 2 3 2 3 2 3" xfId="3940" xr:uid="{DE7473D6-327F-4C55-8008-E0FE91AE4B96}"/>
    <cellStyle name="20% - Accent3 2 3 2 3 3" xfId="2011" xr:uid="{2DF307FA-330B-40C3-8957-68FB8903C906}"/>
    <cellStyle name="20% - Accent3 2 3 2 3 3 2" xfId="4328" xr:uid="{D6BA0A6B-D22E-49CF-99D7-3AFCA922EBFB}"/>
    <cellStyle name="20% - Accent3 2 3 2 3 4" xfId="2535" xr:uid="{6262F1CA-4478-4313-AC00-B81237995095}"/>
    <cellStyle name="20% - Accent3 2 3 2 3 4 2" xfId="4614" xr:uid="{28624AB5-5625-491A-9BC1-0BD7193E1751}"/>
    <cellStyle name="20% - Accent3 2 3 2 3 5" xfId="3552" xr:uid="{AA0CBBE6-38DD-4A21-A884-BE146F44DEAE}"/>
    <cellStyle name="20% - Accent3 2 3 2 4" xfId="960" xr:uid="{6077CEBF-68FE-49B4-A400-20602514B310}"/>
    <cellStyle name="20% - Accent3 2 3 2 4 2" xfId="1395" xr:uid="{363BF6C6-A125-4272-8A8B-E02944519B5D}"/>
    <cellStyle name="20% - Accent3 2 3 2 4 2 2" xfId="2850" xr:uid="{FD6DA41D-00CB-41B0-9F75-CB7FC24DA241}"/>
    <cellStyle name="20% - Accent3 2 3 2 4 2 2 2" xfId="4907" xr:uid="{CE300323-DF81-4018-A670-F276C01CEB54}"/>
    <cellStyle name="20% - Accent3 2 3 2 4 2 3" xfId="3730" xr:uid="{229DB54F-CC4C-4F3E-89ED-AA7B220EF3B9}"/>
    <cellStyle name="20% - Accent3 2 3 2 4 3" xfId="1801" xr:uid="{55E60B74-A907-46FF-A2C0-C62B47A4235E}"/>
    <cellStyle name="20% - Accent3 2 3 2 4 3 2" xfId="4118" xr:uid="{A11C80DA-A954-46CA-BBCB-35D7FA20CAE3}"/>
    <cellStyle name="20% - Accent3 2 3 2 4 4" xfId="2475" xr:uid="{395F5C87-E33F-48A0-A4E6-780FF8AD5BDC}"/>
    <cellStyle name="20% - Accent3 2 3 2 4 4 2" xfId="4569" xr:uid="{41F98067-03B0-4D39-9082-0FC0924E2BC7}"/>
    <cellStyle name="20% - Accent3 2 3 2 4 5" xfId="3342" xr:uid="{C1BFCAC6-BF02-44EE-8BC3-C32A05A5A94E}"/>
    <cellStyle name="20% - Accent3 2 3 2 5" xfId="1321" xr:uid="{33B5017D-240B-41EB-B722-28416F989D5B}"/>
    <cellStyle name="20% - Accent3 2 3 2 5 2" xfId="2900" xr:uid="{3D75AC39-9013-45F8-AE50-0B6FC855AD96}"/>
    <cellStyle name="20% - Accent3 2 3 2 5 2 2" xfId="4954" xr:uid="{4AEB0B18-A9CD-439D-9A81-861263D911F6}"/>
    <cellStyle name="20% - Accent3 2 3 2 5 3" xfId="3657" xr:uid="{6A3E36FF-C41C-406F-930C-FFF972CA8A9F}"/>
    <cellStyle name="20% - Accent3 2 3 2 6" xfId="1728" xr:uid="{BE8E2A50-8F79-4856-BED1-675B23B15DBC}"/>
    <cellStyle name="20% - Accent3 2 3 2 6 2" xfId="4045" xr:uid="{A57A5280-47EA-40BD-A547-13EE1C35766C}"/>
    <cellStyle name="20% - Accent3 2 3 2 7" xfId="2209" xr:uid="{765AF4CC-A62B-4941-8D84-1A126E0633A2}"/>
    <cellStyle name="20% - Accent3 2 3 2 7 2" xfId="4430" xr:uid="{92DEC926-EB28-4791-862D-68F88DE02C78}"/>
    <cellStyle name="20% - Accent3 2 3 2 8" xfId="3269" xr:uid="{1D8D403C-8C23-4487-93B9-71C7FEB91E05}"/>
    <cellStyle name="20% - Accent3 2 3 3" xfId="998" xr:uid="{530CCCDD-B345-4DDE-BABA-B7563B152B23}"/>
    <cellStyle name="20% - Accent3 2 3 3 2" xfId="1117" xr:uid="{B06C61D9-BF71-40AF-9C80-526882FBA150}"/>
    <cellStyle name="20% - Accent3 2 3 3 2 2" xfId="1534" xr:uid="{F918784F-CC5D-405D-94D6-9A9D0F9C8C73}"/>
    <cellStyle name="20% - Accent3 2 3 3 2 2 2" xfId="3086" xr:uid="{4F06D687-6BE0-4298-9464-000AABE1300A}"/>
    <cellStyle name="20% - Accent3 2 3 3 2 2 2 2" xfId="5135" xr:uid="{32FD15E7-FA87-4831-9A85-10910C023766}"/>
    <cellStyle name="20% - Accent3 2 3 3 2 2 3" xfId="3869" xr:uid="{0CF50634-1310-44FC-A7A5-5149FDAEA0A4}"/>
    <cellStyle name="20% - Accent3 2 3 3 2 3" xfId="1940" xr:uid="{086C32E7-9E4C-4892-93BD-B67DF0CCA5E4}"/>
    <cellStyle name="20% - Accent3 2 3 3 2 3 2" xfId="4257" xr:uid="{853C88DA-903C-4C6D-9890-096014A7F5CD}"/>
    <cellStyle name="20% - Accent3 2 3 3 2 4" xfId="2702" xr:uid="{1310C586-D19D-47DA-A7FC-F101116BCD07}"/>
    <cellStyle name="20% - Accent3 2 3 3 2 4 2" xfId="4772" xr:uid="{993E2585-CB6F-441F-A487-EDA496A44FC8}"/>
    <cellStyle name="20% - Accent3 2 3 3 2 5" xfId="3481" xr:uid="{80019723-2A90-41AE-A0E7-B083C8CAEDBD}"/>
    <cellStyle name="20% - Accent3 2 3 3 3" xfId="1228" xr:uid="{3F8A04E9-451E-4029-B6E5-D55F9A58C52F}"/>
    <cellStyle name="20% - Accent3 2 3 3 3 2" xfId="1639" xr:uid="{2E398CEF-190C-4C0D-AB5A-A585BACB973F}"/>
    <cellStyle name="20% - Accent3 2 3 3 3 2 2" xfId="3191" xr:uid="{A868388B-4678-437F-99A5-EFB2244F3CD2}"/>
    <cellStyle name="20% - Accent3 2 3 3 3 2 2 2" xfId="5240" xr:uid="{69E354DA-B3A5-4978-98E9-3AB7E35F18B9}"/>
    <cellStyle name="20% - Accent3 2 3 3 3 2 3" xfId="3974" xr:uid="{979660DB-AB1D-4584-8A19-284D90A5F72E}"/>
    <cellStyle name="20% - Accent3 2 3 3 3 3" xfId="2045" xr:uid="{89CE2D6C-47B7-485D-9BDB-DA2E63901532}"/>
    <cellStyle name="20% - Accent3 2 3 3 3 3 2" xfId="4362" xr:uid="{E14DC840-94D4-4F75-8AD7-1C0B0B370EB0}"/>
    <cellStyle name="20% - Accent3 2 3 3 3 4" xfId="2780" xr:uid="{83D7C563-DC71-4380-B599-EC8EBE1DFBB0}"/>
    <cellStyle name="20% - Accent3 2 3 3 3 4 2" xfId="4850" xr:uid="{078B4816-75CC-4E88-8CA5-8205A6FE172B}"/>
    <cellStyle name="20% - Accent3 2 3 3 3 5" xfId="3586" xr:uid="{AE3DF240-0164-4186-9E28-A12710F7FBD8}"/>
    <cellStyle name="20% - Accent3 2 3 3 4" xfId="1429" xr:uid="{46322E9B-6B94-4B3D-8911-6BE5E22B7FAD}"/>
    <cellStyle name="20% - Accent3 2 3 3 4 2" xfId="2624" xr:uid="{8E4E07F9-DD5B-413C-B76B-0D947E89B327}"/>
    <cellStyle name="20% - Accent3 2 3 3 4 2 2" xfId="4694" xr:uid="{D5434220-D756-4FFA-B641-E7387A92E3D8}"/>
    <cellStyle name="20% - Accent3 2 3 3 4 3" xfId="3764" xr:uid="{88F794F9-8E65-40F6-8837-360E82F6A1DC}"/>
    <cellStyle name="20% - Accent3 2 3 3 5" xfId="1835" xr:uid="{A754006B-0356-4DFC-B050-64577E29257E}"/>
    <cellStyle name="20% - Accent3 2 3 3 5 2" xfId="2984" xr:uid="{7704928B-AE90-4A2E-905C-A8EF5C7438F8}"/>
    <cellStyle name="20% - Accent3 2 3 3 5 2 2" xfId="5034" xr:uid="{D8E43D8E-A692-4141-85AD-9A84696AD517}"/>
    <cellStyle name="20% - Accent3 2 3 3 5 3" xfId="4152" xr:uid="{FFD1F40E-A92F-4D37-9AA3-34753CE0D0DD}"/>
    <cellStyle name="20% - Accent3 2 3 3 6" xfId="2373" xr:uid="{13A8B3F7-F28E-4317-A8D1-9380CDB53737}"/>
    <cellStyle name="20% - Accent3 2 3 3 6 2" xfId="4474" xr:uid="{381C520D-F190-4911-BB99-6847F5B2268F}"/>
    <cellStyle name="20% - Accent3 2 3 3 7" xfId="3376" xr:uid="{D20C9DE2-974C-4449-ACEC-C06ECC1AE32B}"/>
    <cellStyle name="20% - Accent3 2 3 4" xfId="1048" xr:uid="{912D1978-D8C2-47B8-B334-A4D10206F65C}"/>
    <cellStyle name="20% - Accent3 2 3 4 2" xfId="1465" xr:uid="{CE68E23E-3AAA-4E3F-9ABA-EA026385BBE4}"/>
    <cellStyle name="20% - Accent3 2 3 4 2 2" xfId="3017" xr:uid="{010F0F93-5AA7-4AF4-9581-A6EF66BA561F}"/>
    <cellStyle name="20% - Accent3 2 3 4 2 2 2" xfId="5067" xr:uid="{5B495591-0C71-4EA3-8E85-A0B0ABD9B613}"/>
    <cellStyle name="20% - Accent3 2 3 4 2 3" xfId="3800" xr:uid="{9EE7F178-7A6A-4EA2-95AC-88A91A886127}"/>
    <cellStyle name="20% - Accent3 2 3 4 3" xfId="1871" xr:uid="{31930A49-9F76-4B45-9FF8-E8C8B018EB07}"/>
    <cellStyle name="20% - Accent3 2 3 4 3 2" xfId="4188" xr:uid="{2D48766D-2435-4F48-A0A2-5C3590E4A67C}"/>
    <cellStyle name="20% - Accent3 2 3 4 4" xfId="2447" xr:uid="{C3DCD934-47D2-4D0E-85D8-C10CA1CBD225}"/>
    <cellStyle name="20% - Accent3 2 3 4 4 2" xfId="4548" xr:uid="{6E4B779E-3AB1-46C8-8082-1BC0803F0DD2}"/>
    <cellStyle name="20% - Accent3 2 3 4 5" xfId="3412" xr:uid="{2E83FB52-6272-4499-997E-B5A89C81B8C3}"/>
    <cellStyle name="20% - Accent3 2 3 5" xfId="1153" xr:uid="{E569AAB5-9DBA-4ADC-ADCE-5027F1610325}"/>
    <cellStyle name="20% - Accent3 2 3 5 2" xfId="1570" xr:uid="{1C1CA8BE-7170-4E98-955E-66893F5160CA}"/>
    <cellStyle name="20% - Accent3 2 3 5 2 2" xfId="3122" xr:uid="{EA51232F-EB75-42DE-B12D-4747E7B12179}"/>
    <cellStyle name="20% - Accent3 2 3 5 2 2 2" xfId="5171" xr:uid="{D2970DB1-3EB0-46B7-AB3B-D445D132D9DA}"/>
    <cellStyle name="20% - Accent3 2 3 5 2 3" xfId="3905" xr:uid="{250B28C7-E958-468A-AD69-FAE88EF67761}"/>
    <cellStyle name="20% - Accent3 2 3 5 3" xfId="1976" xr:uid="{EC577370-95B9-4439-A988-9CA9EAD0539C}"/>
    <cellStyle name="20% - Accent3 2 3 5 3 2" xfId="4293" xr:uid="{1FE572C8-1858-4234-8ABE-8DA6B84CFC2A}"/>
    <cellStyle name="20% - Accent3 2 3 5 4" xfId="2738" xr:uid="{CDF38DA1-CCA1-4B5B-8B4A-655C83747DBF}"/>
    <cellStyle name="20% - Accent3 2 3 5 4 2" xfId="4808" xr:uid="{4E3D72EA-B9DA-42AE-A415-41BCA7FF46CD}"/>
    <cellStyle name="20% - Accent3 2 3 5 5" xfId="3517" xr:uid="{D604F241-967B-401B-91C9-33C7FD183539}"/>
    <cellStyle name="20% - Accent3 2 3 6" xfId="891" xr:uid="{5B98D392-2090-43FE-8160-3453879C9B9D}"/>
    <cellStyle name="20% - Accent3 2 3 6 2" xfId="1359" xr:uid="{D41F99C4-01F5-4B5A-8A37-8F62D1C8DC4E}"/>
    <cellStyle name="20% - Accent3 2 3 6 2 2" xfId="2933" xr:uid="{42758B13-97ED-4DA7-B447-8D6371012650}"/>
    <cellStyle name="20% - Accent3 2 3 6 2 2 2" xfId="4987" xr:uid="{8594B5AC-EBA7-44CE-BA02-678B75B89633}"/>
    <cellStyle name="20% - Accent3 2 3 6 2 3" xfId="3695" xr:uid="{570CB3CF-D5C0-4711-AB75-FB2D7749A2ED}"/>
    <cellStyle name="20% - Accent3 2 3 6 3" xfId="1766" xr:uid="{7A068684-418F-4E15-AC54-C6500240CC2E}"/>
    <cellStyle name="20% - Accent3 2 3 6 3 2" xfId="4083" xr:uid="{917A0A75-CDA9-42EC-8048-604334314BDB}"/>
    <cellStyle name="20% - Accent3 2 3 6 4" xfId="2511" xr:uid="{C09EAB23-6E4B-45F4-9AAC-A4958D5FA1B8}"/>
    <cellStyle name="20% - Accent3 2 3 6 4 2" xfId="4594" xr:uid="{1683EB3F-8966-43B1-A98E-FF22CA2F229C}"/>
    <cellStyle name="20% - Accent3 2 3 6 5" xfId="3307" xr:uid="{22711104-A2B2-4C16-AF5C-9C03FCD94958}"/>
    <cellStyle name="20% - Accent3 2 3 7" xfId="1265" xr:uid="{DDB1AEF1-D32F-4C1C-BB05-22C607411776}"/>
    <cellStyle name="20% - Accent3 2 3 7 2" xfId="2829" xr:uid="{9EE3FDCF-F6C7-4768-A0FF-0F45C4555F90}"/>
    <cellStyle name="20% - Accent3 2 3 7 2 2" xfId="4888" xr:uid="{36CFB190-A475-4AD8-B5D2-EB5C0EF8BE8B}"/>
    <cellStyle name="20% - Accent3 2 3 7 3" xfId="3623" xr:uid="{804953FC-6E3B-4797-8442-AA1F7755F3FC}"/>
    <cellStyle name="20% - Accent3 2 3 8" xfId="1690" xr:uid="{2ADAF0EE-01DE-4C5C-8F8C-52BD12932392}"/>
    <cellStyle name="20% - Accent3 2 3 8 2" xfId="4011" xr:uid="{62545B76-9870-42D2-BA4A-E620E3AAFA6B}"/>
    <cellStyle name="20% - Accent3 2 3 9" xfId="2110" xr:uid="{E69C23C4-C583-40D8-8CB9-350929407121}"/>
    <cellStyle name="20% - Accent3 2 3 9 2" xfId="4402" xr:uid="{9A2E5793-134A-4B3D-9CDF-CB28FDA1AF30}"/>
    <cellStyle name="20% - Accent3 2 4" xfId="45" xr:uid="{80C4C1BF-5DD0-41A8-868D-776015EE4165}"/>
    <cellStyle name="20% - Accent3 2 5" xfId="46" xr:uid="{37905357-5137-49FD-A896-4A26F7F9B244}"/>
    <cellStyle name="20% - Accent3 2 6" xfId="2242" xr:uid="{C41BA59B-43EC-4F94-8A36-5361A76425A8}"/>
    <cellStyle name="20% - Accent3 3" xfId="47" xr:uid="{8A075341-5CAB-4315-87DA-9AD0FCF62BA4}"/>
    <cellStyle name="20% - Accent3 4" xfId="48" xr:uid="{4980366D-3302-4564-BB4A-87CA0907E3EC}"/>
    <cellStyle name="20% - Accent4 2" xfId="49" xr:uid="{89503715-D5A5-432A-8CC3-384B55B64495}"/>
    <cellStyle name="20% - Accent4 2 2" xfId="50" xr:uid="{ED132E0A-8A97-476A-A975-FF6ACA4CC00C}"/>
    <cellStyle name="20% - Accent4 2 2 2" xfId="2243" xr:uid="{05CD9327-84B0-43D6-8EDC-36756F525567}"/>
    <cellStyle name="20% - Accent4 2 2 3" xfId="2111" xr:uid="{A6888B97-90F2-42A9-846B-890835C26DFE}"/>
    <cellStyle name="20% - Accent4 2 3" xfId="51" xr:uid="{CEE13EA0-541B-4C8E-86D0-53F140F95304}"/>
    <cellStyle name="20% - Accent4 2 3 10" xfId="3236" xr:uid="{B6C5610A-198B-46FE-A53D-15D0E383BA54}"/>
    <cellStyle name="20% - Accent4 2 3 2" xfId="814" xr:uid="{5B7F73E2-8071-41FF-958F-24F984E536BE}"/>
    <cellStyle name="20% - Accent4 2 3 2 2" xfId="1084" xr:uid="{F13EE555-5748-40D3-AF37-A3755A5156A5}"/>
    <cellStyle name="20% - Accent4 2 3 2 2 2" xfId="1501" xr:uid="{52E2ED36-806E-403C-9D99-BEECF3451FEB}"/>
    <cellStyle name="20% - Accent4 2 3 2 2 2 2" xfId="2670" xr:uid="{CC926D0D-AB0F-4BFC-AF65-29A9FE4D2B79}"/>
    <cellStyle name="20% - Accent4 2 3 2 2 2 2 2" xfId="4740" xr:uid="{D1A6B8E7-BA25-4CDA-B8B6-0B0FA82B3B6E}"/>
    <cellStyle name="20% - Accent4 2 3 2 2 2 3" xfId="3836" xr:uid="{E7CC5436-BEDF-49A5-B53B-D46D82229C52}"/>
    <cellStyle name="20% - Accent4 2 3 2 2 3" xfId="1907" xr:uid="{C9A9578C-7612-4F06-B280-1E0B725061F1}"/>
    <cellStyle name="20% - Accent4 2 3 2 2 3 2" xfId="3053" xr:uid="{EF436A2F-3914-4CA8-85E0-1F68F9BE9238}"/>
    <cellStyle name="20% - Accent4 2 3 2 2 3 2 2" xfId="5102" xr:uid="{7AB4C143-93E2-4C65-A0E6-7B0FC12F4FC1}"/>
    <cellStyle name="20% - Accent4 2 3 2 2 3 3" xfId="4224" xr:uid="{2A10E84D-A179-47A8-8D12-0291DC58FA13}"/>
    <cellStyle name="20% - Accent4 2 3 2 2 4" xfId="2402" xr:uid="{AF768DF0-8A21-4807-8925-A2A33ACFE411}"/>
    <cellStyle name="20% - Accent4 2 3 2 2 4 2" xfId="4503" xr:uid="{44C43B31-C8AC-44DC-B99C-9005B1B980D6}"/>
    <cellStyle name="20% - Accent4 2 3 2 2 5" xfId="3448" xr:uid="{9EDBD66E-C33D-45F4-A2B2-0358E726F487}"/>
    <cellStyle name="20% - Accent4 2 3 2 3" xfId="1191" xr:uid="{8088FCA5-E280-447F-BCF0-DCCAED4A4B1E}"/>
    <cellStyle name="20% - Accent4 2 3 2 3 2" xfId="1606" xr:uid="{F805AA1D-76E2-4DD5-95CC-151EA38C11D0}"/>
    <cellStyle name="20% - Accent4 2 3 2 3 2 2" xfId="2771" xr:uid="{2D043C7A-3991-424C-BF31-EA4D8B15EC69}"/>
    <cellStyle name="20% - Accent4 2 3 2 3 2 2 2" xfId="4841" xr:uid="{4AAA9332-36DD-484B-90AE-B93997645BA2}"/>
    <cellStyle name="20% - Accent4 2 3 2 3 2 3" xfId="3941" xr:uid="{A1D17329-A34B-43F9-8BC8-722768F82A51}"/>
    <cellStyle name="20% - Accent4 2 3 2 3 3" xfId="2012" xr:uid="{81668EF0-815E-4FFE-B993-E4D28218F21F}"/>
    <cellStyle name="20% - Accent4 2 3 2 3 3 2" xfId="3158" xr:uid="{72A0BF21-88F5-4F4D-9C55-7C981A7705D0}"/>
    <cellStyle name="20% - Accent4 2 3 2 3 3 2 2" xfId="5207" xr:uid="{E400F6AE-3D1C-40C5-ADC7-39259B67715F}"/>
    <cellStyle name="20% - Accent4 2 3 2 3 3 3" xfId="4329" xr:uid="{F7C71741-5B8F-4C4B-A168-E190C00F8E43}"/>
    <cellStyle name="20% - Accent4 2 3 2 3 4" xfId="2536" xr:uid="{9558A75B-726E-4A12-9D79-5F38C60A2B91}"/>
    <cellStyle name="20% - Accent4 2 3 2 3 4 2" xfId="4615" xr:uid="{71C3ADD5-F57C-4255-8AE8-9D14866399B5}"/>
    <cellStyle name="20% - Accent4 2 3 2 3 5" xfId="3553" xr:uid="{71A2361A-1553-4FD5-A7D4-A5C1D48F9878}"/>
    <cellStyle name="20% - Accent4 2 3 2 4" xfId="961" xr:uid="{F93E8D48-3814-40F7-9EA6-8B79320C0E3A}"/>
    <cellStyle name="20% - Accent4 2 3 2 4 2" xfId="1396" xr:uid="{D715C31A-EB13-4994-A218-BAF60000A88C}"/>
    <cellStyle name="20% - Accent4 2 3 2 4 2 2" xfId="2893" xr:uid="{4CC4B54A-581C-4C7B-88D5-4FD5F50237EA}"/>
    <cellStyle name="20% - Accent4 2 3 2 4 2 2 2" xfId="4947" xr:uid="{00A2F053-65FB-40CE-B158-29AA43CC119B}"/>
    <cellStyle name="20% - Accent4 2 3 2 4 2 3" xfId="3731" xr:uid="{4594953A-2E1F-4728-A0D4-B3B765090B42}"/>
    <cellStyle name="20% - Accent4 2 3 2 4 3" xfId="1802" xr:uid="{9A01CEB0-B556-4E60-AAA1-9B122EBF5BEB}"/>
    <cellStyle name="20% - Accent4 2 3 2 4 3 2" xfId="4119" xr:uid="{8BBB3A59-38EF-43BE-86FE-780ABC82FD60}"/>
    <cellStyle name="20% - Accent4 2 3 2 4 4" xfId="2524" xr:uid="{F57E5C9E-2E86-4E12-9E8D-FB380E2B3918}"/>
    <cellStyle name="20% - Accent4 2 3 2 4 4 2" xfId="4604" xr:uid="{1AE9F496-D59B-4131-B620-F42822D9D472}"/>
    <cellStyle name="20% - Accent4 2 3 2 4 5" xfId="3343" xr:uid="{EBCBFDE6-8575-4CF5-B9EC-CC952C6790BF}"/>
    <cellStyle name="20% - Accent4 2 3 2 5" xfId="1322" xr:uid="{90DD49E6-9F3B-4C4B-8552-04F834A8F26D}"/>
    <cellStyle name="20% - Accent4 2 3 2 5 2" xfId="2565" xr:uid="{FA279E38-A9A5-46D8-9273-B20B5D1D2311}"/>
    <cellStyle name="20% - Accent4 2 3 2 5 2 2" xfId="4642" xr:uid="{2283AAAD-BDF4-4422-8A8B-F4A92C873244}"/>
    <cellStyle name="20% - Accent4 2 3 2 5 3" xfId="3658" xr:uid="{25179758-5BCC-4B64-BD90-5FA3391EBC15}"/>
    <cellStyle name="20% - Accent4 2 3 2 6" xfId="1729" xr:uid="{2C7FA6D8-A70B-46F8-9357-424CA854630E}"/>
    <cellStyle name="20% - Accent4 2 3 2 6 2" xfId="2901" xr:uid="{0E54E57F-9191-4302-AE1B-5F757A78A351}"/>
    <cellStyle name="20% - Accent4 2 3 2 6 2 2" xfId="4955" xr:uid="{8346A7E6-89F4-44E5-9728-824B063A1F93}"/>
    <cellStyle name="20% - Accent4 2 3 2 6 3" xfId="4046" xr:uid="{13C3DD09-E1A4-4104-A0D3-DCBF1FBDFE24}"/>
    <cellStyle name="20% - Accent4 2 3 2 7" xfId="2823" xr:uid="{1B09CC10-2D5C-4AC8-8E79-08F8B91C4103}"/>
    <cellStyle name="20% - Accent4 2 3 2 7 2" xfId="4882" xr:uid="{29EA6BFC-7916-4C67-8808-8CCFCCB410D4}"/>
    <cellStyle name="20% - Accent4 2 3 2 8" xfId="2210" xr:uid="{B4F9E13C-CFE4-488E-A909-BEB1C8647309}"/>
    <cellStyle name="20% - Accent4 2 3 2 8 2" xfId="4431" xr:uid="{DEC84E3E-DACA-44BC-9752-AA3920959809}"/>
    <cellStyle name="20% - Accent4 2 3 2 9" xfId="3270" xr:uid="{6929E783-1D0B-48F9-8EB8-C0D6513B6B32}"/>
    <cellStyle name="20% - Accent4 2 3 3" xfId="999" xr:uid="{E7C9CFB4-0713-4A0A-8CDA-1984A4F11EC3}"/>
    <cellStyle name="20% - Accent4 2 3 3 2" xfId="1118" xr:uid="{26B9C442-2BBB-4949-A411-D7D891FA31B7}"/>
    <cellStyle name="20% - Accent4 2 3 3 2 2" xfId="1535" xr:uid="{70727266-0005-4EF2-9A2E-677EC2797690}"/>
    <cellStyle name="20% - Accent4 2 3 3 2 2 2" xfId="2703" xr:uid="{3CC743D2-D342-4879-9815-DB451E16C30E}"/>
    <cellStyle name="20% - Accent4 2 3 3 2 2 2 2" xfId="4773" xr:uid="{C3D9F706-2D66-4BDD-AB7A-986BDC79EB39}"/>
    <cellStyle name="20% - Accent4 2 3 3 2 2 3" xfId="3870" xr:uid="{E6ECCEA7-AB49-4A22-953F-1C9E8FAF135C}"/>
    <cellStyle name="20% - Accent4 2 3 3 2 3" xfId="1941" xr:uid="{6FEC3ABF-2D14-4FDC-8A07-796F5149B665}"/>
    <cellStyle name="20% - Accent4 2 3 3 2 3 2" xfId="3087" xr:uid="{56296B8D-7F82-4CD2-AB12-C0038724527D}"/>
    <cellStyle name="20% - Accent4 2 3 3 2 3 2 2" xfId="5136" xr:uid="{9E6E3242-8CAA-4B45-ABE5-0D394366B295}"/>
    <cellStyle name="20% - Accent4 2 3 3 2 3 3" xfId="4258" xr:uid="{54F20047-4EDD-4CC8-9B27-6CC0E48F2A7C}"/>
    <cellStyle name="20% - Accent4 2 3 3 2 4" xfId="2427" xr:uid="{1ACC0C41-6E54-4DFE-9AE8-BFE54A90223C}"/>
    <cellStyle name="20% - Accent4 2 3 3 2 4 2" xfId="4528" xr:uid="{3F633BBB-72EF-4EC6-A1A0-82B24394BA3E}"/>
    <cellStyle name="20% - Accent4 2 3 3 2 5" xfId="3482" xr:uid="{4CC4A0C8-F6E8-40B7-A480-73E59E0FC07A}"/>
    <cellStyle name="20% - Accent4 2 3 3 3" xfId="1229" xr:uid="{420EC831-B6A6-45C8-B000-779543F8A6EA}"/>
    <cellStyle name="20% - Accent4 2 3 3 3 2" xfId="1640" xr:uid="{67C77B2A-578F-40AC-AB1E-53D82C62A5B4}"/>
    <cellStyle name="20% - Accent4 2 3 3 3 2 2" xfId="3192" xr:uid="{F42A11B2-FC1D-4BF9-A603-A20275DABE13}"/>
    <cellStyle name="20% - Accent4 2 3 3 3 2 2 2" xfId="5241" xr:uid="{D97E71A1-E03B-46A4-B6C1-4A9440EE8D07}"/>
    <cellStyle name="20% - Accent4 2 3 3 3 2 3" xfId="3975" xr:uid="{79E9FF09-4B91-491C-9523-81BE4B6008E8}"/>
    <cellStyle name="20% - Accent4 2 3 3 3 3" xfId="2046" xr:uid="{79FAFB16-CD6D-469C-96D3-8B8005047214}"/>
    <cellStyle name="20% - Accent4 2 3 3 3 3 2" xfId="4363" xr:uid="{0EC434E2-391E-432A-8FCF-40E579B41529}"/>
    <cellStyle name="20% - Accent4 2 3 3 3 4" xfId="2561" xr:uid="{6A34ECD7-1923-403C-96FD-D60080BA5DAD}"/>
    <cellStyle name="20% - Accent4 2 3 3 3 4 2" xfId="4640" xr:uid="{30BA92F9-0E07-43B9-95E8-A18A4FC31B7F}"/>
    <cellStyle name="20% - Accent4 2 3 3 3 5" xfId="3587" xr:uid="{4104EDBB-7C3D-4FA4-8E34-EFA4F2ABA417}"/>
    <cellStyle name="20% - Accent4 2 3 3 4" xfId="1430" xr:uid="{50D51706-0C3E-483E-86CA-656694F203FE}"/>
    <cellStyle name="20% - Accent4 2 3 3 4 2" xfId="2929" xr:uid="{DC4B6F7E-729F-4027-B96A-47ECCA89DEE0}"/>
    <cellStyle name="20% - Accent4 2 3 3 4 2 2" xfId="4983" xr:uid="{2D9588F2-FBFD-42E4-A7C4-BF00D1F133B6}"/>
    <cellStyle name="20% - Accent4 2 3 3 4 3" xfId="3765" xr:uid="{2E29D3B9-8464-4878-8386-CA3FFD1885E7}"/>
    <cellStyle name="20% - Accent4 2 3 3 5" xfId="1836" xr:uid="{DB7FAA1C-927B-4523-A598-DE0992817C2A}"/>
    <cellStyle name="20% - Accent4 2 3 3 5 2" xfId="4153" xr:uid="{E8D18CCD-7EFD-42D7-B1B3-0ED68E036D02}"/>
    <cellStyle name="20% - Accent4 2 3 3 6" xfId="2244" xr:uid="{F2F67500-E7FA-4298-B113-5935F4DF51AD}"/>
    <cellStyle name="20% - Accent4 2 3 3 6 2" xfId="4456" xr:uid="{A0890D29-143A-4418-8007-DBA047E1FC11}"/>
    <cellStyle name="20% - Accent4 2 3 3 7" xfId="3377" xr:uid="{530AD5D1-8ABE-4A05-9EC7-88D63CB23775}"/>
    <cellStyle name="20% - Accent4 2 3 4" xfId="1055" xr:uid="{D3090E08-FC2D-4AAB-B7C3-4F00F1329D5F}"/>
    <cellStyle name="20% - Accent4 2 3 4 2" xfId="1472" xr:uid="{B79DD9FF-ED1D-4E92-934B-81A00C14A2BD}"/>
    <cellStyle name="20% - Accent4 2 3 4 2 2" xfId="2652" xr:uid="{DBA0B509-99B1-41EB-B0F0-FEF788A0EF05}"/>
    <cellStyle name="20% - Accent4 2 3 4 2 2 2" xfId="4722" xr:uid="{04B6D1DA-04F4-40D0-8D0D-5B5A8F5FA216}"/>
    <cellStyle name="20% - Accent4 2 3 4 2 3" xfId="3807" xr:uid="{A7CFE68F-2E3E-47EB-844D-7B91F9087F0C}"/>
    <cellStyle name="20% - Accent4 2 3 4 3" xfId="1878" xr:uid="{8050766F-A3B7-4C49-A7A3-4ECD988EBD7A}"/>
    <cellStyle name="20% - Accent4 2 3 4 3 2" xfId="3024" xr:uid="{5C38D3B8-841C-401C-A7E4-F6029B1A3F3A}"/>
    <cellStyle name="20% - Accent4 2 3 4 3 2 2" xfId="5074" xr:uid="{941D2AE7-BC87-4422-B091-D3AF057DE617}"/>
    <cellStyle name="20% - Accent4 2 3 4 3 3" xfId="4195" xr:uid="{2D2F0E48-6C95-4094-A5E6-DCA14DDB3C27}"/>
    <cellStyle name="20% - Accent4 2 3 4 4" xfId="2374" xr:uid="{9C44DB1D-9224-407B-805C-387E2252B0CF}"/>
    <cellStyle name="20% - Accent4 2 3 4 4 2" xfId="4475" xr:uid="{CC86B5D8-AE9D-470B-82AF-86C237BC033B}"/>
    <cellStyle name="20% - Accent4 2 3 4 5" xfId="3419" xr:uid="{F10CCC93-45BB-40B6-BBEF-22DC23F70E15}"/>
    <cellStyle name="20% - Accent4 2 3 5" xfId="1160" xr:uid="{EABD02AD-834A-459A-9341-D012E3090C0C}"/>
    <cellStyle name="20% - Accent4 2 3 5 2" xfId="1577" xr:uid="{B3CF2ECD-F339-4839-8706-6163A481C714}"/>
    <cellStyle name="20% - Accent4 2 3 5 2 2" xfId="2745" xr:uid="{64C1DFEF-1568-41D7-86C4-44627AF46A8A}"/>
    <cellStyle name="20% - Accent4 2 3 5 2 2 2" xfId="4815" xr:uid="{CD4BBBBD-F6EE-4AC5-BD8D-193B312391E7}"/>
    <cellStyle name="20% - Accent4 2 3 5 2 3" xfId="3912" xr:uid="{0CBDFE96-2754-4270-895E-3DC2E7E84F0E}"/>
    <cellStyle name="20% - Accent4 2 3 5 3" xfId="1983" xr:uid="{07E667F3-5FD0-4619-A48B-9023B58332D6}"/>
    <cellStyle name="20% - Accent4 2 3 5 3 2" xfId="3129" xr:uid="{0BB44E91-6330-4D6E-B685-DEB12F79EB5E}"/>
    <cellStyle name="20% - Accent4 2 3 5 3 2 2" xfId="5178" xr:uid="{A727F36F-1167-4C78-937C-6C1D548FAA69}"/>
    <cellStyle name="20% - Accent4 2 3 5 3 3" xfId="4300" xr:uid="{FF03A826-5012-4F68-8351-7DF72D0B2E14}"/>
    <cellStyle name="20% - Accent4 2 3 5 4" xfId="2449" xr:uid="{24379614-1395-41E6-BA90-0272CA453D4F}"/>
    <cellStyle name="20% - Accent4 2 3 5 4 2" xfId="4549" xr:uid="{C9591A8C-EF43-460C-BAF3-EB4EA6BD4C4B}"/>
    <cellStyle name="20% - Accent4 2 3 5 5" xfId="3524" xr:uid="{A8BB2F87-867A-40AC-A8D3-91EF77B7A4E5}"/>
    <cellStyle name="20% - Accent4 2 3 6" xfId="908" xr:uid="{7C70D512-E7D4-4AE5-9407-793853786025}"/>
    <cellStyle name="20% - Accent4 2 3 6 2" xfId="1366" xr:uid="{C6726F14-9AE7-407C-AD3C-78E9165AA29A}"/>
    <cellStyle name="20% - Accent4 2 3 6 2 2" xfId="2957" xr:uid="{DDB114CD-FA93-4487-A204-21DA326A8D4F}"/>
    <cellStyle name="20% - Accent4 2 3 6 2 2 2" xfId="5009" xr:uid="{FB44FC6F-D7FC-439C-8944-4B80DBA2B3AA}"/>
    <cellStyle name="20% - Accent4 2 3 6 2 3" xfId="3702" xr:uid="{23E51BD5-D2DE-48DE-9B07-9A495849B2A5}"/>
    <cellStyle name="20% - Accent4 2 3 6 3" xfId="1773" xr:uid="{140BAD8B-5A71-497F-B118-A7992B413C10}"/>
    <cellStyle name="20% - Accent4 2 3 6 3 2" xfId="4090" xr:uid="{0C45B96A-1374-4A29-B37D-1E3BCAFD5C23}"/>
    <cellStyle name="20% - Accent4 2 3 6 4" xfId="2478" xr:uid="{71DAB507-163A-4A9E-9732-1CA595547413}"/>
    <cellStyle name="20% - Accent4 2 3 6 4 2" xfId="4572" xr:uid="{89D42337-288A-49DB-8558-CB1B3C6162C3}"/>
    <cellStyle name="20% - Accent4 2 3 6 5" xfId="3314" xr:uid="{CBC0DF38-704F-4D22-B315-146EF8CD9346}"/>
    <cellStyle name="20% - Accent4 2 3 7" xfId="1266" xr:uid="{438E49F9-1A2A-4F74-B7A5-D91382BDA83B}"/>
    <cellStyle name="20% - Accent4 2 3 7 2" xfId="2830" xr:uid="{2C50C2D7-F26F-4A5A-802F-803510FB6A2A}"/>
    <cellStyle name="20% - Accent4 2 3 7 2 2" xfId="4889" xr:uid="{ADB699D8-B0D3-48DD-84CE-844938BD220D}"/>
    <cellStyle name="20% - Accent4 2 3 7 3" xfId="3624" xr:uid="{B4C8D321-CCFF-45A9-9CDE-43F19FB7FC3B}"/>
    <cellStyle name="20% - Accent4 2 3 8" xfId="1691" xr:uid="{C0117164-2F9B-44A4-B29E-CD6955581DB1}"/>
    <cellStyle name="20% - Accent4 2 3 8 2" xfId="4012" xr:uid="{3564373F-8FD6-4D82-8E21-4190A0EA5B12}"/>
    <cellStyle name="20% - Accent4 2 3 9" xfId="2112" xr:uid="{417A7CC3-0DFA-4D0B-8AF4-9E6CED33E624}"/>
    <cellStyle name="20% - Accent4 2 3 9 2" xfId="4403" xr:uid="{055D4444-2A8C-48E7-90E2-A979A412AE1B}"/>
    <cellStyle name="20% - Accent4 2 4" xfId="52" xr:uid="{F55CF106-7988-4601-A4F4-19F26E6AF079}"/>
    <cellStyle name="20% - Accent4 2 4 2" xfId="2245" xr:uid="{AC972E51-0C90-4937-A5CE-EE1879411BF5}"/>
    <cellStyle name="20% - Accent4 2 4 3" xfId="2113" xr:uid="{9875376B-C66B-4129-8132-B58F6B89B053}"/>
    <cellStyle name="20% - Accent4 2 5" xfId="53" xr:uid="{5566F373-456D-47AC-9987-559EE096BAC4}"/>
    <cellStyle name="20% - Accent4 2 5 2" xfId="2246" xr:uid="{7FE83E05-B52F-4071-847F-9B2027C53581}"/>
    <cellStyle name="20% - Accent4 2 5 3" xfId="2114" xr:uid="{BAFD25FC-7E3F-4A02-ACF4-FC10F87EF967}"/>
    <cellStyle name="20% - Accent4 2 6" xfId="878" xr:uid="{29711AB7-E499-44A7-948B-A6589219ABAB}"/>
    <cellStyle name="20% - Accent4 2 6 2" xfId="2247" xr:uid="{8699127A-10D3-4CB9-B7FE-0F9B9969C970}"/>
    <cellStyle name="20% - Accent4 2 6 3" xfId="2464" xr:uid="{7ABC67EC-1BE4-4B25-897A-CACE16113370}"/>
    <cellStyle name="20% - Accent4 2 6 4" xfId="2195" xr:uid="{7508137E-DC19-4FB4-AD6C-23DD6BD48BDB}"/>
    <cellStyle name="20% - Accent4 3" xfId="54" xr:uid="{562AA827-8174-48A9-956C-510D61861FDF}"/>
    <cellStyle name="20% - Accent4 3 2" xfId="2248" xr:uid="{CB6064A3-6206-4D10-8C8A-752552B526CF}"/>
    <cellStyle name="20% - Accent4 3 3" xfId="2115" xr:uid="{05D94D89-40C3-4FB2-8FB6-003C0CD1A5E8}"/>
    <cellStyle name="20% - Accent4 4" xfId="55" xr:uid="{EBEDE5E8-CE7B-492A-A933-5E1B7CE8B9F2}"/>
    <cellStyle name="20% - Accent4 4 2" xfId="2249" xr:uid="{06AC66D8-31CC-486B-8B12-27A37699EA59}"/>
    <cellStyle name="20% - Accent4 4 3" xfId="2116" xr:uid="{E2320963-E53E-4ED2-B13B-2EF931F47042}"/>
    <cellStyle name="20% - Accent5 2" xfId="56" xr:uid="{B3BEF754-539B-49AF-ADC8-E9300C106A70}"/>
    <cellStyle name="20% - Accent5 2 2" xfId="57" xr:uid="{DC08AE34-F33D-4BAA-A09A-ACCB510C88DA}"/>
    <cellStyle name="20% - Accent5 2 3" xfId="58" xr:uid="{B6A67FC9-31A7-4FB8-AE4B-75FE67EBFC46}"/>
    <cellStyle name="20% - Accent5 2 3 10" xfId="3237" xr:uid="{8D95AD5D-42D3-4F09-AD84-189FAA48A2D8}"/>
    <cellStyle name="20% - Accent5 2 3 2" xfId="815" xr:uid="{680612B6-B89F-43CC-9A9D-EE2D436AE14B}"/>
    <cellStyle name="20% - Accent5 2 3 2 2" xfId="1085" xr:uid="{D7B6EDDC-4A78-40DD-B321-C1C7B739F4CF}"/>
    <cellStyle name="20% - Accent5 2 3 2 2 2" xfId="1502" xr:uid="{DEE684DD-6022-420B-AAB8-0495B7389CCA}"/>
    <cellStyle name="20% - Accent5 2 3 2 2 2 2" xfId="2671" xr:uid="{61757570-E998-4A23-8735-8CC614D2D098}"/>
    <cellStyle name="20% - Accent5 2 3 2 2 2 2 2" xfId="4741" xr:uid="{40E70D5E-9356-44AC-8021-B0AB4CC2E05B}"/>
    <cellStyle name="20% - Accent5 2 3 2 2 2 3" xfId="3837" xr:uid="{83EAB420-97B8-4DB0-AA61-A7C6360E0C5C}"/>
    <cellStyle name="20% - Accent5 2 3 2 2 3" xfId="1908" xr:uid="{2B78C056-AA8F-4976-9C9E-9D7D37727830}"/>
    <cellStyle name="20% - Accent5 2 3 2 2 3 2" xfId="3054" xr:uid="{A1C048C9-DD6D-4E88-A732-42E994D08652}"/>
    <cellStyle name="20% - Accent5 2 3 2 2 3 2 2" xfId="5103" xr:uid="{47FFDD6C-A5A7-4956-BC38-1D1AEFE7F961}"/>
    <cellStyle name="20% - Accent5 2 3 2 2 3 3" xfId="4225" xr:uid="{ECD7833A-9110-4E2F-861F-65036BCE2A59}"/>
    <cellStyle name="20% - Accent5 2 3 2 2 4" xfId="2403" xr:uid="{6C276F19-D92F-4DDF-BCE0-79AD3572BE14}"/>
    <cellStyle name="20% - Accent5 2 3 2 2 4 2" xfId="4504" xr:uid="{21C7AEC0-367B-4D9C-B72B-6CBD70C8342D}"/>
    <cellStyle name="20% - Accent5 2 3 2 2 5" xfId="3449" xr:uid="{063039A0-F3D1-4F66-841A-FCDD0F6D513C}"/>
    <cellStyle name="20% - Accent5 2 3 2 3" xfId="1192" xr:uid="{763DD880-C12C-40A8-97F9-C0070ED84FD7}"/>
    <cellStyle name="20% - Accent5 2 3 2 3 2" xfId="1607" xr:uid="{A0C5ACA5-64DF-45E5-A1AD-A583B94B9823}"/>
    <cellStyle name="20% - Accent5 2 3 2 3 2 2" xfId="3159" xr:uid="{2B8A5D07-0103-4A0B-9354-0EECDC821C47}"/>
    <cellStyle name="20% - Accent5 2 3 2 3 2 2 2" xfId="5208" xr:uid="{8263E720-3ECA-4245-9064-1BFDAA31A5E8}"/>
    <cellStyle name="20% - Accent5 2 3 2 3 2 3" xfId="3942" xr:uid="{5867B4A1-6096-48F4-A285-4D16EDAB7A09}"/>
    <cellStyle name="20% - Accent5 2 3 2 3 3" xfId="2013" xr:uid="{F617FAA4-B712-4A5A-A6F5-2A18F6C0C294}"/>
    <cellStyle name="20% - Accent5 2 3 2 3 3 2" xfId="4330" xr:uid="{0000AE6D-B2F1-4A93-B7B3-1396F40C928A}"/>
    <cellStyle name="20% - Accent5 2 3 2 3 4" xfId="2537" xr:uid="{BC644855-5BC3-4EF9-9D07-3D1178BE9EFC}"/>
    <cellStyle name="20% - Accent5 2 3 2 3 4 2" xfId="4616" xr:uid="{C2072296-D8E9-465B-8B35-2871A8C1A58C}"/>
    <cellStyle name="20% - Accent5 2 3 2 3 5" xfId="3554" xr:uid="{F5BF2883-B74D-406F-82C9-EB14DE1B959A}"/>
    <cellStyle name="20% - Accent5 2 3 2 4" xfId="962" xr:uid="{BA3C9C97-9B3E-4489-803D-46C5C901E10D}"/>
    <cellStyle name="20% - Accent5 2 3 2 4 2" xfId="1397" xr:uid="{881737C0-ACBC-4920-ADCD-19AEDB5C352B}"/>
    <cellStyle name="20% - Accent5 2 3 2 4 2 2" xfId="2836" xr:uid="{F480418E-6C2A-413E-8DCD-3631062AAD34}"/>
    <cellStyle name="20% - Accent5 2 3 2 4 2 2 2" xfId="4895" xr:uid="{2B7ECFA6-15C6-47C4-8FC5-84CBC6B448DC}"/>
    <cellStyle name="20% - Accent5 2 3 2 4 2 3" xfId="3732" xr:uid="{1FE1FCD4-F280-4EB7-95B4-AE2807C7AB97}"/>
    <cellStyle name="20% - Accent5 2 3 2 4 3" xfId="1803" xr:uid="{C5946D48-D4EB-401E-97F6-D458B80D7E8F}"/>
    <cellStyle name="20% - Accent5 2 3 2 4 3 2" xfId="4120" xr:uid="{C46536AA-5B2E-4287-ABEF-1DDD12162248}"/>
    <cellStyle name="20% - Accent5 2 3 2 4 4" xfId="2569" xr:uid="{3168EE4B-2D93-4A65-ABFD-7A0A15B96079}"/>
    <cellStyle name="20% - Accent5 2 3 2 4 4 2" xfId="4645" xr:uid="{1AB2043A-F64F-43BC-83CB-C4C0937CF5AF}"/>
    <cellStyle name="20% - Accent5 2 3 2 4 5" xfId="3344" xr:uid="{23F3F5A5-7ECC-4388-AF93-5A75F2937601}"/>
    <cellStyle name="20% - Accent5 2 3 2 5" xfId="1323" xr:uid="{7D30E2F9-DC7B-458E-8C3E-4BDADA7651A9}"/>
    <cellStyle name="20% - Accent5 2 3 2 5 2" xfId="2902" xr:uid="{4046D785-53EB-4B06-AF62-7EF1E99FD133}"/>
    <cellStyle name="20% - Accent5 2 3 2 5 2 2" xfId="4956" xr:uid="{4241F00F-A213-4BCA-BBC4-0D6F931EA7C6}"/>
    <cellStyle name="20% - Accent5 2 3 2 5 3" xfId="3659" xr:uid="{975FB7CB-B16F-46CC-8D30-55DFFE6F95E1}"/>
    <cellStyle name="20% - Accent5 2 3 2 6" xfId="1730" xr:uid="{3BC0B682-103D-4709-9867-4D3ED9C19C82}"/>
    <cellStyle name="20% - Accent5 2 3 2 6 2" xfId="4047" xr:uid="{B901214C-7613-40A0-B5B1-EBBCE7307C59}"/>
    <cellStyle name="20% - Accent5 2 3 2 7" xfId="2211" xr:uid="{83113F12-64D5-426B-AA01-6E97CD61A701}"/>
    <cellStyle name="20% - Accent5 2 3 2 7 2" xfId="4432" xr:uid="{D5D76BB6-0AB2-45D5-85F1-DA9D3F76B782}"/>
    <cellStyle name="20% - Accent5 2 3 2 8" xfId="3271" xr:uid="{7BFBE52D-4703-47EB-95BE-71B3FFD48AC1}"/>
    <cellStyle name="20% - Accent5 2 3 3" xfId="1000" xr:uid="{2E2F64CA-655B-4852-AD5B-F2415E3447AA}"/>
    <cellStyle name="20% - Accent5 2 3 3 2" xfId="1119" xr:uid="{E4CC2B7D-A3DD-4794-8F46-72D6EE7416C8}"/>
    <cellStyle name="20% - Accent5 2 3 3 2 2" xfId="1536" xr:uid="{9A6A76BC-7C4C-459A-8DA9-44963E69C99D}"/>
    <cellStyle name="20% - Accent5 2 3 3 2 2 2" xfId="3088" xr:uid="{4BAA23AA-9E8F-42F1-BD72-FE7A40694AE7}"/>
    <cellStyle name="20% - Accent5 2 3 3 2 2 2 2" xfId="5137" xr:uid="{12C11F71-E016-48CD-B0AF-DC058FD8CB79}"/>
    <cellStyle name="20% - Accent5 2 3 3 2 2 3" xfId="3871" xr:uid="{3102CA65-285D-4205-B758-71418939FBF2}"/>
    <cellStyle name="20% - Accent5 2 3 3 2 3" xfId="1942" xr:uid="{6315359B-3741-40B3-90F6-513D72342E4B}"/>
    <cellStyle name="20% - Accent5 2 3 3 2 3 2" xfId="4259" xr:uid="{6BD8FA0E-EF15-4F64-B47A-3028C5AAF801}"/>
    <cellStyle name="20% - Accent5 2 3 3 2 4" xfId="2704" xr:uid="{641BA5E2-B3D3-4525-83DB-2BC709262FE1}"/>
    <cellStyle name="20% - Accent5 2 3 3 2 4 2" xfId="4774" xr:uid="{A99418A0-3374-4324-B032-8635CEEC8E2E}"/>
    <cellStyle name="20% - Accent5 2 3 3 2 5" xfId="3483" xr:uid="{D273CA69-C913-4143-900D-FCB3C58CA8C6}"/>
    <cellStyle name="20% - Accent5 2 3 3 3" xfId="1230" xr:uid="{7EAAE63F-703C-44F9-B0AA-C3CE265B04E7}"/>
    <cellStyle name="20% - Accent5 2 3 3 3 2" xfId="1641" xr:uid="{36BF79B2-E850-4A41-93FA-216DD65E87B6}"/>
    <cellStyle name="20% - Accent5 2 3 3 3 2 2" xfId="3193" xr:uid="{EDEF776D-8072-4D3B-B11D-A9741DB521D1}"/>
    <cellStyle name="20% - Accent5 2 3 3 3 2 2 2" xfId="5242" xr:uid="{DDB25203-F97D-495B-8650-712085C6DFCE}"/>
    <cellStyle name="20% - Accent5 2 3 3 3 2 3" xfId="3976" xr:uid="{26A9E24E-90C1-498D-A45D-48175403BD76}"/>
    <cellStyle name="20% - Accent5 2 3 3 3 3" xfId="2047" xr:uid="{43240B1A-D68B-476C-8AC0-62CA507A053D}"/>
    <cellStyle name="20% - Accent5 2 3 3 3 3 2" xfId="4364" xr:uid="{AB33388C-1644-453A-8BB9-A0F3A94E79BE}"/>
    <cellStyle name="20% - Accent5 2 3 3 3 4" xfId="2781" xr:uid="{24BE3B0D-1F1F-445D-A6A4-0EEF8145C975}"/>
    <cellStyle name="20% - Accent5 2 3 3 3 4 2" xfId="4851" xr:uid="{043C1BA2-AFF6-4898-833D-A3A0BBEEB1A3}"/>
    <cellStyle name="20% - Accent5 2 3 3 3 5" xfId="3588" xr:uid="{AD51A79D-B9D2-4FCE-B802-142E2D00BD2C}"/>
    <cellStyle name="20% - Accent5 2 3 3 4" xfId="1431" xr:uid="{FC705437-F687-490A-B40B-3C342E879C6D}"/>
    <cellStyle name="20% - Accent5 2 3 3 4 2" xfId="2625" xr:uid="{A31C3158-D79F-4F55-BB81-8865E305EF2B}"/>
    <cellStyle name="20% - Accent5 2 3 3 4 2 2" xfId="4695" xr:uid="{42F0C092-E9B6-4445-A403-9AC427861D69}"/>
    <cellStyle name="20% - Accent5 2 3 3 4 3" xfId="3766" xr:uid="{7488EB58-3EAD-4878-BACF-501D8A0CB5F8}"/>
    <cellStyle name="20% - Accent5 2 3 3 5" xfId="1837" xr:uid="{960D0FA5-A851-4BEC-AD1C-DAC07EE9DABD}"/>
    <cellStyle name="20% - Accent5 2 3 3 5 2" xfId="2985" xr:uid="{613093DE-4AEB-4E17-924F-2C54A0BE8ABA}"/>
    <cellStyle name="20% - Accent5 2 3 3 5 2 2" xfId="5035" xr:uid="{FA1ED796-F07A-42AD-B6EF-74C773F62CF0}"/>
    <cellStyle name="20% - Accent5 2 3 3 5 3" xfId="4154" xr:uid="{932F3218-1E9D-47AF-A33D-5047B8D263D7}"/>
    <cellStyle name="20% - Accent5 2 3 3 6" xfId="2375" xr:uid="{7305BBDA-FBE8-483E-A03B-DC90A1BCEF5C}"/>
    <cellStyle name="20% - Accent5 2 3 3 6 2" xfId="4476" xr:uid="{91E08036-B5E5-4333-A6E3-ADBD401F7816}"/>
    <cellStyle name="20% - Accent5 2 3 3 7" xfId="3378" xr:uid="{FD2CE39F-1051-481B-B097-68DA6F6F5C8B}"/>
    <cellStyle name="20% - Accent5 2 3 4" xfId="1052" xr:uid="{E8136C88-93CD-4F31-B850-CFD2554F9128}"/>
    <cellStyle name="20% - Accent5 2 3 4 2" xfId="1469" xr:uid="{046AEFBE-06A5-4EF9-9FF7-F7957B4526D9}"/>
    <cellStyle name="20% - Accent5 2 3 4 2 2" xfId="3021" xr:uid="{65FB1AAE-E4F1-4868-975A-EFF21250606D}"/>
    <cellStyle name="20% - Accent5 2 3 4 2 2 2" xfId="5071" xr:uid="{90D00FE3-0D39-4E95-AD43-1A82F1C80C4D}"/>
    <cellStyle name="20% - Accent5 2 3 4 2 3" xfId="3804" xr:uid="{256D9876-0B74-4F72-8028-1938B50997AE}"/>
    <cellStyle name="20% - Accent5 2 3 4 3" xfId="1875" xr:uid="{B4D23630-9DFC-4436-AA05-FEF858C3D4E1}"/>
    <cellStyle name="20% - Accent5 2 3 4 3 2" xfId="4192" xr:uid="{96853190-7403-407F-9768-0CC909AEAE7E}"/>
    <cellStyle name="20% - Accent5 2 3 4 4" xfId="2450" xr:uid="{F8A6875E-1028-4727-AA2F-FB79D55443ED}"/>
    <cellStyle name="20% - Accent5 2 3 4 4 2" xfId="4550" xr:uid="{FF5AC347-DC3D-47C1-8986-EE1DE22F3343}"/>
    <cellStyle name="20% - Accent5 2 3 4 5" xfId="3416" xr:uid="{46AFA3F8-14B5-4FC6-82D1-F50E94E899DE}"/>
    <cellStyle name="20% - Accent5 2 3 5" xfId="1157" xr:uid="{A57006F7-6917-4045-8F06-70614FBA1DB4}"/>
    <cellStyle name="20% - Accent5 2 3 5 2" xfId="1574" xr:uid="{5942DF2D-9178-4921-90E4-6434D24B300A}"/>
    <cellStyle name="20% - Accent5 2 3 5 2 2" xfId="3126" xr:uid="{E8BC9D56-18EF-4958-BB75-F6154C9796D6}"/>
    <cellStyle name="20% - Accent5 2 3 5 2 2 2" xfId="5175" xr:uid="{CEB37231-0A61-48D5-BC86-1DDA9610B9AD}"/>
    <cellStyle name="20% - Accent5 2 3 5 2 3" xfId="3909" xr:uid="{E18AE775-B83D-40D7-A384-8A5CA6933A75}"/>
    <cellStyle name="20% - Accent5 2 3 5 3" xfId="1980" xr:uid="{5A3EFC33-DA0D-43B0-82C7-3C90FC75AA91}"/>
    <cellStyle name="20% - Accent5 2 3 5 3 2" xfId="4297" xr:uid="{AB5BDA0C-6EB0-4B5C-B5D6-D6065E0D32E5}"/>
    <cellStyle name="20% - Accent5 2 3 5 4" xfId="2742" xr:uid="{6D9E2795-7DD0-48FF-B319-F9548785F26B}"/>
    <cellStyle name="20% - Accent5 2 3 5 4 2" xfId="4812" xr:uid="{0D971DD7-FFE9-4751-8EF3-1F1DE95B2F8E}"/>
    <cellStyle name="20% - Accent5 2 3 5 5" xfId="3521" xr:uid="{112DA2DF-84DF-4A30-AC3E-253EE2ECCB0D}"/>
    <cellStyle name="20% - Accent5 2 3 6" xfId="902" xr:uid="{08E5B6E9-70AB-430F-AB08-245A35026ED2}"/>
    <cellStyle name="20% - Accent5 2 3 6 2" xfId="1363" xr:uid="{902D6666-AE73-44E9-B65B-90E18B14FD5C}"/>
    <cellStyle name="20% - Accent5 2 3 6 2 2" xfId="2958" xr:uid="{1163DE7A-867D-4D7B-AAB1-FC5DC2FEA38F}"/>
    <cellStyle name="20% - Accent5 2 3 6 2 2 2" xfId="5010" xr:uid="{8BAC897A-0936-485F-8334-8163A283E921}"/>
    <cellStyle name="20% - Accent5 2 3 6 2 3" xfId="3699" xr:uid="{BDC65CFC-134F-45AD-9582-518A0DFF165F}"/>
    <cellStyle name="20% - Accent5 2 3 6 3" xfId="1770" xr:uid="{296F2C69-9666-4AD5-A67C-11C1D7A2660C}"/>
    <cellStyle name="20% - Accent5 2 3 6 3 2" xfId="4087" xr:uid="{B46D2940-CF25-44FD-BD44-40EAE6A09DAE}"/>
    <cellStyle name="20% - Accent5 2 3 6 4" xfId="2513" xr:uid="{2B4545C7-BDBC-422B-8A90-DE0A7E5500C4}"/>
    <cellStyle name="20% - Accent5 2 3 6 4 2" xfId="4595" xr:uid="{20E9A990-9672-4A3E-B3D3-F6D48261FB13}"/>
    <cellStyle name="20% - Accent5 2 3 6 5" xfId="3311" xr:uid="{B0627E10-6EEE-44A2-91DE-AAFB2B22E555}"/>
    <cellStyle name="20% - Accent5 2 3 7" xfId="1267" xr:uid="{5D7E5A4F-CDA9-4D05-A300-911E77F18A26}"/>
    <cellStyle name="20% - Accent5 2 3 7 2" xfId="2831" xr:uid="{E40619EE-32C5-48DD-9FB7-0AA2AA5D577F}"/>
    <cellStyle name="20% - Accent5 2 3 7 2 2" xfId="4890" xr:uid="{DA2890D5-2531-4C30-838E-E6F6A10D68FA}"/>
    <cellStyle name="20% - Accent5 2 3 7 3" xfId="3625" xr:uid="{9D9DCCD1-B016-4812-ADDE-09CF6C8F65E8}"/>
    <cellStyle name="20% - Accent5 2 3 8" xfId="1692" xr:uid="{61D4FA0F-4291-45C9-A178-D1E798E7AC6E}"/>
    <cellStyle name="20% - Accent5 2 3 8 2" xfId="4013" xr:uid="{91494841-9266-4E24-AA01-13C9F2674CB3}"/>
    <cellStyle name="20% - Accent5 2 3 9" xfId="2117" xr:uid="{6FE56EBA-33F7-4838-8238-26F6B661BB3B}"/>
    <cellStyle name="20% - Accent5 2 3 9 2" xfId="4404" xr:uid="{73AE15C7-2E50-45CE-B6BB-229303A22BD5}"/>
    <cellStyle name="20% - Accent5 3" xfId="59" xr:uid="{51BDA123-25F0-42D3-B324-20FF644C2C2C}"/>
    <cellStyle name="20% - Accent5 4" xfId="60" xr:uid="{9116CD28-825A-4EBD-B28A-B1178AFF4AD8}"/>
    <cellStyle name="20% - Accent6 2" xfId="61" xr:uid="{FD51800A-8504-4678-BB4A-3F5991405AFC}"/>
    <cellStyle name="20% - Accent6 2 2" xfId="62" xr:uid="{13762389-EE9B-46A1-AD5C-1E71A2A09750}"/>
    <cellStyle name="20% - Accent6 2 3" xfId="63" xr:uid="{F7A9A1B9-DA1D-4225-8784-C976232DB45D}"/>
    <cellStyle name="20% - Accent6 2 3 10" xfId="3238" xr:uid="{2C296708-2A8B-46B1-BC0A-698CCFE927F4}"/>
    <cellStyle name="20% - Accent6 2 3 2" xfId="816" xr:uid="{1003A157-CB03-47DE-AE86-354B730E2716}"/>
    <cellStyle name="20% - Accent6 2 3 2 2" xfId="1086" xr:uid="{18BA2BFB-423C-4778-A4C9-1E8606BA951D}"/>
    <cellStyle name="20% - Accent6 2 3 2 2 2" xfId="1503" xr:uid="{C903179A-9597-42FE-AD54-454AEE40E99B}"/>
    <cellStyle name="20% - Accent6 2 3 2 2 2 2" xfId="2672" xr:uid="{C5FC7CB4-AA14-456D-ABDD-CE2CCF4E003B}"/>
    <cellStyle name="20% - Accent6 2 3 2 2 2 2 2" xfId="4742" xr:uid="{F1733390-2E7A-4F08-923C-42F690081B2D}"/>
    <cellStyle name="20% - Accent6 2 3 2 2 2 3" xfId="3838" xr:uid="{6319A426-C9CD-49B6-B518-1B0B585C8726}"/>
    <cellStyle name="20% - Accent6 2 3 2 2 3" xfId="1909" xr:uid="{0C195E25-8F19-4154-9488-920CF8C04B3D}"/>
    <cellStyle name="20% - Accent6 2 3 2 2 3 2" xfId="3055" xr:uid="{1F291798-F89F-4197-8BF6-C10BECC507BF}"/>
    <cellStyle name="20% - Accent6 2 3 2 2 3 2 2" xfId="5104" xr:uid="{D4E8C6E5-60C8-4AEB-A981-6582CA96D789}"/>
    <cellStyle name="20% - Accent6 2 3 2 2 3 3" xfId="4226" xr:uid="{DBE0287D-1E9A-4306-82C4-EEA61059B546}"/>
    <cellStyle name="20% - Accent6 2 3 2 2 4" xfId="2404" xr:uid="{A991BA44-1145-4FA3-A8DB-1D6EEF731595}"/>
    <cellStyle name="20% - Accent6 2 3 2 2 4 2" xfId="4505" xr:uid="{A5A4E296-294E-4F78-92C8-9D6D3D5EC7AD}"/>
    <cellStyle name="20% - Accent6 2 3 2 2 5" xfId="3450" xr:uid="{553FA756-116B-4136-8F93-9CD7CE7E5CED}"/>
    <cellStyle name="20% - Accent6 2 3 2 3" xfId="1193" xr:uid="{9510F0C3-D849-4766-8741-94EC53DCDF27}"/>
    <cellStyle name="20% - Accent6 2 3 2 3 2" xfId="1608" xr:uid="{B15BC902-2BD4-4554-981D-F88BCB351BF6}"/>
    <cellStyle name="20% - Accent6 2 3 2 3 2 2" xfId="3160" xr:uid="{423C3697-635C-4C7C-859F-08319F77498D}"/>
    <cellStyle name="20% - Accent6 2 3 2 3 2 2 2" xfId="5209" xr:uid="{F837A233-773C-47FC-B3AA-856DF8F110BE}"/>
    <cellStyle name="20% - Accent6 2 3 2 3 2 3" xfId="3943" xr:uid="{E7472431-985A-4494-AE9F-D2A0727831FA}"/>
    <cellStyle name="20% - Accent6 2 3 2 3 3" xfId="2014" xr:uid="{C08B5902-2ED7-4CB3-88F2-F60A47BB7636}"/>
    <cellStyle name="20% - Accent6 2 3 2 3 3 2" xfId="4331" xr:uid="{81334CC4-585F-4DF2-A273-84EF0751A7A6}"/>
    <cellStyle name="20% - Accent6 2 3 2 3 4" xfId="2538" xr:uid="{7401FE69-4210-4471-9099-D381F0D5F034}"/>
    <cellStyle name="20% - Accent6 2 3 2 3 4 2" xfId="4617" xr:uid="{E8FCCBE0-6700-433D-A772-B6C156F92B0C}"/>
    <cellStyle name="20% - Accent6 2 3 2 3 5" xfId="3555" xr:uid="{B542B2EB-69B9-4B58-930C-B3F67C966823}"/>
    <cellStyle name="20% - Accent6 2 3 2 4" xfId="963" xr:uid="{352B31D1-209F-4194-8822-674D9F8C3E9E}"/>
    <cellStyle name="20% - Accent6 2 3 2 4 2" xfId="1398" xr:uid="{9EB9D3AB-7214-47E4-834E-AED351C991B3}"/>
    <cellStyle name="20% - Accent6 2 3 2 4 2 2" xfId="2871" xr:uid="{F64BF4A7-55A6-4885-B6B5-78497BF42826}"/>
    <cellStyle name="20% - Accent6 2 3 2 4 2 2 2" xfId="4925" xr:uid="{3409701C-6D37-4972-80F8-ED0FE104A437}"/>
    <cellStyle name="20% - Accent6 2 3 2 4 2 3" xfId="3733" xr:uid="{5EA561CD-E364-4C25-9DB0-69A985DF7AD7}"/>
    <cellStyle name="20% - Accent6 2 3 2 4 3" xfId="1804" xr:uid="{88DD917B-8985-4BAB-8C3F-B02B949648A1}"/>
    <cellStyle name="20% - Accent6 2 3 2 4 3 2" xfId="4121" xr:uid="{A142AED3-BD39-45E5-8359-C2294441B50F}"/>
    <cellStyle name="20% - Accent6 2 3 2 4 4" xfId="2481" xr:uid="{E15F8F97-A88A-464A-8393-1C7D300656AD}"/>
    <cellStyle name="20% - Accent6 2 3 2 4 4 2" xfId="4574" xr:uid="{A05C4F7C-88B9-45DF-9811-5A06A10BE9AE}"/>
    <cellStyle name="20% - Accent6 2 3 2 4 5" xfId="3345" xr:uid="{7063BB56-D91D-4BE2-B5FF-60377042F020}"/>
    <cellStyle name="20% - Accent6 2 3 2 5" xfId="1324" xr:uid="{ED50A3BF-A589-4A56-A205-A52ADCEFE5C8}"/>
    <cellStyle name="20% - Accent6 2 3 2 5 2" xfId="2903" xr:uid="{121AA8EE-E118-4504-98CA-A395B3A97C39}"/>
    <cellStyle name="20% - Accent6 2 3 2 5 2 2" xfId="4957" xr:uid="{810F420B-978F-41A4-A4EA-FAB8EEAE1D33}"/>
    <cellStyle name="20% - Accent6 2 3 2 5 3" xfId="3660" xr:uid="{B8B3FBF9-58CD-4800-AF8D-046B712F574D}"/>
    <cellStyle name="20% - Accent6 2 3 2 6" xfId="1731" xr:uid="{02A1C0B4-4844-4715-B3BF-C45C1B554481}"/>
    <cellStyle name="20% - Accent6 2 3 2 6 2" xfId="4048" xr:uid="{7C4A8E1C-03AE-48D6-B550-BF1C0B34F78D}"/>
    <cellStyle name="20% - Accent6 2 3 2 7" xfId="2212" xr:uid="{22E0C720-025E-43D2-A680-7C7F39B35D98}"/>
    <cellStyle name="20% - Accent6 2 3 2 7 2" xfId="4433" xr:uid="{F3C7CA9E-448C-49FD-A5A6-13F7B2D5FD09}"/>
    <cellStyle name="20% - Accent6 2 3 2 8" xfId="3272" xr:uid="{F615252C-05F0-4366-B023-323CA601DEEE}"/>
    <cellStyle name="20% - Accent6 2 3 3" xfId="1001" xr:uid="{FFCA504F-7B70-4E39-8123-ABC29A2621EC}"/>
    <cellStyle name="20% - Accent6 2 3 3 2" xfId="1120" xr:uid="{A126058A-D1D7-443C-8FA9-B47F11F134E4}"/>
    <cellStyle name="20% - Accent6 2 3 3 2 2" xfId="1537" xr:uid="{448C0121-9FDD-4051-9D4B-3AF6DAB3FEC2}"/>
    <cellStyle name="20% - Accent6 2 3 3 2 2 2" xfId="3089" xr:uid="{952BB787-F56E-484B-A712-9FD2C6901F11}"/>
    <cellStyle name="20% - Accent6 2 3 3 2 2 2 2" xfId="5138" xr:uid="{95752A25-BE0E-473A-B020-C1823185C581}"/>
    <cellStyle name="20% - Accent6 2 3 3 2 2 3" xfId="3872" xr:uid="{E03A6279-3DB2-4853-9471-A8A8D71F4BDE}"/>
    <cellStyle name="20% - Accent6 2 3 3 2 3" xfId="1943" xr:uid="{3FE2F79B-849C-412C-AD95-56C32DD2B0DB}"/>
    <cellStyle name="20% - Accent6 2 3 3 2 3 2" xfId="4260" xr:uid="{11486F4D-1555-4420-BC7A-341DBB02F236}"/>
    <cellStyle name="20% - Accent6 2 3 3 2 4" xfId="2705" xr:uid="{8AFBCB8F-0E83-4033-89E6-D0D8D8D711C5}"/>
    <cellStyle name="20% - Accent6 2 3 3 2 4 2" xfId="4775" xr:uid="{E0E9E468-73DA-4386-B4F6-1F75DCC8439C}"/>
    <cellStyle name="20% - Accent6 2 3 3 2 5" xfId="3484" xr:uid="{A04B71B6-F903-4BBD-AA9D-E9E414BD27AA}"/>
    <cellStyle name="20% - Accent6 2 3 3 3" xfId="1231" xr:uid="{26F64D31-556E-4032-ABA0-36E774777B41}"/>
    <cellStyle name="20% - Accent6 2 3 3 3 2" xfId="1642" xr:uid="{3F4FAE25-08B5-4842-A306-55307353083A}"/>
    <cellStyle name="20% - Accent6 2 3 3 3 2 2" xfId="3194" xr:uid="{7D129D67-0E24-47B3-9576-61A39E12CC32}"/>
    <cellStyle name="20% - Accent6 2 3 3 3 2 2 2" xfId="5243" xr:uid="{161BBE37-90F7-4F81-846A-A3DEDF3DF3D7}"/>
    <cellStyle name="20% - Accent6 2 3 3 3 2 3" xfId="3977" xr:uid="{B0EDB433-10AE-43DB-8F1E-18A5F0770A65}"/>
    <cellStyle name="20% - Accent6 2 3 3 3 3" xfId="2048" xr:uid="{81E2E555-1682-4669-B7C1-0CAB07E7A7AD}"/>
    <cellStyle name="20% - Accent6 2 3 3 3 3 2" xfId="4365" xr:uid="{668A943B-5834-4796-91A0-C7224AF8289F}"/>
    <cellStyle name="20% - Accent6 2 3 3 3 4" xfId="2782" xr:uid="{C2156437-A578-4C88-9514-8216EB9DDEE3}"/>
    <cellStyle name="20% - Accent6 2 3 3 3 4 2" xfId="4852" xr:uid="{EB84AAF3-2F2C-45FA-A25D-F39804DFA3F8}"/>
    <cellStyle name="20% - Accent6 2 3 3 3 5" xfId="3589" xr:uid="{501D79CD-FCA4-43AE-B0C3-2AA296282968}"/>
    <cellStyle name="20% - Accent6 2 3 3 4" xfId="1432" xr:uid="{02D3A22B-CE65-4061-A660-83A55E643B95}"/>
    <cellStyle name="20% - Accent6 2 3 3 4 2" xfId="2626" xr:uid="{FCD9C556-8487-4AD2-BEB5-99B7F85F2FC8}"/>
    <cellStyle name="20% - Accent6 2 3 3 4 2 2" xfId="4696" xr:uid="{563F354F-AC85-4DA6-8524-324CE7C3AAFD}"/>
    <cellStyle name="20% - Accent6 2 3 3 4 3" xfId="3767" xr:uid="{51FFF7E8-EED5-43FA-93C8-3E458D599D21}"/>
    <cellStyle name="20% - Accent6 2 3 3 5" xfId="1838" xr:uid="{3CE7C5B3-980D-4B4F-989C-DF5EE1F8412D}"/>
    <cellStyle name="20% - Accent6 2 3 3 5 2" xfId="2986" xr:uid="{426E4CBF-21F1-4F03-A156-8E2F18DAC177}"/>
    <cellStyle name="20% - Accent6 2 3 3 5 2 2" xfId="5036" xr:uid="{7CD8C5BD-0BBF-4DE7-B58C-6E93F82CE84B}"/>
    <cellStyle name="20% - Accent6 2 3 3 5 3" xfId="4155" xr:uid="{F1BB25AF-0702-4ACE-8465-ECCA637EDEBB}"/>
    <cellStyle name="20% - Accent6 2 3 3 6" xfId="2376" xr:uid="{32959654-F786-45E9-902D-92F6554F837E}"/>
    <cellStyle name="20% - Accent6 2 3 3 6 2" xfId="4477" xr:uid="{FE240953-B740-45AC-8939-0B691DB9B3BF}"/>
    <cellStyle name="20% - Accent6 2 3 3 7" xfId="3379" xr:uid="{34F79751-577D-48FC-926D-4AFA117D2387}"/>
    <cellStyle name="20% - Accent6 2 3 4" xfId="1053" xr:uid="{35801198-917D-420B-9547-3122BB85ACC8}"/>
    <cellStyle name="20% - Accent6 2 3 4 2" xfId="1470" xr:uid="{BC651D21-2E8E-4617-8E5C-979E62C8DC55}"/>
    <cellStyle name="20% - Accent6 2 3 4 2 2" xfId="3022" xr:uid="{79B6C98D-FD55-45BA-A5A3-75110E7E6887}"/>
    <cellStyle name="20% - Accent6 2 3 4 2 2 2" xfId="5072" xr:uid="{D8284CF2-661C-4AE1-BDDE-AD6465541F33}"/>
    <cellStyle name="20% - Accent6 2 3 4 2 3" xfId="3805" xr:uid="{B78194F5-AB21-4E88-B5D5-F2BCB4BF0ECB}"/>
    <cellStyle name="20% - Accent6 2 3 4 3" xfId="1876" xr:uid="{4F8B0651-7978-4692-A8B6-40D05A04D831}"/>
    <cellStyle name="20% - Accent6 2 3 4 3 2" xfId="4193" xr:uid="{FAE50820-D27B-4E08-92C7-5FF1637903F3}"/>
    <cellStyle name="20% - Accent6 2 3 4 4" xfId="2451" xr:uid="{4A439C70-F642-40C8-892C-D0C2B92C27F9}"/>
    <cellStyle name="20% - Accent6 2 3 4 4 2" xfId="4551" xr:uid="{F522ABDF-50EC-48ED-BBAE-899A5DC3A600}"/>
    <cellStyle name="20% - Accent6 2 3 4 5" xfId="3417" xr:uid="{F305BBEE-CD62-4760-8574-B429939B6698}"/>
    <cellStyle name="20% - Accent6 2 3 5" xfId="1158" xr:uid="{D5B58FCD-3718-4809-A94B-0786D56413F9}"/>
    <cellStyle name="20% - Accent6 2 3 5 2" xfId="1575" xr:uid="{64955BFE-19FF-4251-9FA3-22846B10945A}"/>
    <cellStyle name="20% - Accent6 2 3 5 2 2" xfId="3127" xr:uid="{5A96FA3D-AFA9-4B17-89B0-293699D061B0}"/>
    <cellStyle name="20% - Accent6 2 3 5 2 2 2" xfId="5176" xr:uid="{D48EC1AF-4FA1-46EF-B316-DBD5C25E9243}"/>
    <cellStyle name="20% - Accent6 2 3 5 2 3" xfId="3910" xr:uid="{023C074B-650C-4792-8B05-7165B87AF0BC}"/>
    <cellStyle name="20% - Accent6 2 3 5 3" xfId="1981" xr:uid="{A6E52A5B-B72D-4C5B-8B94-B648F2012467}"/>
    <cellStyle name="20% - Accent6 2 3 5 3 2" xfId="4298" xr:uid="{F59566F1-FC99-4768-887B-B2489BB40D78}"/>
    <cellStyle name="20% - Accent6 2 3 5 4" xfId="2743" xr:uid="{C668E877-D2EA-4083-8421-FB4E32457BBB}"/>
    <cellStyle name="20% - Accent6 2 3 5 4 2" xfId="4813" xr:uid="{7B7D80BC-CB84-4B5D-AE16-80B5A0342F7A}"/>
    <cellStyle name="20% - Accent6 2 3 5 5" xfId="3522" xr:uid="{FC0F1FE0-20A9-4652-BD06-1BD4427819D7}"/>
    <cellStyle name="20% - Accent6 2 3 6" xfId="905" xr:uid="{46D9571F-CBEC-4C4D-925F-7066285A306B}"/>
    <cellStyle name="20% - Accent6 2 3 6 2" xfId="1364" xr:uid="{8A8DA8CF-CE2F-419D-BD71-7A6850CF3BDB}"/>
    <cellStyle name="20% - Accent6 2 3 6 2 2" xfId="2949" xr:uid="{783A5055-6329-421B-AD6E-321980F7D73D}"/>
    <cellStyle name="20% - Accent6 2 3 6 2 2 2" xfId="5002" xr:uid="{6C655A78-93EF-4928-8DEF-4F94573620CF}"/>
    <cellStyle name="20% - Accent6 2 3 6 2 3" xfId="3700" xr:uid="{83BD497A-6D41-401F-9C2C-69D4F9FEE9E2}"/>
    <cellStyle name="20% - Accent6 2 3 6 3" xfId="1771" xr:uid="{16563992-CC36-4984-8CCB-DE017A5DAC24}"/>
    <cellStyle name="20% - Accent6 2 3 6 3 2" xfId="4088" xr:uid="{A5EF7DB6-79EA-47D7-8B38-E6C76F663AA0}"/>
    <cellStyle name="20% - Accent6 2 3 6 4" xfId="2466" xr:uid="{315F602C-BD34-41A9-88F0-83F98B3A9381}"/>
    <cellStyle name="20% - Accent6 2 3 6 4 2" xfId="4561" xr:uid="{3083E8D0-6F5F-4EA8-85B6-9DE7C109E23D}"/>
    <cellStyle name="20% - Accent6 2 3 6 5" xfId="3312" xr:uid="{171A7455-55E2-4B40-BB9E-21464B480849}"/>
    <cellStyle name="20% - Accent6 2 3 7" xfId="1268" xr:uid="{A2FB2B8B-DDE7-4921-A907-8579F24D1D49}"/>
    <cellStyle name="20% - Accent6 2 3 7 2" xfId="2832" xr:uid="{B1FD3CDB-99E9-4802-A58B-7DB38C43E422}"/>
    <cellStyle name="20% - Accent6 2 3 7 2 2" xfId="4891" xr:uid="{4959578F-F107-4A64-9678-960CC2010695}"/>
    <cellStyle name="20% - Accent6 2 3 7 3" xfId="3626" xr:uid="{C6BDC59D-1CB0-4FE6-8316-8DE7DD5ACA46}"/>
    <cellStyle name="20% - Accent6 2 3 8" xfId="1693" xr:uid="{5E2C28F6-10EF-4247-A1C2-A8F5B624AF65}"/>
    <cellStyle name="20% - Accent6 2 3 8 2" xfId="4014" xr:uid="{DD768B4A-B810-4FA5-85F4-E259600A1BA0}"/>
    <cellStyle name="20% - Accent6 2 3 9" xfId="2118" xr:uid="{552ED041-9916-4CD0-8192-41B7C142EB47}"/>
    <cellStyle name="20% - Accent6 2 3 9 2" xfId="4405" xr:uid="{730B2C7D-3C47-4E2D-B40E-482D3ED6B8C2}"/>
    <cellStyle name="20% - Accent6 2 4" xfId="64" xr:uid="{D6E56F7F-6864-4732-8DC0-E662C69F2EB8}"/>
    <cellStyle name="20% - Accent6 2 5" xfId="65" xr:uid="{E3398F6E-F081-46B0-8E12-8F881D8CDB62}"/>
    <cellStyle name="20% - Accent6 2 6" xfId="2250" xr:uid="{91C752BF-ECC6-41E8-AA8F-DF4421B3418D}"/>
    <cellStyle name="20% - Accent6 3" xfId="66" xr:uid="{D028B7E9-42B2-4E4F-883A-6D08283B7692}"/>
    <cellStyle name="20% - Accent6 4" xfId="67" xr:uid="{18BFEB70-F1F3-43EA-A15D-0BB97F28127B}"/>
    <cellStyle name="40% - Accent1 2" xfId="68" xr:uid="{CAC51D81-8E98-4143-B14C-F9BDE7D9256D}"/>
    <cellStyle name="40% - Accent1 2 2" xfId="69" xr:uid="{D6E7E66E-C63D-4A2F-B9F3-B2A9F878B59C}"/>
    <cellStyle name="40% - Accent1 2 3" xfId="70" xr:uid="{2AE2DCD7-A2DF-40BD-8915-0DD8DF7AA1B3}"/>
    <cellStyle name="40% - Accent1 2 3 10" xfId="3239" xr:uid="{E3607299-1E83-4E77-B735-5F4828EE5B25}"/>
    <cellStyle name="40% - Accent1 2 3 2" xfId="817" xr:uid="{2DC512D5-726B-4EB4-B3A3-1E60F0333E8B}"/>
    <cellStyle name="40% - Accent1 2 3 2 2" xfId="1087" xr:uid="{8FCD6919-7B34-4FE4-B931-72307297578B}"/>
    <cellStyle name="40% - Accent1 2 3 2 2 2" xfId="1504" xr:uid="{75F24768-7D7B-4A5D-A6C3-687047CF9C3D}"/>
    <cellStyle name="40% - Accent1 2 3 2 2 2 2" xfId="2673" xr:uid="{0ED06B7B-88A6-4F9B-8A4D-6A133CF7297C}"/>
    <cellStyle name="40% - Accent1 2 3 2 2 2 2 2" xfId="4743" xr:uid="{9CFDB6C9-A137-4BDE-B36F-27A9BAF06FC9}"/>
    <cellStyle name="40% - Accent1 2 3 2 2 2 3" xfId="3839" xr:uid="{15963193-A1AA-4F11-B4C6-344F2A5AE208}"/>
    <cellStyle name="40% - Accent1 2 3 2 2 3" xfId="1910" xr:uid="{00C3722D-3332-47DE-AF46-93F8F0F9E109}"/>
    <cellStyle name="40% - Accent1 2 3 2 2 3 2" xfId="3056" xr:uid="{7ED85577-5A1C-49CD-B51D-125252AA3DCB}"/>
    <cellStyle name="40% - Accent1 2 3 2 2 3 2 2" xfId="5105" xr:uid="{F2C4A70B-24F8-43D1-8F62-DB97435B39A4}"/>
    <cellStyle name="40% - Accent1 2 3 2 2 3 3" xfId="4227" xr:uid="{0E1A6AD2-F28C-4D03-AF31-7C1C3F25FFBA}"/>
    <cellStyle name="40% - Accent1 2 3 2 2 4" xfId="2405" xr:uid="{32ECA9EE-361A-4C5A-AEE1-E41F81246D1F}"/>
    <cellStyle name="40% - Accent1 2 3 2 2 4 2" xfId="4506" xr:uid="{A385C4D7-7719-477F-92D6-8C6D3C60A817}"/>
    <cellStyle name="40% - Accent1 2 3 2 2 5" xfId="3451" xr:uid="{9DAFE6D0-2D0F-4647-94D7-277F7D7A368D}"/>
    <cellStyle name="40% - Accent1 2 3 2 3" xfId="1194" xr:uid="{0013AE28-6EEF-4383-9162-0DED1CF6B5E4}"/>
    <cellStyle name="40% - Accent1 2 3 2 3 2" xfId="1609" xr:uid="{8691ABC7-9EE6-4B04-BDE7-7A3817D17062}"/>
    <cellStyle name="40% - Accent1 2 3 2 3 2 2" xfId="3161" xr:uid="{D6AF9EBD-6427-4003-8B5E-0DC16DFD2263}"/>
    <cellStyle name="40% - Accent1 2 3 2 3 2 2 2" xfId="5210" xr:uid="{0F05E2E1-4727-4E47-9D75-976F17273139}"/>
    <cellStyle name="40% - Accent1 2 3 2 3 2 3" xfId="3944" xr:uid="{72755C51-5E48-4D43-9F32-BA947EF93CC1}"/>
    <cellStyle name="40% - Accent1 2 3 2 3 3" xfId="2015" xr:uid="{C0C3D207-76B5-429F-94EF-59D2155443E9}"/>
    <cellStyle name="40% - Accent1 2 3 2 3 3 2" xfId="4332" xr:uid="{E9835A65-98A6-467E-B10A-24AF841CB236}"/>
    <cellStyle name="40% - Accent1 2 3 2 3 4" xfId="2539" xr:uid="{ADED852A-7F59-4586-95BC-DEA9887C6013}"/>
    <cellStyle name="40% - Accent1 2 3 2 3 4 2" xfId="4618" xr:uid="{95F8AEE2-3540-420D-9A22-02D22D9A8D81}"/>
    <cellStyle name="40% - Accent1 2 3 2 3 5" xfId="3556" xr:uid="{E2901FFD-01ED-4BBF-AD54-BC378F163F95}"/>
    <cellStyle name="40% - Accent1 2 3 2 4" xfId="964" xr:uid="{D9D37017-C888-4732-ABA3-FBD3760EECAB}"/>
    <cellStyle name="40% - Accent1 2 3 2 4 2" xfId="1399" xr:uid="{B11CAE51-AC27-4530-BC7F-DE776F9F3239}"/>
    <cellStyle name="40% - Accent1 2 3 2 4 2 2" xfId="2889" xr:uid="{C603F6E4-B17F-4812-AA94-B3A931EA979E}"/>
    <cellStyle name="40% - Accent1 2 3 2 4 2 2 2" xfId="4943" xr:uid="{0B1F0DBB-1B84-421C-A0E9-BD5FC2D2F5CB}"/>
    <cellStyle name="40% - Accent1 2 3 2 4 2 3" xfId="3734" xr:uid="{66490F24-F5F3-48D4-BB46-F78953FDEA04}"/>
    <cellStyle name="40% - Accent1 2 3 2 4 3" xfId="1805" xr:uid="{77DF3B30-A8AC-4449-9B5D-1293D8D8D170}"/>
    <cellStyle name="40% - Accent1 2 3 2 4 3 2" xfId="4122" xr:uid="{ED4AEBCD-C07B-4E45-A23C-87AFA692FE1E}"/>
    <cellStyle name="40% - Accent1 2 3 2 4 4" xfId="2525" xr:uid="{6FAB8C8A-9652-4839-B265-43EA1941B079}"/>
    <cellStyle name="40% - Accent1 2 3 2 4 4 2" xfId="4605" xr:uid="{B29110E9-E4B2-4C87-A4EB-1714AE7CF4FC}"/>
    <cellStyle name="40% - Accent1 2 3 2 4 5" xfId="3346" xr:uid="{CFA3F4E4-5F1C-43C3-B8DE-493DBF03B4D0}"/>
    <cellStyle name="40% - Accent1 2 3 2 5" xfId="1325" xr:uid="{21409B32-1ACB-4EF6-A201-C178E52AE19F}"/>
    <cellStyle name="40% - Accent1 2 3 2 5 2" xfId="2904" xr:uid="{16BE33C4-4AEB-4903-A603-1FED0A489BB2}"/>
    <cellStyle name="40% - Accent1 2 3 2 5 2 2" xfId="4958" xr:uid="{331C97F1-72F6-4661-9E05-1147C2F2A571}"/>
    <cellStyle name="40% - Accent1 2 3 2 5 3" xfId="3661" xr:uid="{5A73F0E2-9457-459A-B62D-C0102E7F0B1C}"/>
    <cellStyle name="40% - Accent1 2 3 2 6" xfId="1732" xr:uid="{E7963196-FE86-4E11-9C66-E6E463ED2131}"/>
    <cellStyle name="40% - Accent1 2 3 2 6 2" xfId="4049" xr:uid="{2BB14409-7FF0-4A50-80A4-6D3095909E89}"/>
    <cellStyle name="40% - Accent1 2 3 2 7" xfId="2213" xr:uid="{4F7CD9A5-888E-4157-8173-3E6AF474A158}"/>
    <cellStyle name="40% - Accent1 2 3 2 7 2" xfId="4434" xr:uid="{3E1AA1B6-FC2D-40AD-975D-70255C25B544}"/>
    <cellStyle name="40% - Accent1 2 3 2 8" xfId="3273" xr:uid="{776A6428-2F71-4EF7-B02C-944428EF3BBB}"/>
    <cellStyle name="40% - Accent1 2 3 3" xfId="1002" xr:uid="{E9C0F5F8-0715-4CA2-94B4-E7FDC6255A83}"/>
    <cellStyle name="40% - Accent1 2 3 3 2" xfId="1121" xr:uid="{F0C31113-4BA4-46BF-89C8-DB03970D487C}"/>
    <cellStyle name="40% - Accent1 2 3 3 2 2" xfId="1538" xr:uid="{3D4BBC23-2841-4BD4-8379-155D2B3E6458}"/>
    <cellStyle name="40% - Accent1 2 3 3 2 2 2" xfId="3090" xr:uid="{D9EA1198-503A-4ED5-8CCB-C6FB0216C6C7}"/>
    <cellStyle name="40% - Accent1 2 3 3 2 2 2 2" xfId="5139" xr:uid="{B8154155-6946-4CA1-B5F0-D25A82F96292}"/>
    <cellStyle name="40% - Accent1 2 3 3 2 2 3" xfId="3873" xr:uid="{2379828A-AF1A-491D-8BE0-7FA5CBD05F03}"/>
    <cellStyle name="40% - Accent1 2 3 3 2 3" xfId="1944" xr:uid="{041C0E77-DF3F-4B5E-987C-FE1351A1847E}"/>
    <cellStyle name="40% - Accent1 2 3 3 2 3 2" xfId="4261" xr:uid="{F2C19D17-A94A-4BA8-A0B5-C498D9CE2F24}"/>
    <cellStyle name="40% - Accent1 2 3 3 2 4" xfId="2706" xr:uid="{3338E207-EBCA-4F99-93F1-F1049F03F05C}"/>
    <cellStyle name="40% - Accent1 2 3 3 2 4 2" xfId="4776" xr:uid="{BFB14375-9EAD-4A5E-AA3D-E6A39AB05C8A}"/>
    <cellStyle name="40% - Accent1 2 3 3 2 5" xfId="3485" xr:uid="{720E2339-C7DC-4E28-9716-E52FCC1D9646}"/>
    <cellStyle name="40% - Accent1 2 3 3 3" xfId="1232" xr:uid="{BB90AA8E-7076-4983-92C8-BA4C85A37A59}"/>
    <cellStyle name="40% - Accent1 2 3 3 3 2" xfId="1643" xr:uid="{00DDD732-CD3F-4E83-BAB4-B78F244A2661}"/>
    <cellStyle name="40% - Accent1 2 3 3 3 2 2" xfId="3195" xr:uid="{5DB3FDDC-AE7A-4CB0-9718-ECD1364B993E}"/>
    <cellStyle name="40% - Accent1 2 3 3 3 2 2 2" xfId="5244" xr:uid="{B73CB861-0012-4B28-843F-85190982E9CD}"/>
    <cellStyle name="40% - Accent1 2 3 3 3 2 3" xfId="3978" xr:uid="{7BEE68DF-1A9B-48C3-817D-FC19CE5E77DF}"/>
    <cellStyle name="40% - Accent1 2 3 3 3 3" xfId="2049" xr:uid="{7A43FDF6-86AF-40DD-9E77-58ABBD109BFD}"/>
    <cellStyle name="40% - Accent1 2 3 3 3 3 2" xfId="4366" xr:uid="{56EA2365-9B08-401B-9536-603035A41FB2}"/>
    <cellStyle name="40% - Accent1 2 3 3 3 4" xfId="2783" xr:uid="{30C9E768-F1BC-47CB-824C-9DEBD6A047D8}"/>
    <cellStyle name="40% - Accent1 2 3 3 3 4 2" xfId="4853" xr:uid="{8BC221FF-398E-416B-A7CF-872035414113}"/>
    <cellStyle name="40% - Accent1 2 3 3 3 5" xfId="3590" xr:uid="{0C0BE9A6-0D5F-43FD-9285-B7E0D2AEA867}"/>
    <cellStyle name="40% - Accent1 2 3 3 4" xfId="1433" xr:uid="{ABF20BEA-CA47-4885-A7A3-F8C111B037EF}"/>
    <cellStyle name="40% - Accent1 2 3 3 4 2" xfId="2627" xr:uid="{BA6AB16C-8DF7-48A8-9AE8-22FE82A3C67A}"/>
    <cellStyle name="40% - Accent1 2 3 3 4 2 2" xfId="4697" xr:uid="{51F06332-4F76-4A35-8411-CFF060CBE8F4}"/>
    <cellStyle name="40% - Accent1 2 3 3 4 3" xfId="3768" xr:uid="{2E9E80AF-335B-4F64-AEDA-F3AEFF9DF5E8}"/>
    <cellStyle name="40% - Accent1 2 3 3 5" xfId="1839" xr:uid="{BBAF1964-0FBD-49E3-9379-9973129DC241}"/>
    <cellStyle name="40% - Accent1 2 3 3 5 2" xfId="2987" xr:uid="{EB782213-F1BC-49B5-806F-AB3E502B002E}"/>
    <cellStyle name="40% - Accent1 2 3 3 5 2 2" xfId="5037" xr:uid="{6A4C86D7-7F85-43D1-9A3F-0474FE36ECCA}"/>
    <cellStyle name="40% - Accent1 2 3 3 5 3" xfId="4156" xr:uid="{48350469-B155-4579-9980-0BCF69296690}"/>
    <cellStyle name="40% - Accent1 2 3 3 6" xfId="2377" xr:uid="{EBA433F5-FE2A-4278-8F6D-F358BE1637F1}"/>
    <cellStyle name="40% - Accent1 2 3 3 6 2" xfId="4478" xr:uid="{FA54C275-0CF3-4CE6-995C-7637E4EDAD71}"/>
    <cellStyle name="40% - Accent1 2 3 3 7" xfId="3380" xr:uid="{5851DB93-BD6A-4245-B3AA-536944168828}"/>
    <cellStyle name="40% - Accent1 2 3 4" xfId="1054" xr:uid="{63995D46-4E90-4344-9FD7-25B458E6A815}"/>
    <cellStyle name="40% - Accent1 2 3 4 2" xfId="1471" xr:uid="{45579781-A442-483F-A68D-E2988D3A7F93}"/>
    <cellStyle name="40% - Accent1 2 3 4 2 2" xfId="3023" xr:uid="{D630DBC2-EBB0-498A-8AE9-4496350F6060}"/>
    <cellStyle name="40% - Accent1 2 3 4 2 2 2" xfId="5073" xr:uid="{D5017F7A-13A3-496B-9569-96B256DB1948}"/>
    <cellStyle name="40% - Accent1 2 3 4 2 3" xfId="3806" xr:uid="{384273E7-9F57-4EF3-8C27-CCCBB31E3988}"/>
    <cellStyle name="40% - Accent1 2 3 4 3" xfId="1877" xr:uid="{30C564BC-D743-4862-812E-5543EF66BF5A}"/>
    <cellStyle name="40% - Accent1 2 3 4 3 2" xfId="4194" xr:uid="{2568B706-6F3B-490B-967D-4ED03AF794C5}"/>
    <cellStyle name="40% - Accent1 2 3 4 4" xfId="2452" xr:uid="{622631A5-FBB5-4EF3-BC50-3A6B6E2A5B73}"/>
    <cellStyle name="40% - Accent1 2 3 4 4 2" xfId="4552" xr:uid="{ED4DD036-04C0-4587-9DEF-AF0B20DB712C}"/>
    <cellStyle name="40% - Accent1 2 3 4 5" xfId="3418" xr:uid="{012E347B-19C0-49A8-B91F-2490008C6776}"/>
    <cellStyle name="40% - Accent1 2 3 5" xfId="1159" xr:uid="{E9837451-51D8-419F-A2E4-4639735DEBE7}"/>
    <cellStyle name="40% - Accent1 2 3 5 2" xfId="1576" xr:uid="{0C3500BF-35F6-4F78-A295-D2DE144AA4E2}"/>
    <cellStyle name="40% - Accent1 2 3 5 2 2" xfId="3128" xr:uid="{4E980C6A-39C9-4AE7-9425-BFA507255C8E}"/>
    <cellStyle name="40% - Accent1 2 3 5 2 2 2" xfId="5177" xr:uid="{FAC65156-42A3-4978-A5E6-37980350AA64}"/>
    <cellStyle name="40% - Accent1 2 3 5 2 3" xfId="3911" xr:uid="{77B441BA-7285-4515-B739-840066BDD107}"/>
    <cellStyle name="40% - Accent1 2 3 5 3" xfId="1982" xr:uid="{BBC1D813-33D9-4BCE-8E39-CFE2C0CD0EF6}"/>
    <cellStyle name="40% - Accent1 2 3 5 3 2" xfId="4299" xr:uid="{DF17EF63-6E49-40EB-9FD7-8356FA81CF51}"/>
    <cellStyle name="40% - Accent1 2 3 5 4" xfId="2744" xr:uid="{77F787B4-6FAF-4350-AEAC-250022F0A35D}"/>
    <cellStyle name="40% - Accent1 2 3 5 4 2" xfId="4814" xr:uid="{A4B7B2C0-0F9E-4538-8278-0EF7D9FC3368}"/>
    <cellStyle name="40% - Accent1 2 3 5 5" xfId="3523" xr:uid="{9BB9B0AC-FC2D-4D39-944C-4210E9945160}"/>
    <cellStyle name="40% - Accent1 2 3 6" xfId="906" xr:uid="{CCFBAC37-E103-4BE1-AAD0-504142BF053B}"/>
    <cellStyle name="40% - Accent1 2 3 6 2" xfId="1365" xr:uid="{F9B0057B-D9A2-457D-B217-8C440FB32C07}"/>
    <cellStyle name="40% - Accent1 2 3 6 2 2" xfId="2961" xr:uid="{D63C6E2E-F373-4845-9CD5-109F9CA8C0B1}"/>
    <cellStyle name="40% - Accent1 2 3 6 2 2 2" xfId="5012" xr:uid="{5FF6511C-6BEB-428B-A94E-EB04E5D8CEB0}"/>
    <cellStyle name="40% - Accent1 2 3 6 2 3" xfId="3701" xr:uid="{D9C07F81-4D4A-479E-BC7A-6686AF9A54C0}"/>
    <cellStyle name="40% - Accent1 2 3 6 3" xfId="1772" xr:uid="{934C5884-CCE3-4FCB-B7CF-CF9B12F70EC2}"/>
    <cellStyle name="40% - Accent1 2 3 6 3 2" xfId="4089" xr:uid="{AFC0A551-A716-49A9-AB75-7498347304ED}"/>
    <cellStyle name="40% - Accent1 2 3 6 4" xfId="2467" xr:uid="{36266C2C-8760-4933-80A8-95178E6B46CB}"/>
    <cellStyle name="40% - Accent1 2 3 6 4 2" xfId="4562" xr:uid="{A41D456A-51AA-4288-8F92-FEE78D61BAE7}"/>
    <cellStyle name="40% - Accent1 2 3 6 5" xfId="3313" xr:uid="{76410FB4-E994-4FA9-898B-D7B601B38CB2}"/>
    <cellStyle name="40% - Accent1 2 3 7" xfId="1269" xr:uid="{1F36E672-A53E-4A80-89E3-2745CEB1F28B}"/>
    <cellStyle name="40% - Accent1 2 3 7 2" xfId="2833" xr:uid="{97BF108A-A134-40F2-B4A7-65888FC60EED}"/>
    <cellStyle name="40% - Accent1 2 3 7 2 2" xfId="4892" xr:uid="{1FAC67FD-CF03-4FC1-9A8D-ADC32D0BF234}"/>
    <cellStyle name="40% - Accent1 2 3 7 3" xfId="3627" xr:uid="{26CD57EE-B855-4191-B6F8-B1194734B843}"/>
    <cellStyle name="40% - Accent1 2 3 8" xfId="1694" xr:uid="{31B2DE07-4318-4BC3-8757-855E6C983DB2}"/>
    <cellStyle name="40% - Accent1 2 3 8 2" xfId="4015" xr:uid="{AA8AC522-D9FA-4C78-9F43-5062B543DECF}"/>
    <cellStyle name="40% - Accent1 2 3 9" xfId="2119" xr:uid="{B2871E3E-E6EE-4074-BEE4-0779571A1D8C}"/>
    <cellStyle name="40% - Accent1 2 3 9 2" xfId="4406" xr:uid="{8ADFBD65-7EDE-47F1-BA1F-49BFF25418C1}"/>
    <cellStyle name="40% - Accent1 2 4" xfId="71" xr:uid="{07E10D46-A8A7-4519-827F-3913623C0C96}"/>
    <cellStyle name="40% - Accent1 2 5" xfId="72" xr:uid="{32ABAFC9-1FFC-468A-8F2D-D851605B8475}"/>
    <cellStyle name="40% - Accent1 2 6" xfId="2251" xr:uid="{27CE02E4-FF23-4CE3-A43F-5F0E9400B3E6}"/>
    <cellStyle name="40% - Accent1 3" xfId="73" xr:uid="{BB587F0B-63BF-421E-B38B-A0DC1356CC9F}"/>
    <cellStyle name="40% - Accent1 4" xfId="74" xr:uid="{955367C3-41F8-45B1-8C3C-A58A2FAA8A7E}"/>
    <cellStyle name="40% - Accent2 2" xfId="75" xr:uid="{461C8522-8C65-4434-876A-B68C3DFEACD7}"/>
    <cellStyle name="40% - Accent2 2 2" xfId="76" xr:uid="{3D2B0EC9-F61C-4D29-AC79-4DDF0C4C422E}"/>
    <cellStyle name="40% - Accent2 2 3" xfId="77" xr:uid="{1F27E5C6-BECB-4A6D-B798-D93BF679A014}"/>
    <cellStyle name="40% - Accent2 2 3 10" xfId="3240" xr:uid="{2BDC058E-1667-45E3-BBED-2ABDD9C44AB7}"/>
    <cellStyle name="40% - Accent2 2 3 2" xfId="818" xr:uid="{05C251E0-BDD9-4E76-9280-700F824DECE8}"/>
    <cellStyle name="40% - Accent2 2 3 2 2" xfId="1088" xr:uid="{F252A1EC-2312-46BE-8CC8-7EF5719C7245}"/>
    <cellStyle name="40% - Accent2 2 3 2 2 2" xfId="1505" xr:uid="{CF880C88-BA56-43DB-AA4B-D5E4B4F568EF}"/>
    <cellStyle name="40% - Accent2 2 3 2 2 2 2" xfId="2674" xr:uid="{166CC943-989D-47D6-84E0-326CCE9B238A}"/>
    <cellStyle name="40% - Accent2 2 3 2 2 2 2 2" xfId="4744" xr:uid="{0A482050-8B99-43CC-941B-03C29294DE50}"/>
    <cellStyle name="40% - Accent2 2 3 2 2 2 3" xfId="3840" xr:uid="{1CD23216-C311-4836-B0C2-4E2C427A9986}"/>
    <cellStyle name="40% - Accent2 2 3 2 2 3" xfId="1911" xr:uid="{B3260CC7-B232-4AF5-853C-9077B79CCF33}"/>
    <cellStyle name="40% - Accent2 2 3 2 2 3 2" xfId="3057" xr:uid="{8DCCAD31-6E74-404E-BEAF-9BF264078168}"/>
    <cellStyle name="40% - Accent2 2 3 2 2 3 2 2" xfId="5106" xr:uid="{04FE0636-8D15-4215-BFF9-FC383DEA0B2B}"/>
    <cellStyle name="40% - Accent2 2 3 2 2 3 3" xfId="4228" xr:uid="{DFD3F8F0-A9CD-4ADC-89B9-D9DF9797B1CE}"/>
    <cellStyle name="40% - Accent2 2 3 2 2 4" xfId="2406" xr:uid="{B91A7A47-7BED-4694-BBE7-E356FF4803F5}"/>
    <cellStyle name="40% - Accent2 2 3 2 2 4 2" xfId="4507" xr:uid="{F66108CF-4191-47B8-83EF-E22364E3A7A0}"/>
    <cellStyle name="40% - Accent2 2 3 2 2 5" xfId="3452" xr:uid="{52F5631F-B8DA-4C95-B625-677BC5A36A0E}"/>
    <cellStyle name="40% - Accent2 2 3 2 3" xfId="1195" xr:uid="{6232DF17-B0DF-496A-A5E7-D3403B0D15E0}"/>
    <cellStyle name="40% - Accent2 2 3 2 3 2" xfId="1610" xr:uid="{51CE0BFF-21AB-4D08-8930-60A932E75293}"/>
    <cellStyle name="40% - Accent2 2 3 2 3 2 2" xfId="3162" xr:uid="{832DE7B8-A4EE-471A-AA61-104C8DB51D71}"/>
    <cellStyle name="40% - Accent2 2 3 2 3 2 2 2" xfId="5211" xr:uid="{862B4210-FBEB-45A8-A6CF-64602C465852}"/>
    <cellStyle name="40% - Accent2 2 3 2 3 2 3" xfId="3945" xr:uid="{4F745F55-6CD0-4417-8E9B-5BAAAEB44BC0}"/>
    <cellStyle name="40% - Accent2 2 3 2 3 3" xfId="2016" xr:uid="{D8E14C8C-430E-4468-BF95-68A29EFE1C8A}"/>
    <cellStyle name="40% - Accent2 2 3 2 3 3 2" xfId="4333" xr:uid="{92510370-6B64-4FFD-BFC6-F6F6D886239E}"/>
    <cellStyle name="40% - Accent2 2 3 2 3 4" xfId="2540" xr:uid="{5CEFB9ED-782A-48B6-BA2C-EC47C5FA7EE6}"/>
    <cellStyle name="40% - Accent2 2 3 2 3 4 2" xfId="4619" xr:uid="{5F1559C7-0F9A-491F-A8C8-8285A44EFFC8}"/>
    <cellStyle name="40% - Accent2 2 3 2 3 5" xfId="3557" xr:uid="{CC5942B2-5B4C-49A9-B1EB-3D337CA13310}"/>
    <cellStyle name="40% - Accent2 2 3 2 4" xfId="965" xr:uid="{BDE2579C-1683-43C9-A039-2D2742FED2A9}"/>
    <cellStyle name="40% - Accent2 2 3 2 4 2" xfId="1400" xr:uid="{361AA92C-AAA8-42D9-9451-95AB634EB9A7}"/>
    <cellStyle name="40% - Accent2 2 3 2 4 2 2" xfId="2935" xr:uid="{F66BB02D-6BEB-4ABE-A979-3D62D30E0747}"/>
    <cellStyle name="40% - Accent2 2 3 2 4 2 2 2" xfId="4989" xr:uid="{74D11941-2159-475F-8CF1-604B5668E7C1}"/>
    <cellStyle name="40% - Accent2 2 3 2 4 2 3" xfId="3735" xr:uid="{DDFB9C1F-6284-4832-B3FF-1DBE95609F53}"/>
    <cellStyle name="40% - Accent2 2 3 2 4 3" xfId="1806" xr:uid="{7A82A72B-C618-43A6-A9E0-42D0D22B035D}"/>
    <cellStyle name="40% - Accent2 2 3 2 4 3 2" xfId="4123" xr:uid="{152EBAB7-4C74-40AC-B882-D84159905EA4}"/>
    <cellStyle name="40% - Accent2 2 3 2 4 4" xfId="2476" xr:uid="{CB3BF4D0-1642-4A4E-90C7-79EEDFA17AA7}"/>
    <cellStyle name="40% - Accent2 2 3 2 4 4 2" xfId="4570" xr:uid="{AB2EA45F-942B-42DC-82F5-E046829A1B10}"/>
    <cellStyle name="40% - Accent2 2 3 2 4 5" xfId="3347" xr:uid="{D26DFA00-68F7-46EF-9ED7-818230C8737D}"/>
    <cellStyle name="40% - Accent2 2 3 2 5" xfId="1326" xr:uid="{A55EFADD-8E3F-4113-BB88-1F2FB5BBED9A}"/>
    <cellStyle name="40% - Accent2 2 3 2 5 2" xfId="2905" xr:uid="{6D6F0C92-7964-4FA7-A155-C03E358862FA}"/>
    <cellStyle name="40% - Accent2 2 3 2 5 2 2" xfId="4959" xr:uid="{C242188D-3202-40AF-83FB-A3929EA564A9}"/>
    <cellStyle name="40% - Accent2 2 3 2 5 3" xfId="3662" xr:uid="{2DFD4122-8A74-4181-8E7F-4E17285E1A3D}"/>
    <cellStyle name="40% - Accent2 2 3 2 6" xfId="1733" xr:uid="{9A2477E6-38E6-436B-AE9B-854E84FF115E}"/>
    <cellStyle name="40% - Accent2 2 3 2 6 2" xfId="4050" xr:uid="{911592D5-84C6-4F27-97C7-239A798BFF90}"/>
    <cellStyle name="40% - Accent2 2 3 2 7" xfId="2214" xr:uid="{EA47728F-9DC8-49BF-9CD9-C586F3650514}"/>
    <cellStyle name="40% - Accent2 2 3 2 7 2" xfId="4435" xr:uid="{435C06B0-206A-4EA0-BDA0-74F6C156B16C}"/>
    <cellStyle name="40% - Accent2 2 3 2 8" xfId="3274" xr:uid="{13A5BD2E-B07C-47D9-BAD1-2387AEFC8731}"/>
    <cellStyle name="40% - Accent2 2 3 3" xfId="1003" xr:uid="{2255D4CB-89BC-4256-914D-88736FA79CAA}"/>
    <cellStyle name="40% - Accent2 2 3 3 2" xfId="1122" xr:uid="{88BFDA4D-40BB-420E-BE14-C309229B9822}"/>
    <cellStyle name="40% - Accent2 2 3 3 2 2" xfId="1539" xr:uid="{1951F724-7A11-4332-BBE6-8BB2510107A3}"/>
    <cellStyle name="40% - Accent2 2 3 3 2 2 2" xfId="3091" xr:uid="{B21B943E-9880-4543-8E05-EA927937A506}"/>
    <cellStyle name="40% - Accent2 2 3 3 2 2 2 2" xfId="5140" xr:uid="{BFD48C97-30E3-40E6-A05D-55368C098F7C}"/>
    <cellStyle name="40% - Accent2 2 3 3 2 2 3" xfId="3874" xr:uid="{7D45CC6A-BA43-4BC4-9062-EADA9C6DCC82}"/>
    <cellStyle name="40% - Accent2 2 3 3 2 3" xfId="1945" xr:uid="{B67EECF6-E66F-415B-A1A2-D1D7B47190B3}"/>
    <cellStyle name="40% - Accent2 2 3 3 2 3 2" xfId="4262" xr:uid="{D2402F41-F4BD-4A4A-B756-4F4D87A8436D}"/>
    <cellStyle name="40% - Accent2 2 3 3 2 4" xfId="2707" xr:uid="{2C7AE76C-E707-40A5-9077-5F9708D0D295}"/>
    <cellStyle name="40% - Accent2 2 3 3 2 4 2" xfId="4777" xr:uid="{1D3BD522-2F45-48DA-A052-1DED0A07F201}"/>
    <cellStyle name="40% - Accent2 2 3 3 2 5" xfId="3486" xr:uid="{E44EFBA8-DA3D-4F8E-B2D4-F4667CFAEB66}"/>
    <cellStyle name="40% - Accent2 2 3 3 3" xfId="1233" xr:uid="{FE694FEF-BFF3-4828-831F-E5548C205D21}"/>
    <cellStyle name="40% - Accent2 2 3 3 3 2" xfId="1644" xr:uid="{DB5D972E-F0F8-43CE-B5DA-C9B3CF7A0466}"/>
    <cellStyle name="40% - Accent2 2 3 3 3 2 2" xfId="3196" xr:uid="{57FB6F2A-7703-4B13-A7CC-6B6441C78BBF}"/>
    <cellStyle name="40% - Accent2 2 3 3 3 2 2 2" xfId="5245" xr:uid="{B47EE48B-5E88-4D8E-8460-6C4371EA8C75}"/>
    <cellStyle name="40% - Accent2 2 3 3 3 2 3" xfId="3979" xr:uid="{79F704DD-723A-4453-920D-518A1C1FE4EB}"/>
    <cellStyle name="40% - Accent2 2 3 3 3 3" xfId="2050" xr:uid="{DA463B21-DD86-4329-8126-B19B4431F390}"/>
    <cellStyle name="40% - Accent2 2 3 3 3 3 2" xfId="4367" xr:uid="{FAF45535-BF9A-4639-A3B2-4CE0A275C3B5}"/>
    <cellStyle name="40% - Accent2 2 3 3 3 4" xfId="2784" xr:uid="{2EF29AEF-908F-4924-840B-F80B3391873A}"/>
    <cellStyle name="40% - Accent2 2 3 3 3 4 2" xfId="4854" xr:uid="{A95FB66F-2751-4D2C-BAB5-E43C979FF2EF}"/>
    <cellStyle name="40% - Accent2 2 3 3 3 5" xfId="3591" xr:uid="{1E341359-471E-4098-895C-64ECCB91B14E}"/>
    <cellStyle name="40% - Accent2 2 3 3 4" xfId="1434" xr:uid="{7FB77B0E-DA6E-4305-8719-F8618DDB0C63}"/>
    <cellStyle name="40% - Accent2 2 3 3 4 2" xfId="2628" xr:uid="{7449D369-681F-4705-A08C-3CB966D653A9}"/>
    <cellStyle name="40% - Accent2 2 3 3 4 2 2" xfId="4698" xr:uid="{54D377C7-CB15-4C1C-97BE-C76F2EA27415}"/>
    <cellStyle name="40% - Accent2 2 3 3 4 3" xfId="3769" xr:uid="{3A69E2C7-FE5D-4FC1-851A-196960444404}"/>
    <cellStyle name="40% - Accent2 2 3 3 5" xfId="1840" xr:uid="{FD430BD1-8B1B-4EFE-945C-B7C93230A699}"/>
    <cellStyle name="40% - Accent2 2 3 3 5 2" xfId="2988" xr:uid="{ABE59CE4-0A36-4F3E-A9CF-EA2970890C4F}"/>
    <cellStyle name="40% - Accent2 2 3 3 5 2 2" xfId="5038" xr:uid="{42E27708-20D2-447E-9391-0C3BE52FCBC3}"/>
    <cellStyle name="40% - Accent2 2 3 3 5 3" xfId="4157" xr:uid="{E99AB448-295A-4B3F-9D32-82BA52E67E83}"/>
    <cellStyle name="40% - Accent2 2 3 3 6" xfId="2378" xr:uid="{95888E57-F0F4-43F7-A3A3-E09BE4CDB11D}"/>
    <cellStyle name="40% - Accent2 2 3 3 6 2" xfId="4479" xr:uid="{4DE268AF-E6E8-4DDE-A192-2B9C74364C87}"/>
    <cellStyle name="40% - Accent2 2 3 3 7" xfId="3381" xr:uid="{93D39218-C548-438C-9F72-0D0166EBA60B}"/>
    <cellStyle name="40% - Accent2 2 3 4" xfId="1057" xr:uid="{3A067D13-DD83-496A-9F83-52AE385DFE25}"/>
    <cellStyle name="40% - Accent2 2 3 4 2" xfId="1474" xr:uid="{FE0EC68A-BBE3-4AC9-8CCF-6BB3328E7CF9}"/>
    <cellStyle name="40% - Accent2 2 3 4 2 2" xfId="3026" xr:uid="{6D6AF852-E1D0-4408-934C-114DD3AA045F}"/>
    <cellStyle name="40% - Accent2 2 3 4 2 2 2" xfId="5076" xr:uid="{E5182812-9C01-45E7-B5D6-5F7EDFD2A55F}"/>
    <cellStyle name="40% - Accent2 2 3 4 2 3" xfId="3809" xr:uid="{AEE6AD98-9DF0-42A7-9822-370A05A707D6}"/>
    <cellStyle name="40% - Accent2 2 3 4 3" xfId="1880" xr:uid="{3FC66BBA-69B3-4C2D-9A41-69FAC642556B}"/>
    <cellStyle name="40% - Accent2 2 3 4 3 2" xfId="4197" xr:uid="{BEF94BF9-ABE6-4013-90AF-2CAFE973D2B2}"/>
    <cellStyle name="40% - Accent2 2 3 4 4" xfId="2454" xr:uid="{6D5996B6-AE66-44C8-82AE-123C8CE6BF72}"/>
    <cellStyle name="40% - Accent2 2 3 4 4 2" xfId="4553" xr:uid="{B29C584E-8CFC-42E8-83BF-1886FBE7479F}"/>
    <cellStyle name="40% - Accent2 2 3 4 5" xfId="3421" xr:uid="{E1F75FAA-B242-4363-B799-E7ED877B1EF9}"/>
    <cellStyle name="40% - Accent2 2 3 5" xfId="1163" xr:uid="{79920AC1-FFF1-4736-BDFC-CD1F9D61D90F}"/>
    <cellStyle name="40% - Accent2 2 3 5 2" xfId="1579" xr:uid="{6A1BDCDE-CD5B-462A-9C9D-46C72173C04E}"/>
    <cellStyle name="40% - Accent2 2 3 5 2 2" xfId="3131" xr:uid="{A221FEDA-F369-4009-96D4-44457CB0EF85}"/>
    <cellStyle name="40% - Accent2 2 3 5 2 2 2" xfId="5180" xr:uid="{8A678671-55A2-48FA-98CE-85FEBF1A5DD7}"/>
    <cellStyle name="40% - Accent2 2 3 5 2 3" xfId="3914" xr:uid="{43C5F4B6-973A-4C56-8ED2-27DEFAD1256C}"/>
    <cellStyle name="40% - Accent2 2 3 5 3" xfId="1985" xr:uid="{6AB78D8F-45BB-41CB-AF9D-84ACE4726932}"/>
    <cellStyle name="40% - Accent2 2 3 5 3 2" xfId="4302" xr:uid="{EC48A59F-858F-4682-BD9D-73C99E2C81C3}"/>
    <cellStyle name="40% - Accent2 2 3 5 4" xfId="2747" xr:uid="{209D0F6D-4072-4C2D-A37D-2F1F45624BDD}"/>
    <cellStyle name="40% - Accent2 2 3 5 4 2" xfId="4817" xr:uid="{A8040F15-7738-490B-A52A-851AA56177FF}"/>
    <cellStyle name="40% - Accent2 2 3 5 5" xfId="3526" xr:uid="{F49ADD3A-858E-4FDE-8204-E2509A59C98C}"/>
    <cellStyle name="40% - Accent2 2 3 6" xfId="911" xr:uid="{8DAA57D3-996C-48D5-A555-0BB3EDBAA229}"/>
    <cellStyle name="40% - Accent2 2 3 6 2" xfId="1368" xr:uid="{DADA26B8-BD1D-4F95-AB5A-3A877E358769}"/>
    <cellStyle name="40% - Accent2 2 3 6 2 2" xfId="2950" xr:uid="{61116332-0CB6-4D8E-941A-B60B63310E9C}"/>
    <cellStyle name="40% - Accent2 2 3 6 2 2 2" xfId="5003" xr:uid="{2BD04EBE-57B5-45F1-BD28-B0A7396AB610}"/>
    <cellStyle name="40% - Accent2 2 3 6 2 3" xfId="3704" xr:uid="{162345AD-1937-461D-93F9-EE610F8EA13F}"/>
    <cellStyle name="40% - Accent2 2 3 6 3" xfId="1775" xr:uid="{374DF965-5C0B-40D5-97B6-3089205C17DC}"/>
    <cellStyle name="40% - Accent2 2 3 6 3 2" xfId="4092" xr:uid="{4EF49640-3888-4E79-96E8-1E22F5CC9154}"/>
    <cellStyle name="40% - Accent2 2 3 6 4" xfId="2515" xr:uid="{0EE3A423-49F3-423B-AA50-89B5FCED9FA0}"/>
    <cellStyle name="40% - Accent2 2 3 6 4 2" xfId="4596" xr:uid="{6534EBC8-4E50-4678-9165-B4CB297856B7}"/>
    <cellStyle name="40% - Accent2 2 3 6 5" xfId="3316" xr:uid="{AC882EFA-3BBF-47AB-BED9-73A1D030FA10}"/>
    <cellStyle name="40% - Accent2 2 3 7" xfId="1272" xr:uid="{2DA8C643-17EB-4A67-9CEC-9D888595A600}"/>
    <cellStyle name="40% - Accent2 2 3 7 2" xfId="2834" xr:uid="{F1E703FC-37A9-459E-A5B5-B43CDC978113}"/>
    <cellStyle name="40% - Accent2 2 3 7 2 2" xfId="4893" xr:uid="{C10A71B6-05FB-4658-9573-4FEB7CA9322B}"/>
    <cellStyle name="40% - Accent2 2 3 7 3" xfId="3628" xr:uid="{F8CBD48B-789C-4D80-B913-2F2B26D7BB79}"/>
    <cellStyle name="40% - Accent2 2 3 8" xfId="1695" xr:uid="{816F7EDA-8210-4FD8-9D86-35E04DE3F218}"/>
    <cellStyle name="40% - Accent2 2 3 8 2" xfId="4016" xr:uid="{C4E4EDE5-A7DA-422D-99E7-D9BEC2B570EA}"/>
    <cellStyle name="40% - Accent2 2 3 9" xfId="2120" xr:uid="{7F57785C-FBCC-472E-89AA-761812855FBE}"/>
    <cellStyle name="40% - Accent2 2 3 9 2" xfId="4407" xr:uid="{8B16D043-31C3-498A-921E-FDB0B97862FD}"/>
    <cellStyle name="40% - Accent2 3" xfId="78" xr:uid="{DC1A454D-AB27-40D5-8BC5-465822D0DB1E}"/>
    <cellStyle name="40% - Accent2 4" xfId="79" xr:uid="{9FE82EF1-48B9-447D-AE5F-DAE9142CF5EF}"/>
    <cellStyle name="40% - Accent3 2" xfId="80" xr:uid="{7FB3506F-0748-417E-8808-3138195AA690}"/>
    <cellStyle name="40% - Accent3 2 2" xfId="81" xr:uid="{504A54D5-C990-489C-A802-E46E1A7A65D9}"/>
    <cellStyle name="40% - Accent3 2 2 2" xfId="2252" xr:uid="{C0C256E7-7DD4-4F33-886D-24412B85AC0B}"/>
    <cellStyle name="40% - Accent3 2 2 3" xfId="2121" xr:uid="{8EF26B9C-6B34-4FFB-9994-BD811B5A86CF}"/>
    <cellStyle name="40% - Accent3 2 3" xfId="82" xr:uid="{D49A2927-0CBC-4C12-A123-DD4EF61C0125}"/>
    <cellStyle name="40% - Accent3 2 3 10" xfId="3241" xr:uid="{B56F6F6E-6BCC-4749-B2D4-A6B21A605E64}"/>
    <cellStyle name="40% - Accent3 2 3 2" xfId="819" xr:uid="{B5D8EA98-05CE-4903-96DA-2FF77C80C053}"/>
    <cellStyle name="40% - Accent3 2 3 2 2" xfId="1089" xr:uid="{6D33CDF2-DE6B-43A2-A775-CA2E6A15BFA7}"/>
    <cellStyle name="40% - Accent3 2 3 2 2 2" xfId="1506" xr:uid="{43CC4CFA-D557-4D37-AEC9-078AF801A7F6}"/>
    <cellStyle name="40% - Accent3 2 3 2 2 2 2" xfId="2675" xr:uid="{4A6EE057-E802-4026-BC15-EB1A330F34BB}"/>
    <cellStyle name="40% - Accent3 2 3 2 2 2 2 2" xfId="4745" xr:uid="{F417C663-E296-4723-A440-52BBF696BE45}"/>
    <cellStyle name="40% - Accent3 2 3 2 2 2 3" xfId="3841" xr:uid="{B6885B91-F929-43F0-89B5-54F096A08C01}"/>
    <cellStyle name="40% - Accent3 2 3 2 2 3" xfId="1912" xr:uid="{945976CB-C5DB-4686-BF8C-A18024386CBF}"/>
    <cellStyle name="40% - Accent3 2 3 2 2 3 2" xfId="3058" xr:uid="{B58BB783-896E-471B-BDC6-75899BF7CE0D}"/>
    <cellStyle name="40% - Accent3 2 3 2 2 3 2 2" xfId="5107" xr:uid="{7177BA80-D429-4373-A6FA-71EF5987D368}"/>
    <cellStyle name="40% - Accent3 2 3 2 2 3 3" xfId="4229" xr:uid="{00D993FA-2A3E-4B18-BBF6-23D722677A3A}"/>
    <cellStyle name="40% - Accent3 2 3 2 2 4" xfId="2407" xr:uid="{9E7A886C-92CB-4160-968C-80F3CD10EB10}"/>
    <cellStyle name="40% - Accent3 2 3 2 2 4 2" xfId="4508" xr:uid="{8E7A6B37-EE2F-43D2-BB1E-ED80C3A149EB}"/>
    <cellStyle name="40% - Accent3 2 3 2 2 5" xfId="3453" xr:uid="{BBD2155D-158D-4290-9BAE-B4473FC43E75}"/>
    <cellStyle name="40% - Accent3 2 3 2 3" xfId="1196" xr:uid="{E0011F95-5B74-41AF-B710-E9F3DB1B2924}"/>
    <cellStyle name="40% - Accent3 2 3 2 3 2" xfId="1611" xr:uid="{67A39BD8-E8FD-4BF3-A214-E463B9B6FA88}"/>
    <cellStyle name="40% - Accent3 2 3 2 3 2 2" xfId="2772" xr:uid="{3EB79856-B16E-470B-B5A6-FAFF35FFF52F}"/>
    <cellStyle name="40% - Accent3 2 3 2 3 2 2 2" xfId="4842" xr:uid="{ED18F974-FB5E-442A-A785-12DEC0B1193D}"/>
    <cellStyle name="40% - Accent3 2 3 2 3 2 3" xfId="3946" xr:uid="{63A1C15D-FEF6-4F9B-A5F9-50116792DCB6}"/>
    <cellStyle name="40% - Accent3 2 3 2 3 3" xfId="2017" xr:uid="{1703BC92-79EB-4044-AD22-444FA6487614}"/>
    <cellStyle name="40% - Accent3 2 3 2 3 3 2" xfId="3163" xr:uid="{9748CE1F-DFFC-4AFA-A021-F852846CBFEB}"/>
    <cellStyle name="40% - Accent3 2 3 2 3 3 2 2" xfId="5212" xr:uid="{06D22FF6-8BD1-4C2C-B14B-CDE1B2F50886}"/>
    <cellStyle name="40% - Accent3 2 3 2 3 3 3" xfId="4334" xr:uid="{13DE4457-42CA-4FA0-8AB2-EBCDDBCDBF2A}"/>
    <cellStyle name="40% - Accent3 2 3 2 3 4" xfId="2541" xr:uid="{11AFFC04-E6DD-49EA-82E5-94AE6B221D48}"/>
    <cellStyle name="40% - Accent3 2 3 2 3 4 2" xfId="4620" xr:uid="{0E0931C7-DA93-41DB-A287-5E3D492BE6CE}"/>
    <cellStyle name="40% - Accent3 2 3 2 3 5" xfId="3558" xr:uid="{24390718-A0B2-40C5-BD8E-24A4C92108FF}"/>
    <cellStyle name="40% - Accent3 2 3 2 4" xfId="966" xr:uid="{4A3534CA-D892-4F99-B923-E3E74BF128AE}"/>
    <cellStyle name="40% - Accent3 2 3 2 4 2" xfId="1401" xr:uid="{3E962F46-0465-4702-873B-390469B42D95}"/>
    <cellStyle name="40% - Accent3 2 3 2 4 2 2" xfId="2973" xr:uid="{5FE532BE-EACB-42E3-A259-A4DA64441437}"/>
    <cellStyle name="40% - Accent3 2 3 2 4 2 2 2" xfId="5023" xr:uid="{7BC051AD-68AE-4B1F-A0DF-574EE619FEFD}"/>
    <cellStyle name="40% - Accent3 2 3 2 4 2 3" xfId="3736" xr:uid="{5AB2D9E5-3BA2-4B45-8EF7-FC7A58CBD44A}"/>
    <cellStyle name="40% - Accent3 2 3 2 4 3" xfId="1807" xr:uid="{BB863A42-2CC0-4F92-835F-576444FF315D}"/>
    <cellStyle name="40% - Accent3 2 3 2 4 3 2" xfId="4124" xr:uid="{C58F6BCA-AA14-4B45-BCD7-A5C01E0E99BA}"/>
    <cellStyle name="40% - Accent3 2 3 2 4 4" xfId="2598" xr:uid="{9625480D-2867-49B8-819D-BBEC9D5E4C9B}"/>
    <cellStyle name="40% - Accent3 2 3 2 4 4 2" xfId="4669" xr:uid="{14D05DEE-429D-4AD2-8F15-088DEE3EC218}"/>
    <cellStyle name="40% - Accent3 2 3 2 4 5" xfId="3348" xr:uid="{641B2114-D3BC-4948-8459-921C0DF0583B}"/>
    <cellStyle name="40% - Accent3 2 3 2 5" xfId="1327" xr:uid="{6C76FDA8-2DD1-4C48-AEAE-3D68EA221CFB}"/>
    <cellStyle name="40% - Accent3 2 3 2 5 2" xfId="2482" xr:uid="{8779F3EB-CFA0-4DB9-B73D-93B03C2177DC}"/>
    <cellStyle name="40% - Accent3 2 3 2 5 2 2" xfId="4575" xr:uid="{ED5A2F7B-895C-40A7-ACD6-6EECF1DC1188}"/>
    <cellStyle name="40% - Accent3 2 3 2 5 3" xfId="3663" xr:uid="{43F73A28-BEB6-4DFB-B6E1-7BA039944522}"/>
    <cellStyle name="40% - Accent3 2 3 2 6" xfId="1734" xr:uid="{B4749117-4A5B-40EA-84AA-1273D80FC7A8}"/>
    <cellStyle name="40% - Accent3 2 3 2 6 2" xfId="2906" xr:uid="{62C0A22F-A7C8-4A5C-8689-2331651AF441}"/>
    <cellStyle name="40% - Accent3 2 3 2 6 2 2" xfId="4960" xr:uid="{2E735884-922F-41EE-9BC2-E75223FBDBD0}"/>
    <cellStyle name="40% - Accent3 2 3 2 6 3" xfId="4051" xr:uid="{F0171207-680C-4A06-95E6-D9A830F504AA}"/>
    <cellStyle name="40% - Accent3 2 3 2 7" xfId="2848" xr:uid="{E38826FF-7E6E-4AFD-92BC-4151312AC9B8}"/>
    <cellStyle name="40% - Accent3 2 3 2 7 2" xfId="4905" xr:uid="{411E90CA-E8C7-4CAD-85C3-4FE9F31ABC07}"/>
    <cellStyle name="40% - Accent3 2 3 2 8" xfId="2215" xr:uid="{99B01563-05D0-4F8E-8CE7-ABD344129082}"/>
    <cellStyle name="40% - Accent3 2 3 2 8 2" xfId="4436" xr:uid="{448EC743-8829-43C5-8C12-F33AB3AAB8E7}"/>
    <cellStyle name="40% - Accent3 2 3 2 9" xfId="3275" xr:uid="{F1178EAA-4BB9-441E-97D8-CC73018E54E6}"/>
    <cellStyle name="40% - Accent3 2 3 3" xfId="1004" xr:uid="{2DB2BC41-E9EE-4AED-A672-D7F21C7B10DE}"/>
    <cellStyle name="40% - Accent3 2 3 3 2" xfId="1123" xr:uid="{B12E94F5-3790-499A-9F62-A902D1D5D5B2}"/>
    <cellStyle name="40% - Accent3 2 3 3 2 2" xfId="1540" xr:uid="{F5067E9B-E64E-4DEE-BCE2-D0090FF40656}"/>
    <cellStyle name="40% - Accent3 2 3 3 2 2 2" xfId="2708" xr:uid="{BA4EFF33-C2A3-4AF3-9950-4E0209E9760F}"/>
    <cellStyle name="40% - Accent3 2 3 3 2 2 2 2" xfId="4778" xr:uid="{E114E832-319E-44EA-8079-8896F5CB4901}"/>
    <cellStyle name="40% - Accent3 2 3 3 2 2 3" xfId="3875" xr:uid="{D0175430-5D10-4600-95BF-8F640C2B18CE}"/>
    <cellStyle name="40% - Accent3 2 3 3 2 3" xfId="1946" xr:uid="{70619735-7CFF-4F49-90D3-612FC01324C7}"/>
    <cellStyle name="40% - Accent3 2 3 3 2 3 2" xfId="3092" xr:uid="{7F6F9B6D-B606-4D3C-A7C2-12032D1BDA99}"/>
    <cellStyle name="40% - Accent3 2 3 3 2 3 2 2" xfId="5141" xr:uid="{7C958E6D-B2BE-4AB6-B2CE-8211365F5E75}"/>
    <cellStyle name="40% - Accent3 2 3 3 2 3 3" xfId="4263" xr:uid="{76F3CA16-5794-47B8-B412-46289A135B1F}"/>
    <cellStyle name="40% - Accent3 2 3 3 2 4" xfId="2428" xr:uid="{A8777772-241C-4A7C-B6EB-E699AAEC3706}"/>
    <cellStyle name="40% - Accent3 2 3 3 2 4 2" xfId="4529" xr:uid="{96578245-6C16-49B5-A53A-40B75F584FC6}"/>
    <cellStyle name="40% - Accent3 2 3 3 2 5" xfId="3487" xr:uid="{A1221E28-4B2B-4AFE-BD5F-3305549A7B04}"/>
    <cellStyle name="40% - Accent3 2 3 3 3" xfId="1234" xr:uid="{4B361BCB-D338-4A0D-915A-5F7921A500A7}"/>
    <cellStyle name="40% - Accent3 2 3 3 3 2" xfId="1645" xr:uid="{76F51466-134B-416F-86FB-C4E6E66FF5F6}"/>
    <cellStyle name="40% - Accent3 2 3 3 3 2 2" xfId="3197" xr:uid="{6DA1E12D-6254-4CF6-BE84-54161ABE21D9}"/>
    <cellStyle name="40% - Accent3 2 3 3 3 2 2 2" xfId="5246" xr:uid="{2A3ED554-A618-41CB-ABF9-0FA61357849E}"/>
    <cellStyle name="40% - Accent3 2 3 3 3 2 3" xfId="3980" xr:uid="{2D12D722-69F8-4502-8B61-4825D89ACFA2}"/>
    <cellStyle name="40% - Accent3 2 3 3 3 3" xfId="2051" xr:uid="{4662FF38-E540-445D-895F-FF51D3D04A2E}"/>
    <cellStyle name="40% - Accent3 2 3 3 3 3 2" xfId="4368" xr:uid="{803AF384-E71D-448F-A5F2-53FFF3B5567D}"/>
    <cellStyle name="40% - Accent3 2 3 3 3 4" xfId="2562" xr:uid="{DA596063-1C78-4964-A671-4B0A699352E9}"/>
    <cellStyle name="40% - Accent3 2 3 3 3 4 2" xfId="4641" xr:uid="{0B6A6F65-7EE1-45FA-A719-569AB83C80CB}"/>
    <cellStyle name="40% - Accent3 2 3 3 3 5" xfId="3592" xr:uid="{9737D1B5-05FC-4652-BDA9-47BEE6DC0CB9}"/>
    <cellStyle name="40% - Accent3 2 3 3 4" xfId="1435" xr:uid="{941BB02D-69FC-438F-85BE-A16E1C0FCC70}"/>
    <cellStyle name="40% - Accent3 2 3 3 4 2" xfId="2930" xr:uid="{6AD785B6-2C30-431F-ADB3-A66DB1785303}"/>
    <cellStyle name="40% - Accent3 2 3 3 4 2 2" xfId="4984" xr:uid="{4F1B141F-2E0E-4FEF-9548-6C9067941D50}"/>
    <cellStyle name="40% - Accent3 2 3 3 4 3" xfId="3770" xr:uid="{1C11D08C-F728-4077-8DA1-62766813FF95}"/>
    <cellStyle name="40% - Accent3 2 3 3 5" xfId="1841" xr:uid="{9413D718-5CE6-451E-A146-A39A25157F5B}"/>
    <cellStyle name="40% - Accent3 2 3 3 5 2" xfId="4158" xr:uid="{58DB58E3-F490-4A41-8FD4-14D8D50F7089}"/>
    <cellStyle name="40% - Accent3 2 3 3 6" xfId="2253" xr:uid="{AF2914A1-268A-443C-88CD-A0D5C2328B42}"/>
    <cellStyle name="40% - Accent3 2 3 3 6 2" xfId="4457" xr:uid="{BAAA9B54-33B7-4AC9-A216-42B198A7A704}"/>
    <cellStyle name="40% - Accent3 2 3 3 7" xfId="3382" xr:uid="{5FD78D14-D475-4076-9DD6-95225A084F92}"/>
    <cellStyle name="40% - Accent3 2 3 4" xfId="1058" xr:uid="{106DD3CA-F3A1-45A7-AD6D-59C8CB1A6842}"/>
    <cellStyle name="40% - Accent3 2 3 4 2" xfId="1475" xr:uid="{A0B9BF8B-F397-4C99-8CFA-392B35236DFE}"/>
    <cellStyle name="40% - Accent3 2 3 4 2 2" xfId="2654" xr:uid="{DE922BD1-83B5-488F-B0FB-B003108CEB37}"/>
    <cellStyle name="40% - Accent3 2 3 4 2 2 2" xfId="4724" xr:uid="{6B2215E7-CDA2-4696-BF76-742608731351}"/>
    <cellStyle name="40% - Accent3 2 3 4 2 3" xfId="3810" xr:uid="{6AE04DBB-E9F4-402A-8437-B95F96D6DB37}"/>
    <cellStyle name="40% - Accent3 2 3 4 3" xfId="1881" xr:uid="{7C72F7AD-B3BF-44C7-BD15-DC0D39A150AC}"/>
    <cellStyle name="40% - Accent3 2 3 4 3 2" xfId="3027" xr:uid="{763ECBD2-1779-4ED0-A415-AA5208964602}"/>
    <cellStyle name="40% - Accent3 2 3 4 3 2 2" xfId="5077" xr:uid="{25D2CBA6-48BD-49D7-9B03-EE27AD63C7FE}"/>
    <cellStyle name="40% - Accent3 2 3 4 3 3" xfId="4198" xr:uid="{C0CD2530-6FFC-4C7E-ACD0-C0E507C974FD}"/>
    <cellStyle name="40% - Accent3 2 3 4 4" xfId="2379" xr:uid="{3530C35E-9248-49C7-80B9-3175E49FB9E6}"/>
    <cellStyle name="40% - Accent3 2 3 4 4 2" xfId="4480" xr:uid="{32563909-BBFC-4986-A5D0-596902E958B8}"/>
    <cellStyle name="40% - Accent3 2 3 4 5" xfId="3422" xr:uid="{0AC9C0AD-E309-45A3-8B02-154C8F84D627}"/>
    <cellStyle name="40% - Accent3 2 3 5" xfId="1164" xr:uid="{B07A3601-23AA-41EF-BB94-A6D7035F051C}"/>
    <cellStyle name="40% - Accent3 2 3 5 2" xfId="1580" xr:uid="{A2BF238F-9E2A-4CF8-8240-BE3419780D8F}"/>
    <cellStyle name="40% - Accent3 2 3 5 2 2" xfId="2748" xr:uid="{9849DB03-6C16-4F2E-9F17-FAA26FFB6358}"/>
    <cellStyle name="40% - Accent3 2 3 5 2 2 2" xfId="4818" xr:uid="{166B0887-63C6-4A0B-9258-CB3CEC409BE2}"/>
    <cellStyle name="40% - Accent3 2 3 5 2 3" xfId="3915" xr:uid="{94A9AD71-16F8-4030-984F-352EA113B0CD}"/>
    <cellStyle name="40% - Accent3 2 3 5 3" xfId="1986" xr:uid="{65143A3C-E328-4276-9CA9-38B11EF9E2F3}"/>
    <cellStyle name="40% - Accent3 2 3 5 3 2" xfId="3132" xr:uid="{8216C6E3-C3BD-4644-A09A-40DC551198EB}"/>
    <cellStyle name="40% - Accent3 2 3 5 3 2 2" xfId="5181" xr:uid="{7789E32E-AF27-411F-8A4D-CBEA6155CA33}"/>
    <cellStyle name="40% - Accent3 2 3 5 3 3" xfId="4303" xr:uid="{7309B8C1-1D3A-4B52-90D1-25E62F2C76B8}"/>
    <cellStyle name="40% - Accent3 2 3 5 4" xfId="2455" xr:uid="{3E927E65-B4D5-4D1C-839E-67241D61BF84}"/>
    <cellStyle name="40% - Accent3 2 3 5 4 2" xfId="4554" xr:uid="{7918D57B-077E-4F2F-9861-A42F31FE3F1D}"/>
    <cellStyle name="40% - Accent3 2 3 5 5" xfId="3527" xr:uid="{BD85C322-A295-4A7D-8762-4E3BCA4A35E0}"/>
    <cellStyle name="40% - Accent3 2 3 6" xfId="912" xr:uid="{45137EE3-9F06-402E-98B5-B9BCB0FF0472}"/>
    <cellStyle name="40% - Accent3 2 3 6 2" xfId="1369" xr:uid="{F1F099B1-1A46-4F2C-9100-23BC5FA2D747}"/>
    <cellStyle name="40% - Accent3 2 3 6 2 2" xfId="2877" xr:uid="{50535F58-E8B6-414F-BBAD-E805A060C916}"/>
    <cellStyle name="40% - Accent3 2 3 6 2 2 2" xfId="4931" xr:uid="{6813C504-B766-483A-8F0D-7615819CD8CF}"/>
    <cellStyle name="40% - Accent3 2 3 6 2 3" xfId="3705" xr:uid="{25222AE6-1FB8-4733-BF23-1D5E3A48B5D5}"/>
    <cellStyle name="40% - Accent3 2 3 6 3" xfId="1776" xr:uid="{463387E1-8B89-4D7D-A491-00CB2990CD1E}"/>
    <cellStyle name="40% - Accent3 2 3 6 3 2" xfId="4093" xr:uid="{8626D443-E6C0-41E8-982D-1D8B2CEE846D}"/>
    <cellStyle name="40% - Accent3 2 3 6 4" xfId="2516" xr:uid="{7E95DBDA-DA7C-4ADB-8DB9-BE025284E0C4}"/>
    <cellStyle name="40% - Accent3 2 3 6 4 2" xfId="4597" xr:uid="{7881F62F-344E-42D0-BCBA-3851F35D8B94}"/>
    <cellStyle name="40% - Accent3 2 3 6 5" xfId="3317" xr:uid="{F5F7F530-E7D7-42A8-9354-7F8865196948}"/>
    <cellStyle name="40% - Accent3 2 3 7" xfId="1273" xr:uid="{BFADC8F6-6014-4A6B-823E-82290EA139F3}"/>
    <cellStyle name="40% - Accent3 2 3 7 2" xfId="2835" xr:uid="{E2DF525A-EF64-460E-BB75-07BA4F3BC4A5}"/>
    <cellStyle name="40% - Accent3 2 3 7 2 2" xfId="4894" xr:uid="{BC9B375F-A2ED-439A-BA74-B45581448821}"/>
    <cellStyle name="40% - Accent3 2 3 7 3" xfId="3629" xr:uid="{865045AF-D29F-46A4-8FDA-C102E56A3386}"/>
    <cellStyle name="40% - Accent3 2 3 8" xfId="1696" xr:uid="{5B8D3C5D-17CF-4808-9882-F2C618EF81DF}"/>
    <cellStyle name="40% - Accent3 2 3 8 2" xfId="4017" xr:uid="{3BD8C7EA-D7C4-432A-AA1D-4D4DBA486E93}"/>
    <cellStyle name="40% - Accent3 2 3 9" xfId="2122" xr:uid="{A1C4F4C4-C258-40E6-9F17-E89DB2077445}"/>
    <cellStyle name="40% - Accent3 2 3 9 2" xfId="4408" xr:uid="{4D01E275-0904-4BB3-B131-203C85AAA3CD}"/>
    <cellStyle name="40% - Accent3 2 4" xfId="83" xr:uid="{19CF571F-20F4-4036-86C2-A098CBFD536D}"/>
    <cellStyle name="40% - Accent3 2 4 2" xfId="2254" xr:uid="{99BB8A6B-59D6-4261-981B-BD065A19B3AF}"/>
    <cellStyle name="40% - Accent3 2 4 3" xfId="2123" xr:uid="{814E6998-AE59-4144-97BC-9E6E5261495F}"/>
    <cellStyle name="40% - Accent3 2 5" xfId="84" xr:uid="{7AE06E89-091A-4E25-8BEA-B0722623D4AB}"/>
    <cellStyle name="40% - Accent3 2 5 2" xfId="2255" xr:uid="{81DDD5EB-AFA8-4FCA-9084-0F58D10FD8A7}"/>
    <cellStyle name="40% - Accent3 2 5 3" xfId="2124" xr:uid="{BAFADE2C-658B-48AB-A5CE-5DEA61272504}"/>
    <cellStyle name="40% - Accent3 2 6" xfId="876" xr:uid="{52CC698E-9D63-4C52-97BC-EB82570EFFDA}"/>
    <cellStyle name="40% - Accent3 2 6 2" xfId="2256" xr:uid="{240FF026-84A1-4158-9D05-1046EF337F04}"/>
    <cellStyle name="40% - Accent3 2 6 3" xfId="2567" xr:uid="{520DAD02-C60D-4E98-99EF-A61AD5076F3D}"/>
    <cellStyle name="40% - Accent3 2 6 4" xfId="2196" xr:uid="{0B20038A-E361-4549-A9C5-B9038997E60C}"/>
    <cellStyle name="40% - Accent3 3" xfId="85" xr:uid="{3418CBD7-59B6-4D05-A6F5-38A90441CCEC}"/>
    <cellStyle name="40% - Accent3 3 2" xfId="2257" xr:uid="{63684780-C767-4F13-8F80-4427205114B7}"/>
    <cellStyle name="40% - Accent3 3 3" xfId="2125" xr:uid="{0C320D4B-FE7B-47F4-BCA0-4200E18BAE17}"/>
    <cellStyle name="40% - Accent3 4" xfId="86" xr:uid="{8012159A-0796-4CA4-8D55-DA4439769414}"/>
    <cellStyle name="40% - Accent3 4 2" xfId="2258" xr:uid="{CC40DB3E-7071-4BCB-A95B-B01C1952B934}"/>
    <cellStyle name="40% - Accent3 4 3" xfId="2126" xr:uid="{CF1B8085-59B1-41C9-8764-C4C4429EFAE8}"/>
    <cellStyle name="40% - Accent4 2" xfId="87" xr:uid="{F6DF9B23-7E3E-4563-897D-A94FD28EFA91}"/>
    <cellStyle name="40% - Accent4 2 2" xfId="88" xr:uid="{83457118-033F-4C21-98E2-748A9A73425F}"/>
    <cellStyle name="40% - Accent4 2 3" xfId="89" xr:uid="{1A5E45E8-31DD-4FB2-ABF9-555CD1D41C51}"/>
    <cellStyle name="40% - Accent4 2 3 10" xfId="3242" xr:uid="{0AAF0BF9-C524-4987-82D0-711AAE8D39F5}"/>
    <cellStyle name="40% - Accent4 2 3 2" xfId="820" xr:uid="{A1A6AC55-126D-4816-918F-67AB5610763F}"/>
    <cellStyle name="40% - Accent4 2 3 2 2" xfId="1090" xr:uid="{B3970B51-B872-4982-AFD4-AAD076065763}"/>
    <cellStyle name="40% - Accent4 2 3 2 2 2" xfId="1507" xr:uid="{51E130B1-362C-41EC-9A13-F97E59482E46}"/>
    <cellStyle name="40% - Accent4 2 3 2 2 2 2" xfId="2676" xr:uid="{F7C32DCE-6A7A-423E-954E-034FEADC7541}"/>
    <cellStyle name="40% - Accent4 2 3 2 2 2 2 2" xfId="4746" xr:uid="{78171229-F238-4183-8DEC-EA2BD1443A69}"/>
    <cellStyle name="40% - Accent4 2 3 2 2 2 3" xfId="3842" xr:uid="{B3745C9B-B579-41B9-8621-1E84D37C2A15}"/>
    <cellStyle name="40% - Accent4 2 3 2 2 3" xfId="1913" xr:uid="{5B03A6AE-6B60-490A-9A1D-72AB2D2F4679}"/>
    <cellStyle name="40% - Accent4 2 3 2 2 3 2" xfId="3059" xr:uid="{1BB474D4-6903-477F-AB0C-79529F939539}"/>
    <cellStyle name="40% - Accent4 2 3 2 2 3 2 2" xfId="5108" xr:uid="{08B49136-04F0-4B26-9A1F-EBDA1D627C20}"/>
    <cellStyle name="40% - Accent4 2 3 2 2 3 3" xfId="4230" xr:uid="{A5EFA3A8-7C98-4A8D-BEFE-FABC56979622}"/>
    <cellStyle name="40% - Accent4 2 3 2 2 4" xfId="2408" xr:uid="{44C9BA2C-EA0F-4A05-9A30-A82EDCDD2C63}"/>
    <cellStyle name="40% - Accent4 2 3 2 2 4 2" xfId="4509" xr:uid="{94A7420A-0157-4E49-B638-F7DBCED07D2C}"/>
    <cellStyle name="40% - Accent4 2 3 2 2 5" xfId="3454" xr:uid="{DC8E3129-D3BA-4C76-B3E7-6701A5287407}"/>
    <cellStyle name="40% - Accent4 2 3 2 3" xfId="1197" xr:uid="{6A52A5E8-EF24-45D1-A133-FB7510F8ECB4}"/>
    <cellStyle name="40% - Accent4 2 3 2 3 2" xfId="1612" xr:uid="{B9114FD4-AFD5-4B4E-A30E-262EEDFD7E17}"/>
    <cellStyle name="40% - Accent4 2 3 2 3 2 2" xfId="3164" xr:uid="{9AE6A7EA-9DE8-493E-808A-B11F389A6FFC}"/>
    <cellStyle name="40% - Accent4 2 3 2 3 2 2 2" xfId="5213" xr:uid="{8A8F6273-5E8A-4209-B25A-7EBCF7384BBC}"/>
    <cellStyle name="40% - Accent4 2 3 2 3 2 3" xfId="3947" xr:uid="{BDD825AC-DD9F-4EC8-9C2F-9E43068A9228}"/>
    <cellStyle name="40% - Accent4 2 3 2 3 3" xfId="2018" xr:uid="{8B51E24D-2299-400F-B8C8-06BA1A2812EF}"/>
    <cellStyle name="40% - Accent4 2 3 2 3 3 2" xfId="4335" xr:uid="{238EF3FD-DA54-46E3-A285-1687655D2C6F}"/>
    <cellStyle name="40% - Accent4 2 3 2 3 4" xfId="2542" xr:uid="{2B8DC010-1ACB-4E29-BAD6-FF8D2C329F3A}"/>
    <cellStyle name="40% - Accent4 2 3 2 3 4 2" xfId="4621" xr:uid="{29DADA72-A04E-4C21-8BFC-F274B7A309A5}"/>
    <cellStyle name="40% - Accent4 2 3 2 3 5" xfId="3559" xr:uid="{5B306EBE-C25B-4A06-A79D-9D7C5AE6387B}"/>
    <cellStyle name="40% - Accent4 2 3 2 4" xfId="967" xr:uid="{F7EC34AC-07BD-49D9-8221-C7A11E4D831E}"/>
    <cellStyle name="40% - Accent4 2 3 2 4 2" xfId="1402" xr:uid="{653EE4DE-3FF3-495F-8175-173575CA6E23}"/>
    <cellStyle name="40% - Accent4 2 3 2 4 2 2" xfId="2846" xr:uid="{AB063A6A-4FB7-4F73-B126-7ADA0665171C}"/>
    <cellStyle name="40% - Accent4 2 3 2 4 2 2 2" xfId="4903" xr:uid="{A9B4E0E2-9982-436C-BDEE-BE81EF4BC735}"/>
    <cellStyle name="40% - Accent4 2 3 2 4 2 3" xfId="3737" xr:uid="{660FADE8-D5B1-4006-ADFB-36EAF2DAF420}"/>
    <cellStyle name="40% - Accent4 2 3 2 4 3" xfId="1808" xr:uid="{E64C2D42-78C2-44E7-8B8C-2E502092C73F}"/>
    <cellStyle name="40% - Accent4 2 3 2 4 3 2" xfId="4125" xr:uid="{CE8BCC0E-FDAE-431B-B46B-2D0FCE36ACF3}"/>
    <cellStyle name="40% - Accent4 2 3 2 4 4" xfId="2526" xr:uid="{BA417635-66FB-4927-93BB-6E9251303AF3}"/>
    <cellStyle name="40% - Accent4 2 3 2 4 4 2" xfId="4606" xr:uid="{D5D42A5D-431E-4F77-95E9-1667E36E161C}"/>
    <cellStyle name="40% - Accent4 2 3 2 4 5" xfId="3349" xr:uid="{D1AC4C28-314B-4A4E-9DB3-211F680F6A29}"/>
    <cellStyle name="40% - Accent4 2 3 2 5" xfId="1328" xr:uid="{86769509-8342-4F43-AE6F-1D89F0381F6B}"/>
    <cellStyle name="40% - Accent4 2 3 2 5 2" xfId="2907" xr:uid="{DFA02215-F52E-4097-B04F-80EAF9B36241}"/>
    <cellStyle name="40% - Accent4 2 3 2 5 2 2" xfId="4961" xr:uid="{532B4807-6AF9-49A7-844A-534B2E574CF8}"/>
    <cellStyle name="40% - Accent4 2 3 2 5 3" xfId="3664" xr:uid="{519F2D0F-D01B-4FD9-B7DF-91134CB22C99}"/>
    <cellStyle name="40% - Accent4 2 3 2 6" xfId="1735" xr:uid="{F007DB73-A3DF-4FAA-AF04-C1A6FD6F053C}"/>
    <cellStyle name="40% - Accent4 2 3 2 6 2" xfId="4052" xr:uid="{8EC53403-E19E-411F-85BA-C40EBF817BC0}"/>
    <cellStyle name="40% - Accent4 2 3 2 7" xfId="2216" xr:uid="{B8DCF3AA-FBC5-4B31-B168-9B35CA10AAC2}"/>
    <cellStyle name="40% - Accent4 2 3 2 7 2" xfId="4437" xr:uid="{716C1799-CAF4-49FB-A0E8-5DEBB5414B99}"/>
    <cellStyle name="40% - Accent4 2 3 2 8" xfId="3276" xr:uid="{488ADB45-5D3E-4BA2-9154-BA19DD1A68D3}"/>
    <cellStyle name="40% - Accent4 2 3 3" xfId="1005" xr:uid="{BB147441-6956-4160-BDD5-84351B0DB013}"/>
    <cellStyle name="40% - Accent4 2 3 3 2" xfId="1124" xr:uid="{0FD48867-2841-4F94-B006-F67EAE5DD03C}"/>
    <cellStyle name="40% - Accent4 2 3 3 2 2" xfId="1541" xr:uid="{30743EBF-D1A3-4E87-A55E-FA32E8B505DA}"/>
    <cellStyle name="40% - Accent4 2 3 3 2 2 2" xfId="3093" xr:uid="{7E3A0829-7FDA-4971-A1F0-82FA99346F7E}"/>
    <cellStyle name="40% - Accent4 2 3 3 2 2 2 2" xfId="5142" xr:uid="{EB9E6714-83AA-4EE5-9D28-25CEDC4E9866}"/>
    <cellStyle name="40% - Accent4 2 3 3 2 2 3" xfId="3876" xr:uid="{51198949-097A-413D-B505-E2F200FAFFD3}"/>
    <cellStyle name="40% - Accent4 2 3 3 2 3" xfId="1947" xr:uid="{30DB63E8-0477-4B90-A762-E97EA173BA4E}"/>
    <cellStyle name="40% - Accent4 2 3 3 2 3 2" xfId="4264" xr:uid="{C4B68304-4CF4-40C8-9C5B-C48F919D3BDA}"/>
    <cellStyle name="40% - Accent4 2 3 3 2 4" xfId="2709" xr:uid="{265A0565-7DA1-4B60-AB0C-7BB63A662009}"/>
    <cellStyle name="40% - Accent4 2 3 3 2 4 2" xfId="4779" xr:uid="{80F274BC-22BF-4E62-BC50-9DF181015D34}"/>
    <cellStyle name="40% - Accent4 2 3 3 2 5" xfId="3488" xr:uid="{CA15FA7E-45C0-49EF-B7A8-927A89EECE3F}"/>
    <cellStyle name="40% - Accent4 2 3 3 3" xfId="1235" xr:uid="{29882563-082E-4D6B-BFDF-579AF786A891}"/>
    <cellStyle name="40% - Accent4 2 3 3 3 2" xfId="1646" xr:uid="{36CB20B6-9A99-4B93-BCE2-2B60DA2959F8}"/>
    <cellStyle name="40% - Accent4 2 3 3 3 2 2" xfId="3198" xr:uid="{BC9683FA-01B7-4918-8141-79AD1EEC1F8B}"/>
    <cellStyle name="40% - Accent4 2 3 3 3 2 2 2" xfId="5247" xr:uid="{A024AC9F-8D26-4DA6-8B12-F88699CF04F4}"/>
    <cellStyle name="40% - Accent4 2 3 3 3 2 3" xfId="3981" xr:uid="{95EF427A-2453-4C94-8069-7D53B7B141C6}"/>
    <cellStyle name="40% - Accent4 2 3 3 3 3" xfId="2052" xr:uid="{4A1B02CD-2600-485C-B1FF-FF89607DD99B}"/>
    <cellStyle name="40% - Accent4 2 3 3 3 3 2" xfId="4369" xr:uid="{E753CB34-ADCB-4697-A998-1227B1E0DD24}"/>
    <cellStyle name="40% - Accent4 2 3 3 3 4" xfId="2785" xr:uid="{D5200827-3BF0-4DE6-B9E4-7C532003266E}"/>
    <cellStyle name="40% - Accent4 2 3 3 3 4 2" xfId="4855" xr:uid="{D7EFBBBD-8195-4910-9695-04610A1B9865}"/>
    <cellStyle name="40% - Accent4 2 3 3 3 5" xfId="3593" xr:uid="{17FF7597-34FD-40AC-883F-6D86C112B0A9}"/>
    <cellStyle name="40% - Accent4 2 3 3 4" xfId="1436" xr:uid="{2381CC8B-A863-429D-8FB5-5F696861D516}"/>
    <cellStyle name="40% - Accent4 2 3 3 4 2" xfId="2629" xr:uid="{25AC8710-C29B-48E7-849F-AE926B6CCE6E}"/>
    <cellStyle name="40% - Accent4 2 3 3 4 2 2" xfId="4699" xr:uid="{F609381D-875C-4E11-9C9D-E32393EE6D78}"/>
    <cellStyle name="40% - Accent4 2 3 3 4 3" xfId="3771" xr:uid="{8FE4C800-C89C-47C5-BF4F-666E7F7B9AB3}"/>
    <cellStyle name="40% - Accent4 2 3 3 5" xfId="1842" xr:uid="{0562BBB2-79BB-4D19-9CE4-200CA10D5D06}"/>
    <cellStyle name="40% - Accent4 2 3 3 5 2" xfId="2989" xr:uid="{5F8C50C7-991A-475E-98FF-A3DA2362EBC8}"/>
    <cellStyle name="40% - Accent4 2 3 3 5 2 2" xfId="5039" xr:uid="{60A8CFEA-FA00-4CB6-9FFE-3CF356B70DB1}"/>
    <cellStyle name="40% - Accent4 2 3 3 5 3" xfId="4159" xr:uid="{6C2B8A81-7C88-472E-B55D-98FCF120B366}"/>
    <cellStyle name="40% - Accent4 2 3 3 6" xfId="2380" xr:uid="{0349680C-53F3-4F2F-859F-D3111F739DBC}"/>
    <cellStyle name="40% - Accent4 2 3 3 6 2" xfId="4481" xr:uid="{A0A61F98-FD94-41A9-8859-A0ACE770EA6A}"/>
    <cellStyle name="40% - Accent4 2 3 3 7" xfId="3383" xr:uid="{B7AB6917-5ED5-4067-8AEB-2D0BFB28FA73}"/>
    <cellStyle name="40% - Accent4 2 3 4" xfId="1059" xr:uid="{5092780E-9928-4AC5-AFA9-F0BE46DDFBA9}"/>
    <cellStyle name="40% - Accent4 2 3 4 2" xfId="1476" xr:uid="{E903DA8C-06A9-4219-BF28-76D14A5DCD28}"/>
    <cellStyle name="40% - Accent4 2 3 4 2 2" xfId="3028" xr:uid="{A8C7CCDE-E521-4296-84E3-E655FE28EE1F}"/>
    <cellStyle name="40% - Accent4 2 3 4 2 2 2" xfId="5078" xr:uid="{9F6F7388-E3EF-40C5-9EB4-ED30D1F73BDB}"/>
    <cellStyle name="40% - Accent4 2 3 4 2 3" xfId="3811" xr:uid="{7F8DFF30-01A6-4E04-8B13-F7CDFD1905A6}"/>
    <cellStyle name="40% - Accent4 2 3 4 3" xfId="1882" xr:uid="{31DD4323-ADFA-4F77-B7CF-CCD3329613CA}"/>
    <cellStyle name="40% - Accent4 2 3 4 3 2" xfId="4199" xr:uid="{B4301E22-574B-4B52-AADA-D00EA54BDCF9}"/>
    <cellStyle name="40% - Accent4 2 3 4 4" xfId="2456" xr:uid="{590D4FEA-C155-4E78-81EB-7EDF11AB3F15}"/>
    <cellStyle name="40% - Accent4 2 3 4 4 2" xfId="4555" xr:uid="{525F1C7F-425B-447F-8FF6-ADA424B28369}"/>
    <cellStyle name="40% - Accent4 2 3 4 5" xfId="3423" xr:uid="{C4578601-FBB7-4C91-9F1B-D864205CBB58}"/>
    <cellStyle name="40% - Accent4 2 3 5" xfId="1165" xr:uid="{8E6ABC54-8134-4649-8248-2C11CD5ACF60}"/>
    <cellStyle name="40% - Accent4 2 3 5 2" xfId="1581" xr:uid="{3F2DB978-060D-4C28-AD58-8324F6A2B094}"/>
    <cellStyle name="40% - Accent4 2 3 5 2 2" xfId="3133" xr:uid="{AD45C7CC-4BCB-4AA8-86B4-947EE1DB4D28}"/>
    <cellStyle name="40% - Accent4 2 3 5 2 2 2" xfId="5182" xr:uid="{AC97A93D-2300-41DC-A04F-E469211BAECA}"/>
    <cellStyle name="40% - Accent4 2 3 5 2 3" xfId="3916" xr:uid="{FB659DA0-595F-4F13-937B-309D8D14C825}"/>
    <cellStyle name="40% - Accent4 2 3 5 3" xfId="1987" xr:uid="{71F23555-BA31-4AC8-B004-26AB20FB283B}"/>
    <cellStyle name="40% - Accent4 2 3 5 3 2" xfId="4304" xr:uid="{D6F6F525-8278-4A64-86B7-354827FBD621}"/>
    <cellStyle name="40% - Accent4 2 3 5 4" xfId="2749" xr:uid="{AA4B7FCC-D274-4BC5-A222-89CAA6D4B107}"/>
    <cellStyle name="40% - Accent4 2 3 5 4 2" xfId="4819" xr:uid="{545C36AD-4950-417C-BCA0-D4C05DD2B021}"/>
    <cellStyle name="40% - Accent4 2 3 5 5" xfId="3528" xr:uid="{032C982F-12A9-446B-B510-A9335D18B73E}"/>
    <cellStyle name="40% - Accent4 2 3 6" xfId="913" xr:uid="{578E7DA6-FEDC-4634-93EB-AAB977AB7A5B}"/>
    <cellStyle name="40% - Accent4 2 3 6 2" xfId="1370" xr:uid="{8AC0DC49-A2D9-4518-8954-0BCA93364FF5}"/>
    <cellStyle name="40% - Accent4 2 3 6 2 2" xfId="2876" xr:uid="{EDA445C3-E769-417A-8D2A-1F953E6165D9}"/>
    <cellStyle name="40% - Accent4 2 3 6 2 2 2" xfId="4930" xr:uid="{FC2B7063-5924-4289-AFAF-83A453F78625}"/>
    <cellStyle name="40% - Accent4 2 3 6 2 3" xfId="3706" xr:uid="{239862B7-81E4-4B06-A5B3-16A57D7AB353}"/>
    <cellStyle name="40% - Accent4 2 3 6 3" xfId="1777" xr:uid="{9BFB4183-8AA6-4C04-9954-B5EF83A5773F}"/>
    <cellStyle name="40% - Accent4 2 3 6 3 2" xfId="4094" xr:uid="{0D5DCC61-AA76-4EF1-92C0-0BD3CC01CBDE}"/>
    <cellStyle name="40% - Accent4 2 3 6 4" xfId="2517" xr:uid="{6A120792-CA0E-4FFB-A498-DFC66536D254}"/>
    <cellStyle name="40% - Accent4 2 3 6 4 2" xfId="4598" xr:uid="{4E3A538E-3945-4DDD-9D09-003C01E4BAF1}"/>
    <cellStyle name="40% - Accent4 2 3 6 5" xfId="3318" xr:uid="{0ADD24E1-1006-495D-8C67-CB4AAEE221D9}"/>
    <cellStyle name="40% - Accent4 2 3 7" xfId="1274" xr:uid="{2CF4A569-6E06-4EDF-B317-975966BF2052}"/>
    <cellStyle name="40% - Accent4 2 3 7 2" xfId="2837" xr:uid="{51C40C30-0CDA-4F45-8D00-C38573EB6671}"/>
    <cellStyle name="40% - Accent4 2 3 7 2 2" xfId="4896" xr:uid="{46118A5D-5393-4CCE-8720-0FFE8EA4F3D7}"/>
    <cellStyle name="40% - Accent4 2 3 7 3" xfId="3630" xr:uid="{96DC3680-55A2-483C-8CAD-3B305ECBB3A1}"/>
    <cellStyle name="40% - Accent4 2 3 8" xfId="1697" xr:uid="{4AF6D955-35CF-4A6C-85F0-0CDBAE7F7451}"/>
    <cellStyle name="40% - Accent4 2 3 8 2" xfId="4018" xr:uid="{46CA58C7-677A-4470-9C6A-882845FAEA7E}"/>
    <cellStyle name="40% - Accent4 2 3 9" xfId="2127" xr:uid="{AF57C945-890C-4FF9-8526-F794B47A3B34}"/>
    <cellStyle name="40% - Accent4 2 3 9 2" xfId="4409" xr:uid="{F9A8D495-B2E8-49F5-A62B-6861AAAFB5E2}"/>
    <cellStyle name="40% - Accent4 2 4" xfId="90" xr:uid="{FDA7D722-AE50-48EF-BB77-EF7AB95ABF22}"/>
    <cellStyle name="40% - Accent4 2 5" xfId="91" xr:uid="{AA8DC329-FD19-49FD-A4A1-AA158C5A8788}"/>
    <cellStyle name="40% - Accent4 2 6" xfId="2259" xr:uid="{28A4D994-83B1-45A6-BF39-518E58F6EBDA}"/>
    <cellStyle name="40% - Accent4 3" xfId="92" xr:uid="{EB876F6A-CE6D-4B33-A379-19C83CEDBC9B}"/>
    <cellStyle name="40% - Accent4 4" xfId="93" xr:uid="{26C18E03-FF69-4164-BED9-1AE9B0C74B68}"/>
    <cellStyle name="40% - Accent5 2" xfId="94" xr:uid="{F62CF43B-D44D-4067-A905-AC997A218401}"/>
    <cellStyle name="40% - Accent5 2 2" xfId="95" xr:uid="{7EBF87EA-F9E7-4641-8FD6-85CB45FB567B}"/>
    <cellStyle name="40% - Accent5 2 3" xfId="96" xr:uid="{9F6F6BA3-1314-4325-B349-B6C1B983204D}"/>
    <cellStyle name="40% - Accent5 2 3 10" xfId="3243" xr:uid="{38229896-018D-440F-B225-C58329BE7C04}"/>
    <cellStyle name="40% - Accent5 2 3 2" xfId="821" xr:uid="{579B3DA0-EED3-4F87-8079-52E369056AD1}"/>
    <cellStyle name="40% - Accent5 2 3 2 2" xfId="1091" xr:uid="{7DAE8AFC-551B-4F50-A729-A5ECF511BD15}"/>
    <cellStyle name="40% - Accent5 2 3 2 2 2" xfId="1508" xr:uid="{FE530737-F162-450D-88F1-21DB43E2000A}"/>
    <cellStyle name="40% - Accent5 2 3 2 2 2 2" xfId="2677" xr:uid="{B68CD8B7-8CC1-4BCB-BA15-EF611F6E04A1}"/>
    <cellStyle name="40% - Accent5 2 3 2 2 2 2 2" xfId="4747" xr:uid="{2B9C179C-FACD-4214-92F3-E18C22F4E634}"/>
    <cellStyle name="40% - Accent5 2 3 2 2 2 3" xfId="3843" xr:uid="{7F929AAF-E7FD-49B3-BC59-5F7DA5884059}"/>
    <cellStyle name="40% - Accent5 2 3 2 2 3" xfId="1914" xr:uid="{D848DD82-DB5B-4340-9616-DCD44B1DC045}"/>
    <cellStyle name="40% - Accent5 2 3 2 2 3 2" xfId="3060" xr:uid="{B754F9F1-BA59-477D-B7CA-FD8590A5E8BA}"/>
    <cellStyle name="40% - Accent5 2 3 2 2 3 2 2" xfId="5109" xr:uid="{46FE17ED-0ED0-4740-B86B-1C99CADF00C6}"/>
    <cellStyle name="40% - Accent5 2 3 2 2 3 3" xfId="4231" xr:uid="{CEE1E034-F3A1-4FFA-94C5-13D99B3B367A}"/>
    <cellStyle name="40% - Accent5 2 3 2 2 4" xfId="2409" xr:uid="{705DF2E3-8FCC-4783-A2D3-9A3C97E67A44}"/>
    <cellStyle name="40% - Accent5 2 3 2 2 4 2" xfId="4510" xr:uid="{B98C6A18-4F4B-4665-93B8-3BF64F6CADBF}"/>
    <cellStyle name="40% - Accent5 2 3 2 2 5" xfId="3455" xr:uid="{7A8FF8B6-9F21-4FFB-9331-29A3DA3B93C7}"/>
    <cellStyle name="40% - Accent5 2 3 2 3" xfId="1198" xr:uid="{C9D1D54F-2FE4-43E4-A1C3-2118CC0A93E7}"/>
    <cellStyle name="40% - Accent5 2 3 2 3 2" xfId="1613" xr:uid="{CA2CE816-6E16-48F2-AFBD-0D08F0CB5801}"/>
    <cellStyle name="40% - Accent5 2 3 2 3 2 2" xfId="3165" xr:uid="{12574F7E-855D-4C2A-A227-D4BCE3B8CDD6}"/>
    <cellStyle name="40% - Accent5 2 3 2 3 2 2 2" xfId="5214" xr:uid="{1632004B-0EC8-46E3-B789-8081D4B0755F}"/>
    <cellStyle name="40% - Accent5 2 3 2 3 2 3" xfId="3948" xr:uid="{126E75E0-F11C-4A43-9989-416E099C40C5}"/>
    <cellStyle name="40% - Accent5 2 3 2 3 3" xfId="2019" xr:uid="{E7D2173D-B2E4-4247-8305-9CA30BD042CB}"/>
    <cellStyle name="40% - Accent5 2 3 2 3 3 2" xfId="4336" xr:uid="{42BFD219-F4D2-4DB6-86FD-E1DD3CDE5FBA}"/>
    <cellStyle name="40% - Accent5 2 3 2 3 4" xfId="2543" xr:uid="{6C1154FF-C5F3-47FA-AE7A-856CC81161E2}"/>
    <cellStyle name="40% - Accent5 2 3 2 3 4 2" xfId="4622" xr:uid="{ABDA7BA4-0943-4991-81F3-5A3570ACDF5C}"/>
    <cellStyle name="40% - Accent5 2 3 2 3 5" xfId="3560" xr:uid="{C2176846-1A63-4896-905B-F7BFD58EF6DD}"/>
    <cellStyle name="40% - Accent5 2 3 2 4" xfId="968" xr:uid="{72ADE7E0-225B-4C3B-9547-13A28ED6150C}"/>
    <cellStyle name="40% - Accent5 2 3 2 4 2" xfId="1403" xr:uid="{2714913B-D92B-40EC-B10B-A4F16C1A8E47}"/>
    <cellStyle name="40% - Accent5 2 3 2 4 2 2" xfId="2955" xr:uid="{1D13CF39-3D63-4D9C-B703-7DA55E4C9C93}"/>
    <cellStyle name="40% - Accent5 2 3 2 4 2 2 2" xfId="5007" xr:uid="{7D03520B-6A9E-440B-B823-E5C74827CFFB}"/>
    <cellStyle name="40% - Accent5 2 3 2 4 2 3" xfId="3738" xr:uid="{38CC2DC2-3DD7-447E-9E5A-B9580B914C2E}"/>
    <cellStyle name="40% - Accent5 2 3 2 4 3" xfId="1809" xr:uid="{FC7AA0D9-622B-48AF-B82B-AA9E9689DB20}"/>
    <cellStyle name="40% - Accent5 2 3 2 4 3 2" xfId="4126" xr:uid="{AACF8564-0D94-459E-BDF3-CBD390827AD2}"/>
    <cellStyle name="40% - Accent5 2 3 2 4 4" xfId="2600" xr:uid="{B9BF9A62-2D61-4978-8A8C-2D2D53C1AF5C}"/>
    <cellStyle name="40% - Accent5 2 3 2 4 4 2" xfId="4670" xr:uid="{E6B77F48-0B3D-48C4-AFA8-EC9C36A4623B}"/>
    <cellStyle name="40% - Accent5 2 3 2 4 5" xfId="3350" xr:uid="{145D86EF-F822-4BDC-9324-404A235EA61F}"/>
    <cellStyle name="40% - Accent5 2 3 2 5" xfId="1329" xr:uid="{DF0740D8-5CB4-431E-99EA-431157019620}"/>
    <cellStyle name="40% - Accent5 2 3 2 5 2" xfId="2908" xr:uid="{A7DF04AB-4654-46D4-B580-A2185A33A577}"/>
    <cellStyle name="40% - Accent5 2 3 2 5 2 2" xfId="4962" xr:uid="{6776D170-8F78-42F3-87D9-0AA50B4B20E8}"/>
    <cellStyle name="40% - Accent5 2 3 2 5 3" xfId="3665" xr:uid="{9E3CBB89-A9E9-4E22-B261-74486E776801}"/>
    <cellStyle name="40% - Accent5 2 3 2 6" xfId="1736" xr:uid="{AC8649DC-086E-4220-AF42-D741DE4B35EA}"/>
    <cellStyle name="40% - Accent5 2 3 2 6 2" xfId="4053" xr:uid="{90C169D3-5F67-4879-91EF-4E6555F1DE58}"/>
    <cellStyle name="40% - Accent5 2 3 2 7" xfId="2217" xr:uid="{45A15139-5C70-4042-B217-BBE723A1694C}"/>
    <cellStyle name="40% - Accent5 2 3 2 7 2" xfId="4438" xr:uid="{9F2C763C-E84B-4744-92BC-ED13FC47C156}"/>
    <cellStyle name="40% - Accent5 2 3 2 8" xfId="3277" xr:uid="{6567F26D-98E8-4C29-8108-F41EB66AD9D6}"/>
    <cellStyle name="40% - Accent5 2 3 3" xfId="1006" xr:uid="{28CC50F8-FCD3-4528-8DD3-3739E3735D91}"/>
    <cellStyle name="40% - Accent5 2 3 3 2" xfId="1125" xr:uid="{CDA86D6C-42D7-4D2B-8A50-334356ACB1E4}"/>
    <cellStyle name="40% - Accent5 2 3 3 2 2" xfId="1542" xr:uid="{5399DEC6-C3E6-4CF6-880D-D270B2BB7FB7}"/>
    <cellStyle name="40% - Accent5 2 3 3 2 2 2" xfId="3094" xr:uid="{D54D4022-F59D-42DE-8A51-3FC1562E0661}"/>
    <cellStyle name="40% - Accent5 2 3 3 2 2 2 2" xfId="5143" xr:uid="{FDE0BA5A-5588-48F6-AEDC-11D68EE49E7A}"/>
    <cellStyle name="40% - Accent5 2 3 3 2 2 3" xfId="3877" xr:uid="{966FE8BE-0B0B-4767-8D2B-018D15E59E96}"/>
    <cellStyle name="40% - Accent5 2 3 3 2 3" xfId="1948" xr:uid="{7DA9B169-7878-4B05-86F3-1FB3B8496E41}"/>
    <cellStyle name="40% - Accent5 2 3 3 2 3 2" xfId="4265" xr:uid="{669CC5F5-FD5B-4B59-AD1A-871171C0D8AD}"/>
    <cellStyle name="40% - Accent5 2 3 3 2 4" xfId="2710" xr:uid="{E71E0751-CFC1-4BE9-864F-8C4C79341E85}"/>
    <cellStyle name="40% - Accent5 2 3 3 2 4 2" xfId="4780" xr:uid="{2DF92272-5707-46D6-B576-EAD9F40AFC27}"/>
    <cellStyle name="40% - Accent5 2 3 3 2 5" xfId="3489" xr:uid="{F3DC810F-2243-4195-BBCE-F31F4C0F77AD}"/>
    <cellStyle name="40% - Accent5 2 3 3 3" xfId="1236" xr:uid="{D8DF3C9A-6D9E-499F-AE2F-E96BE8E88DFC}"/>
    <cellStyle name="40% - Accent5 2 3 3 3 2" xfId="1647" xr:uid="{01F28E24-7EA0-4A44-B647-4266F18B9309}"/>
    <cellStyle name="40% - Accent5 2 3 3 3 2 2" xfId="3199" xr:uid="{99759F58-9191-46CF-BE95-94D83BF8DCD5}"/>
    <cellStyle name="40% - Accent5 2 3 3 3 2 2 2" xfId="5248" xr:uid="{9CFCF0F9-986A-43B1-BBF5-CFD589CAD5DA}"/>
    <cellStyle name="40% - Accent5 2 3 3 3 2 3" xfId="3982" xr:uid="{D6B95824-870A-48CF-933A-E7D0FF684A82}"/>
    <cellStyle name="40% - Accent5 2 3 3 3 3" xfId="2053" xr:uid="{09C2E0C5-0ED8-4134-88BF-8E86BE423E18}"/>
    <cellStyle name="40% - Accent5 2 3 3 3 3 2" xfId="4370" xr:uid="{853DF236-19BD-4DE4-B6FE-E847E90EAB70}"/>
    <cellStyle name="40% - Accent5 2 3 3 3 4" xfId="2786" xr:uid="{8EE67594-6334-4D6A-A697-C310BDFE42CC}"/>
    <cellStyle name="40% - Accent5 2 3 3 3 4 2" xfId="4856" xr:uid="{3B8BFE53-ECF8-40B0-8F4E-4DD6DB60535E}"/>
    <cellStyle name="40% - Accent5 2 3 3 3 5" xfId="3594" xr:uid="{E10FE41B-2C28-4739-A892-74678FE980A5}"/>
    <cellStyle name="40% - Accent5 2 3 3 4" xfId="1437" xr:uid="{3A48FCAC-1B02-4236-8B1B-3A143B266959}"/>
    <cellStyle name="40% - Accent5 2 3 3 4 2" xfId="2630" xr:uid="{3D1DDD06-69B2-4119-9C8F-605CCBDD1820}"/>
    <cellStyle name="40% - Accent5 2 3 3 4 2 2" xfId="4700" xr:uid="{ACE7225B-C5BE-4B54-8610-BD0F3C5E996A}"/>
    <cellStyle name="40% - Accent5 2 3 3 4 3" xfId="3772" xr:uid="{CDD3E620-363E-4994-A21B-000B8A621A01}"/>
    <cellStyle name="40% - Accent5 2 3 3 5" xfId="1843" xr:uid="{A1D6B712-384F-4DE6-9416-7E9D3586C869}"/>
    <cellStyle name="40% - Accent5 2 3 3 5 2" xfId="2990" xr:uid="{C158D790-5A0A-4689-9F95-DD5778DE041E}"/>
    <cellStyle name="40% - Accent5 2 3 3 5 2 2" xfId="5040" xr:uid="{9FEB9493-8350-4AEF-88D1-1E04E54D6C88}"/>
    <cellStyle name="40% - Accent5 2 3 3 5 3" xfId="4160" xr:uid="{1706F017-DA8B-48C6-A3B2-FB3C4E062998}"/>
    <cellStyle name="40% - Accent5 2 3 3 6" xfId="2381" xr:uid="{A393DDED-DCD3-4947-80C3-B5F6A9AC18BC}"/>
    <cellStyle name="40% - Accent5 2 3 3 6 2" xfId="4482" xr:uid="{4159EDC5-1819-4BF1-9041-20DB7F487ED3}"/>
    <cellStyle name="40% - Accent5 2 3 3 7" xfId="3384" xr:uid="{1FA86921-69C8-4684-A45B-E160EFB25B47}"/>
    <cellStyle name="40% - Accent5 2 3 4" xfId="1060" xr:uid="{D502BE8C-CF06-4490-9D08-08E33BF08317}"/>
    <cellStyle name="40% - Accent5 2 3 4 2" xfId="1477" xr:uid="{C6AEA3E9-FF60-4C1A-BFA9-69C9997D083C}"/>
    <cellStyle name="40% - Accent5 2 3 4 2 2" xfId="3029" xr:uid="{2D4E5862-0E2C-4C2C-996F-318624DFE4D3}"/>
    <cellStyle name="40% - Accent5 2 3 4 2 2 2" xfId="5079" xr:uid="{CB54D1C2-1D9F-48C6-980A-186D43D06F58}"/>
    <cellStyle name="40% - Accent5 2 3 4 2 3" xfId="3812" xr:uid="{0FB23855-B752-46AF-8002-E8C23DD4E308}"/>
    <cellStyle name="40% - Accent5 2 3 4 3" xfId="1883" xr:uid="{00168763-E367-41D5-87E6-F8157EAFEEDA}"/>
    <cellStyle name="40% - Accent5 2 3 4 3 2" xfId="4200" xr:uid="{D2C7B6FF-BF7B-465E-BC27-CD3A3CE0394C}"/>
    <cellStyle name="40% - Accent5 2 3 4 4" xfId="2457" xr:uid="{8BB598C9-C921-4274-937D-AA1C0F99273E}"/>
    <cellStyle name="40% - Accent5 2 3 4 4 2" xfId="4556" xr:uid="{515471B5-539C-4706-8641-97523C5032B2}"/>
    <cellStyle name="40% - Accent5 2 3 4 5" xfId="3424" xr:uid="{CF816589-26B0-4F52-BC29-C68BAF7F9401}"/>
    <cellStyle name="40% - Accent5 2 3 5" xfId="1166" xr:uid="{067F1108-5AA6-4DC8-8C87-B89FDA1272B9}"/>
    <cellStyle name="40% - Accent5 2 3 5 2" xfId="1582" xr:uid="{8770A56E-C4B0-43FF-9D22-EA499706E0EF}"/>
    <cellStyle name="40% - Accent5 2 3 5 2 2" xfId="3134" xr:uid="{CA376C1E-6B5F-4D2F-8AD4-C183CC257EFB}"/>
    <cellStyle name="40% - Accent5 2 3 5 2 2 2" xfId="5183" xr:uid="{D08A7286-D6FE-4121-A58D-1B945AB3CDDD}"/>
    <cellStyle name="40% - Accent5 2 3 5 2 3" xfId="3917" xr:uid="{8749CF77-905C-4D05-8E18-D61B7A3D9D63}"/>
    <cellStyle name="40% - Accent5 2 3 5 3" xfId="1988" xr:uid="{71FC90C6-9E51-40B8-B613-54A660C7CB7B}"/>
    <cellStyle name="40% - Accent5 2 3 5 3 2" xfId="4305" xr:uid="{447573FF-8636-4BD5-86F7-282B5CB531D0}"/>
    <cellStyle name="40% - Accent5 2 3 5 4" xfId="2750" xr:uid="{C773FA69-8F5B-424F-BBDF-0A0EE91B1BBF}"/>
    <cellStyle name="40% - Accent5 2 3 5 4 2" xfId="4820" xr:uid="{847D80AA-045B-43E3-B10B-5FD1B327DAC2}"/>
    <cellStyle name="40% - Accent5 2 3 5 5" xfId="3529" xr:uid="{119FF8FA-471D-47B6-B518-B2B8ADBAA6B7}"/>
    <cellStyle name="40% - Accent5 2 3 6" xfId="914" xr:uid="{1710C0E3-C44E-4DFE-BC7D-140DDCD88BBA}"/>
    <cellStyle name="40% - Accent5 2 3 6 2" xfId="1371" xr:uid="{DAB5C4AE-F137-4F1D-B0C7-4C27E41AD3B8}"/>
    <cellStyle name="40% - Accent5 2 3 6 2 2" xfId="2856" xr:uid="{3634EA09-7F98-4E97-88B9-DC87AA837C89}"/>
    <cellStyle name="40% - Accent5 2 3 6 2 2 2" xfId="4912" xr:uid="{C02F6EC1-6734-4AFC-B5C2-3DF676DDB849}"/>
    <cellStyle name="40% - Accent5 2 3 6 2 3" xfId="3707" xr:uid="{15DF2B00-3929-4F62-A5BC-70DEAB1C8D97}"/>
    <cellStyle name="40% - Accent5 2 3 6 3" xfId="1778" xr:uid="{0129A7C6-8D2A-43B6-97D9-27A08C866489}"/>
    <cellStyle name="40% - Accent5 2 3 6 3 2" xfId="4095" xr:uid="{569D008D-B5BD-4D76-A36B-29F430755316}"/>
    <cellStyle name="40% - Accent5 2 3 6 4" xfId="2570" xr:uid="{ABE1B767-706F-4485-8D37-4894B8A25D03}"/>
    <cellStyle name="40% - Accent5 2 3 6 4 2" xfId="4646" xr:uid="{F91307E3-C5CE-462A-89D8-1E8F9369988B}"/>
    <cellStyle name="40% - Accent5 2 3 6 5" xfId="3319" xr:uid="{42E9A26A-5946-4E8C-86C2-8FC65A12ECC5}"/>
    <cellStyle name="40% - Accent5 2 3 7" xfId="1275" xr:uid="{4C1FE872-6162-482C-8AAF-CEB4CD686CDB}"/>
    <cellStyle name="40% - Accent5 2 3 7 2" xfId="2838" xr:uid="{264967ED-A682-474D-B7EA-49DC7E942359}"/>
    <cellStyle name="40% - Accent5 2 3 7 2 2" xfId="4897" xr:uid="{A6821112-DCA4-462E-8D93-0CEB667362D0}"/>
    <cellStyle name="40% - Accent5 2 3 7 3" xfId="3631" xr:uid="{29118738-84CA-4914-8499-C672BE5CA8B5}"/>
    <cellStyle name="40% - Accent5 2 3 8" xfId="1698" xr:uid="{591BC8B5-590C-4842-B71A-26A800831F58}"/>
    <cellStyle name="40% - Accent5 2 3 8 2" xfId="4019" xr:uid="{8883AB2A-99B8-4094-B0ED-4EA7BAE0E1D7}"/>
    <cellStyle name="40% - Accent5 2 3 9" xfId="2128" xr:uid="{3AE86092-CEE5-48DD-A17A-EE6FBF41850D}"/>
    <cellStyle name="40% - Accent5 2 3 9 2" xfId="4410" xr:uid="{6F2261A5-F176-4E7F-825F-E8C5610CEA16}"/>
    <cellStyle name="40% - Accent5 2 4" xfId="97" xr:uid="{7C23FCA4-DDFB-48C4-8EDA-C3BCE0B7B21B}"/>
    <cellStyle name="40% - Accent5 2 5" xfId="98" xr:uid="{75B6FD35-D739-4646-8C38-E776F4DFBE80}"/>
    <cellStyle name="40% - Accent5 2 6" xfId="2260" xr:uid="{D04567A9-1F3F-487B-8097-1FEEEE2721F0}"/>
    <cellStyle name="40% - Accent5 3" xfId="99" xr:uid="{485DC0D7-27BC-495B-8CE0-AC75870CEB1F}"/>
    <cellStyle name="40% - Accent5 4" xfId="100" xr:uid="{30ABB3E1-7FF8-474A-BFB5-F611A355F854}"/>
    <cellStyle name="40% - Accent6 2" xfId="101" xr:uid="{ED821D43-CBEB-497D-9B66-F3FAB6769CDC}"/>
    <cellStyle name="40% - Accent6 2 2" xfId="102" xr:uid="{FF7A7FBC-C73F-42AE-B5DD-5FBFD4B0917A}"/>
    <cellStyle name="40% - Accent6 2 3" xfId="103" xr:uid="{FE6A3561-A543-43E0-B2FA-ECDA7B4E84CB}"/>
    <cellStyle name="40% - Accent6 2 3 10" xfId="3244" xr:uid="{03A341F2-4E30-4DC9-A19F-A9A45BB8B7A0}"/>
    <cellStyle name="40% - Accent6 2 3 2" xfId="822" xr:uid="{00CA1401-BFA5-4A56-A8BA-63D9733E5B15}"/>
    <cellStyle name="40% - Accent6 2 3 2 2" xfId="1092" xr:uid="{681E674B-38F5-46BE-AC23-D4A4FFCBC08C}"/>
    <cellStyle name="40% - Accent6 2 3 2 2 2" xfId="1509" xr:uid="{F50989B6-CA61-4E67-BACE-F99D85600F1B}"/>
    <cellStyle name="40% - Accent6 2 3 2 2 2 2" xfId="2678" xr:uid="{A366F846-BCE1-42B6-9323-FA603FD829B6}"/>
    <cellStyle name="40% - Accent6 2 3 2 2 2 2 2" xfId="4748" xr:uid="{D9714989-93CC-4754-BF60-05BC0CB3CC60}"/>
    <cellStyle name="40% - Accent6 2 3 2 2 2 3" xfId="3844" xr:uid="{C2EED7CB-5022-4052-8F3D-FE0553F144DB}"/>
    <cellStyle name="40% - Accent6 2 3 2 2 3" xfId="1915" xr:uid="{7D204AF1-E406-4764-A532-169EDC25A58D}"/>
    <cellStyle name="40% - Accent6 2 3 2 2 3 2" xfId="3061" xr:uid="{24364E42-2705-4DD9-B6C0-42436C10C94A}"/>
    <cellStyle name="40% - Accent6 2 3 2 2 3 2 2" xfId="5110" xr:uid="{D8C4461F-C380-4A21-8A92-2A7518A4480B}"/>
    <cellStyle name="40% - Accent6 2 3 2 2 3 3" xfId="4232" xr:uid="{B2C356B6-1282-478A-9AAE-5B1B0F78CE63}"/>
    <cellStyle name="40% - Accent6 2 3 2 2 4" xfId="2410" xr:uid="{7A51890B-1395-48A5-80B9-BD090324654C}"/>
    <cellStyle name="40% - Accent6 2 3 2 2 4 2" xfId="4511" xr:uid="{1FCA3C0F-EA64-4AD5-BFDA-94CC7C2E1A09}"/>
    <cellStyle name="40% - Accent6 2 3 2 2 5" xfId="3456" xr:uid="{AE214B85-7BC9-4C42-8D43-DBB3CC8C7E6B}"/>
    <cellStyle name="40% - Accent6 2 3 2 3" xfId="1199" xr:uid="{30881E8B-B211-438E-A745-40044F203A3D}"/>
    <cellStyle name="40% - Accent6 2 3 2 3 2" xfId="1614" xr:uid="{1FDA446D-804D-48A8-8972-79D09953B331}"/>
    <cellStyle name="40% - Accent6 2 3 2 3 2 2" xfId="3166" xr:uid="{A31E519A-7BB8-47AC-80BB-DDEF3846BE43}"/>
    <cellStyle name="40% - Accent6 2 3 2 3 2 2 2" xfId="5215" xr:uid="{4BB6C892-D76A-4C72-8E84-206CA6E86571}"/>
    <cellStyle name="40% - Accent6 2 3 2 3 2 3" xfId="3949" xr:uid="{64BAE543-D8A8-4DD4-95A4-9CB01068F1DE}"/>
    <cellStyle name="40% - Accent6 2 3 2 3 3" xfId="2020" xr:uid="{A64F2338-CF70-4C69-97E4-75D690DDC9BA}"/>
    <cellStyle name="40% - Accent6 2 3 2 3 3 2" xfId="4337" xr:uid="{F7F4174B-736A-43CE-A27D-8009FB5BFEA5}"/>
    <cellStyle name="40% - Accent6 2 3 2 3 4" xfId="2544" xr:uid="{CB27869A-2470-46B5-BC65-CA33BB3DB74E}"/>
    <cellStyle name="40% - Accent6 2 3 2 3 4 2" xfId="4623" xr:uid="{BE3C9A07-3745-4319-8228-2E17E2ACE405}"/>
    <cellStyle name="40% - Accent6 2 3 2 3 5" xfId="3561" xr:uid="{B1B6BEA1-82B5-46FE-ADA6-E1142DC30309}"/>
    <cellStyle name="40% - Accent6 2 3 2 4" xfId="969" xr:uid="{FFC70F61-F118-4ED0-908A-1DBAB74D9B4C}"/>
    <cellStyle name="40% - Accent6 2 3 2 4 2" xfId="1404" xr:uid="{AC032E53-834E-4211-916F-FEF656A64250}"/>
    <cellStyle name="40% - Accent6 2 3 2 4 2 2" xfId="2873" xr:uid="{0853BA9A-0E1F-423B-B86E-547A4FE057EB}"/>
    <cellStyle name="40% - Accent6 2 3 2 4 2 2 2" xfId="4927" xr:uid="{DED6A8AF-B95D-4825-880C-4A18927F28AC}"/>
    <cellStyle name="40% - Accent6 2 3 2 4 2 3" xfId="3739" xr:uid="{395C2A0E-530B-4D73-848C-431D4007E676}"/>
    <cellStyle name="40% - Accent6 2 3 2 4 3" xfId="1810" xr:uid="{314DCF1C-AE36-4211-9CFB-4FABF02B6C55}"/>
    <cellStyle name="40% - Accent6 2 3 2 4 3 2" xfId="4127" xr:uid="{3A2EA2D9-89DD-4524-85B8-204B85068A48}"/>
    <cellStyle name="40% - Accent6 2 3 2 4 4" xfId="2601" xr:uid="{7DAACF74-F9AB-48A0-8432-D253B144FA45}"/>
    <cellStyle name="40% - Accent6 2 3 2 4 4 2" xfId="4671" xr:uid="{B2678FEE-2AD7-4AA6-B095-881D785D4C1F}"/>
    <cellStyle name="40% - Accent6 2 3 2 4 5" xfId="3351" xr:uid="{787620DF-7196-4E98-BD85-1666E7957599}"/>
    <cellStyle name="40% - Accent6 2 3 2 5" xfId="1330" xr:uid="{ADD2AD9E-EF3A-45D3-81A8-A46503731AF0}"/>
    <cellStyle name="40% - Accent6 2 3 2 5 2" xfId="2909" xr:uid="{4AA53F5C-3DDF-4751-8BD6-55A2CD78CF32}"/>
    <cellStyle name="40% - Accent6 2 3 2 5 2 2" xfId="4963" xr:uid="{F889F84A-6C16-48F8-BBEC-6BF7DF157BE4}"/>
    <cellStyle name="40% - Accent6 2 3 2 5 3" xfId="3666" xr:uid="{32684BAD-7FCD-4B4E-A525-3D92A6687796}"/>
    <cellStyle name="40% - Accent6 2 3 2 6" xfId="1737" xr:uid="{A3CB220F-67EC-4A63-A29F-90CB0E3EB005}"/>
    <cellStyle name="40% - Accent6 2 3 2 6 2" xfId="4054" xr:uid="{005F4019-575E-4390-93C9-51775C846F29}"/>
    <cellStyle name="40% - Accent6 2 3 2 7" xfId="2218" xr:uid="{129A2B40-2D1E-4B76-9F3D-E2C96628A530}"/>
    <cellStyle name="40% - Accent6 2 3 2 7 2" xfId="4439" xr:uid="{FEFCB140-B9A5-4456-B320-AE1543CBF50C}"/>
    <cellStyle name="40% - Accent6 2 3 2 8" xfId="3278" xr:uid="{02B056B5-322E-4AC7-AB02-877B192048D1}"/>
    <cellStyle name="40% - Accent6 2 3 3" xfId="1007" xr:uid="{B25F8DDF-DAA1-40A7-AB86-104F71A7867A}"/>
    <cellStyle name="40% - Accent6 2 3 3 2" xfId="1126" xr:uid="{12956981-A202-4BBC-98F6-6717F1298CD2}"/>
    <cellStyle name="40% - Accent6 2 3 3 2 2" xfId="1543" xr:uid="{30000A71-F370-4A63-AE7A-DF35F8FB56E5}"/>
    <cellStyle name="40% - Accent6 2 3 3 2 2 2" xfId="3095" xr:uid="{7E6F5CD7-AA42-42BB-B45A-9FF7033B37FA}"/>
    <cellStyle name="40% - Accent6 2 3 3 2 2 2 2" xfId="5144" xr:uid="{383FCA75-04FE-44CE-A672-21D08EF9C066}"/>
    <cellStyle name="40% - Accent6 2 3 3 2 2 3" xfId="3878" xr:uid="{CE9BBAA3-4A88-4118-85B8-87445EDD83E5}"/>
    <cellStyle name="40% - Accent6 2 3 3 2 3" xfId="1949" xr:uid="{BC065402-A75F-4291-A518-C83DEEDAC0B8}"/>
    <cellStyle name="40% - Accent6 2 3 3 2 3 2" xfId="4266" xr:uid="{F643F99F-9F8F-49D4-8875-3C7711F02265}"/>
    <cellStyle name="40% - Accent6 2 3 3 2 4" xfId="2711" xr:uid="{B968D56E-BFAC-4ABA-BC3B-8FB7B245F7DF}"/>
    <cellStyle name="40% - Accent6 2 3 3 2 4 2" xfId="4781" xr:uid="{8BCDF75C-B27E-413D-AF38-C111F64BEFF5}"/>
    <cellStyle name="40% - Accent6 2 3 3 2 5" xfId="3490" xr:uid="{509006DB-D807-4CEF-8E31-3B08A10E647D}"/>
    <cellStyle name="40% - Accent6 2 3 3 3" xfId="1237" xr:uid="{4D027C3A-8720-46C0-ACFD-31749E6AB408}"/>
    <cellStyle name="40% - Accent6 2 3 3 3 2" xfId="1648" xr:uid="{F949AF85-24E1-492B-B9AF-33ECA05BE956}"/>
    <cellStyle name="40% - Accent6 2 3 3 3 2 2" xfId="3200" xr:uid="{8CB7D7CC-8C0A-40FB-AA92-313BD5C351B8}"/>
    <cellStyle name="40% - Accent6 2 3 3 3 2 2 2" xfId="5249" xr:uid="{03E7AD02-9F09-49DF-9F7E-CED16F694C3B}"/>
    <cellStyle name="40% - Accent6 2 3 3 3 2 3" xfId="3983" xr:uid="{CDEEB114-7949-4B4C-B60B-CE11AD236176}"/>
    <cellStyle name="40% - Accent6 2 3 3 3 3" xfId="2054" xr:uid="{E724A94D-8F1C-4FBB-9793-2CD1723C7952}"/>
    <cellStyle name="40% - Accent6 2 3 3 3 3 2" xfId="4371" xr:uid="{9CB95B6D-2326-4893-B521-0E95A0AB7842}"/>
    <cellStyle name="40% - Accent6 2 3 3 3 4" xfId="2787" xr:uid="{0B66842B-D8F7-4627-BF28-21D00DAD78AE}"/>
    <cellStyle name="40% - Accent6 2 3 3 3 4 2" xfId="4857" xr:uid="{F8935C9D-5ED6-4FD3-BBFD-6E390E783B5A}"/>
    <cellStyle name="40% - Accent6 2 3 3 3 5" xfId="3595" xr:uid="{7D1E3D74-C3C9-4138-B702-1E2B3C61274C}"/>
    <cellStyle name="40% - Accent6 2 3 3 4" xfId="1438" xr:uid="{10FA9521-52C1-453F-96B7-045C4E6CAEB9}"/>
    <cellStyle name="40% - Accent6 2 3 3 4 2" xfId="2631" xr:uid="{A9AA68E4-8623-4702-8357-732F1E31276C}"/>
    <cellStyle name="40% - Accent6 2 3 3 4 2 2" xfId="4701" xr:uid="{299265D0-DC32-4137-B2B5-FCCFC576E717}"/>
    <cellStyle name="40% - Accent6 2 3 3 4 3" xfId="3773" xr:uid="{26FD0031-9C40-4A2B-8F96-94FCE123BAAB}"/>
    <cellStyle name="40% - Accent6 2 3 3 5" xfId="1844" xr:uid="{3908FED2-C314-49B0-AABD-95E7B0DCC395}"/>
    <cellStyle name="40% - Accent6 2 3 3 5 2" xfId="2991" xr:uid="{F8EB3073-74DF-4903-8204-ECCDE17B550A}"/>
    <cellStyle name="40% - Accent6 2 3 3 5 2 2" xfId="5041" xr:uid="{9C80F145-C0D3-47CA-8C69-0699DF79FE9C}"/>
    <cellStyle name="40% - Accent6 2 3 3 5 3" xfId="4161" xr:uid="{2290451A-2D51-4550-9269-CD6C3FE1E2EF}"/>
    <cellStyle name="40% - Accent6 2 3 3 6" xfId="2382" xr:uid="{F95F7E04-5E43-4DC7-B69D-506DF3B419D4}"/>
    <cellStyle name="40% - Accent6 2 3 3 6 2" xfId="4483" xr:uid="{6A8A9CA0-6E87-4764-A8DA-EFDAE0B1B3E5}"/>
    <cellStyle name="40% - Accent6 2 3 3 7" xfId="3385" xr:uid="{B8D334A5-9AB0-4C11-ADA8-842C750C4A5C}"/>
    <cellStyle name="40% - Accent6 2 3 4" xfId="1061" xr:uid="{384050AE-825A-4AB0-BC29-2A41AAE99570}"/>
    <cellStyle name="40% - Accent6 2 3 4 2" xfId="1478" xr:uid="{0C9BBB72-C373-4F0F-B7C7-2D88EAA2BA34}"/>
    <cellStyle name="40% - Accent6 2 3 4 2 2" xfId="3030" xr:uid="{46E9049C-6BE2-4C2C-A4D4-2A4B665B0B76}"/>
    <cellStyle name="40% - Accent6 2 3 4 2 2 2" xfId="5080" xr:uid="{AF41BDD4-50F6-4DF3-B794-BD88F050ED25}"/>
    <cellStyle name="40% - Accent6 2 3 4 2 3" xfId="3813" xr:uid="{2D758E49-BD2D-42CC-A685-3D281F8D66B2}"/>
    <cellStyle name="40% - Accent6 2 3 4 3" xfId="1884" xr:uid="{578F5056-9032-4244-8D34-42376F1E8B03}"/>
    <cellStyle name="40% - Accent6 2 3 4 3 2" xfId="4201" xr:uid="{1427574A-2E21-478D-92EB-582996C51885}"/>
    <cellStyle name="40% - Accent6 2 3 4 4" xfId="2458" xr:uid="{548C7BBC-37E6-48AE-9690-995B113FC11E}"/>
    <cellStyle name="40% - Accent6 2 3 4 4 2" xfId="4557" xr:uid="{B9060510-E8AA-4133-99DE-5B06CE65C94A}"/>
    <cellStyle name="40% - Accent6 2 3 4 5" xfId="3425" xr:uid="{8E32B30A-592B-4E18-B5F9-1158304D9834}"/>
    <cellStyle name="40% - Accent6 2 3 5" xfId="1167" xr:uid="{8ADEE345-9E76-49DF-AB44-2EDE4E6AEB2F}"/>
    <cellStyle name="40% - Accent6 2 3 5 2" xfId="1583" xr:uid="{D3562E32-C2EC-4B1D-A665-983B65188E95}"/>
    <cellStyle name="40% - Accent6 2 3 5 2 2" xfId="3135" xr:uid="{C8EC19A9-C0FF-41EA-940E-9A4AF5E78D42}"/>
    <cellStyle name="40% - Accent6 2 3 5 2 2 2" xfId="5184" xr:uid="{060918F7-4013-4B2A-B1A9-894236056CAA}"/>
    <cellStyle name="40% - Accent6 2 3 5 2 3" xfId="3918" xr:uid="{C6210887-8BC0-4633-BF9B-AC7A4D52E7A8}"/>
    <cellStyle name="40% - Accent6 2 3 5 3" xfId="1989" xr:uid="{593300FB-A4A6-420F-8B77-3E01850513EC}"/>
    <cellStyle name="40% - Accent6 2 3 5 3 2" xfId="4306" xr:uid="{052D2BAD-8E58-4F80-B8C2-FE96736FDBF8}"/>
    <cellStyle name="40% - Accent6 2 3 5 4" xfId="2751" xr:uid="{19FE4993-B4CC-4A36-AEF7-8373EC1FD7FB}"/>
    <cellStyle name="40% - Accent6 2 3 5 4 2" xfId="4821" xr:uid="{350192D8-6939-4925-8A2B-8766BF54E528}"/>
    <cellStyle name="40% - Accent6 2 3 5 5" xfId="3530" xr:uid="{78C6E3F3-7F33-40DD-812C-ABBCAF4A7475}"/>
    <cellStyle name="40% - Accent6 2 3 6" xfId="915" xr:uid="{E861D70C-E413-4D06-B463-82D0E0CA29F7}"/>
    <cellStyle name="40% - Accent6 2 3 6 2" xfId="1372" xr:uid="{70855D95-35AF-4284-9765-121D173A6A2F}"/>
    <cellStyle name="40% - Accent6 2 3 6 2 2" xfId="2956" xr:uid="{053F350A-0E63-4BB2-9220-B95C84EB586C}"/>
    <cellStyle name="40% - Accent6 2 3 6 2 2 2" xfId="5008" xr:uid="{C5B29121-9AD3-4C98-9D36-7D5E1AB13DC2}"/>
    <cellStyle name="40% - Accent6 2 3 6 2 3" xfId="3708" xr:uid="{FD7A5544-D8D2-4CF8-BBCE-6CB3BE39B0EE}"/>
    <cellStyle name="40% - Accent6 2 3 6 3" xfId="1779" xr:uid="{8797E6C5-E404-4DA5-88FF-93EFA432B361}"/>
    <cellStyle name="40% - Accent6 2 3 6 3 2" xfId="4096" xr:uid="{48522F75-FE66-4989-855A-65E45D2923B6}"/>
    <cellStyle name="40% - Accent6 2 3 6 4" xfId="2592" xr:uid="{35DCC8AC-D1B7-455C-8E8E-00A21716071B}"/>
    <cellStyle name="40% - Accent6 2 3 6 4 2" xfId="4663" xr:uid="{1420BC0F-A840-4B2C-8D53-0FF6BE3452B5}"/>
    <cellStyle name="40% - Accent6 2 3 6 5" xfId="3320" xr:uid="{B7C52A25-8335-4D66-815E-69AC2E53FE7B}"/>
    <cellStyle name="40% - Accent6 2 3 7" xfId="1276" xr:uid="{96F3633A-864B-42EE-B410-C8CE910CFEE2}"/>
    <cellStyle name="40% - Accent6 2 3 7 2" xfId="2839" xr:uid="{90E74DAA-2F65-4BF3-A543-B8A88A18D6A3}"/>
    <cellStyle name="40% - Accent6 2 3 7 2 2" xfId="4898" xr:uid="{FC6E7F2A-6A2C-47ED-B6FD-B8F434D745B8}"/>
    <cellStyle name="40% - Accent6 2 3 7 3" xfId="3632" xr:uid="{0A397CBA-1B33-4A77-AF67-D7807FB6B59A}"/>
    <cellStyle name="40% - Accent6 2 3 8" xfId="1699" xr:uid="{7DC2F279-CF90-4188-AB94-C6E0058E39E0}"/>
    <cellStyle name="40% - Accent6 2 3 8 2" xfId="4020" xr:uid="{4CE2CD7A-120F-4D15-92BB-80BE4A6E0C82}"/>
    <cellStyle name="40% - Accent6 2 3 9" xfId="2129" xr:uid="{C9EF54A8-529D-49B2-BA4C-D0249514DD5B}"/>
    <cellStyle name="40% - Accent6 2 3 9 2" xfId="4411" xr:uid="{12F6D33C-01B1-4C02-93C1-E60F3ADE4C77}"/>
    <cellStyle name="40% - Accent6 2 4" xfId="104" xr:uid="{9D3E9580-EFBF-4587-8222-7224F99148A1}"/>
    <cellStyle name="40% - Accent6 2 5" xfId="105" xr:uid="{075FF252-4A10-45CD-8A79-802817B25CDD}"/>
    <cellStyle name="40% - Accent6 2 6" xfId="2261" xr:uid="{A48341A2-A590-4E13-AF05-9ABB517A0DAF}"/>
    <cellStyle name="40% - Accent6 3" xfId="106" xr:uid="{920B1BA9-47AA-4C18-AB61-5C3FF22E91B4}"/>
    <cellStyle name="40% - Accent6 4" xfId="107" xr:uid="{98C5CD8B-D933-4EF3-869A-54CC360627D5}"/>
    <cellStyle name="60% - Accent1 2" xfId="108" xr:uid="{4C15BBA8-0790-4DF4-8D77-E8AA21520BB5}"/>
    <cellStyle name="60% - Accent1 2 2" xfId="109" xr:uid="{A52100E6-3A8C-4BF5-83FA-AE8FC9343F28}"/>
    <cellStyle name="60% - Accent1 2 3" xfId="110" xr:uid="{0342ED5E-8CC0-4BC9-BD2E-E939B57EF02C}"/>
    <cellStyle name="60% - Accent1 2 4" xfId="111" xr:uid="{5BDF791E-E3FA-4850-9A3F-5915A170E714}"/>
    <cellStyle name="60% - Accent1 2 5" xfId="112" xr:uid="{9304D929-E06B-4A68-9771-E888DF386570}"/>
    <cellStyle name="60% - Accent1 2 6" xfId="2262" xr:uid="{90E6F3C4-D7CF-44D6-9520-749E7502887C}"/>
    <cellStyle name="60% - Accent1 3" xfId="113" xr:uid="{69AA5F23-4DCF-4FFB-8A60-365624513788}"/>
    <cellStyle name="60% - Accent1 4" xfId="114" xr:uid="{5C81C627-C8CE-4663-A093-4AEDB8EBF952}"/>
    <cellStyle name="60% - Accent2 2" xfId="115" xr:uid="{FB598026-9BEB-4649-A66C-DD729785BDE9}"/>
    <cellStyle name="60% - Accent2 2 2" xfId="116" xr:uid="{278F335C-2776-4B66-98E7-AAA3E435FF5D}"/>
    <cellStyle name="60% - Accent2 2 3" xfId="117" xr:uid="{32A1B2ED-3741-49C8-B9F4-65A1835EEB10}"/>
    <cellStyle name="60% - Accent2 2 4" xfId="118" xr:uid="{6E1A2A01-F474-4489-AA22-B7D1E2039BE0}"/>
    <cellStyle name="60% - Accent2 2 5" xfId="119" xr:uid="{2D29E1F7-7D23-443E-BDDA-54564E93B839}"/>
    <cellStyle name="60% - Accent2 2 6" xfId="2263" xr:uid="{4A3745E6-244E-40DA-A718-E5B4630AA0A7}"/>
    <cellStyle name="60% - Accent2 3" xfId="120" xr:uid="{498CA277-81FE-489D-B3A5-A80453915B4E}"/>
    <cellStyle name="60% - Accent2 4" xfId="121" xr:uid="{C8057E8D-9140-466B-A516-1DD49FDC6000}"/>
    <cellStyle name="60% - Accent3 2" xfId="122" xr:uid="{49C0101F-C324-4373-9DA7-E575CC17BB40}"/>
    <cellStyle name="60% - Accent3 2 2" xfId="123" xr:uid="{1A393A6A-3FC9-4FF9-8172-D8E3B392F9BB}"/>
    <cellStyle name="60% - Accent3 2 2 2" xfId="2264" xr:uid="{ECEE8E7D-DFF9-40B6-94D4-802CC5F9F018}"/>
    <cellStyle name="60% - Accent3 2 2 3" xfId="2130" xr:uid="{636DF0FD-873E-418F-9CF3-5FE9E24E8024}"/>
    <cellStyle name="60% - Accent3 2 3" xfId="124" xr:uid="{983D3233-B90C-4807-B6D2-EA9EF9D416A2}"/>
    <cellStyle name="60% - Accent3 2 3 2" xfId="2265" xr:uid="{BA05B0EC-B0A5-4B0C-A477-212D37D8FE5C}"/>
    <cellStyle name="60% - Accent3 2 3 3" xfId="2131" xr:uid="{4E56C64E-3076-4428-B33A-B2B16CE091F3}"/>
    <cellStyle name="60% - Accent3 2 4" xfId="125" xr:uid="{6FE6ED0D-1916-4116-A5ED-7BFBC9E9C3AC}"/>
    <cellStyle name="60% - Accent3 2 4 2" xfId="2266" xr:uid="{003A22A8-C816-4025-AD8B-9934251129C7}"/>
    <cellStyle name="60% - Accent3 2 4 3" xfId="2132" xr:uid="{91FEEAB1-217F-4278-B655-109386741EEA}"/>
    <cellStyle name="60% - Accent3 2 5" xfId="126" xr:uid="{A20F731C-7872-469D-B560-D7C76FCD3F3A}"/>
    <cellStyle name="60% - Accent3 2 5 2" xfId="2267" xr:uid="{BBB0DEDF-902A-4309-8117-289BF6DC167E}"/>
    <cellStyle name="60% - Accent3 2 5 3" xfId="2133" xr:uid="{44BD6699-B512-4E49-A227-0EC0A89B18E4}"/>
    <cellStyle name="60% - Accent3 2 6" xfId="879" xr:uid="{21503AD4-5CCF-45CD-9665-3A4B256BD848}"/>
    <cellStyle name="60% - Accent3 2 6 2" xfId="2268" xr:uid="{A851298F-1E24-412C-8A92-21EF43168A27}"/>
    <cellStyle name="60% - Accent3 2 6 3" xfId="2509" xr:uid="{F7A1CAC1-B673-4AEF-BBD9-4888DC236381}"/>
    <cellStyle name="60% - Accent3 2 6 4" xfId="2197" xr:uid="{1A07B493-ADE4-49C6-A093-14B1D1AE6182}"/>
    <cellStyle name="60% - Accent3 3" xfId="127" xr:uid="{71A19020-273C-40D8-A20A-58382B9666DF}"/>
    <cellStyle name="60% - Accent3 3 2" xfId="2269" xr:uid="{0B6A7D45-238C-4584-A891-B766750143E8}"/>
    <cellStyle name="60% - Accent3 3 3" xfId="2134" xr:uid="{8763AE90-BCFA-4E39-B34D-4B56635C79FE}"/>
    <cellStyle name="60% - Accent3 4" xfId="128" xr:uid="{B8E9998F-83F8-4138-97EC-1FDDE4C0BB42}"/>
    <cellStyle name="60% - Accent3 4 2" xfId="2270" xr:uid="{A9520DF7-3A13-44CB-AF12-5CFADC91FE7B}"/>
    <cellStyle name="60% - Accent3 4 3" xfId="2135" xr:uid="{5DE38F6E-AA12-4B6A-993F-C711CEA6441A}"/>
    <cellStyle name="60% - Accent4 2" xfId="129" xr:uid="{370AA74C-8C80-49AE-B343-6C9F7C896CC6}"/>
    <cellStyle name="60% - Accent4 2 2" xfId="130" xr:uid="{E4ABC931-A53D-4F69-8DB4-E373ED237074}"/>
    <cellStyle name="60% - Accent4 2 3" xfId="131" xr:uid="{8B4DB346-6133-4549-972E-2D72B15806C2}"/>
    <cellStyle name="60% - Accent4 2 4" xfId="132" xr:uid="{FA4F515A-2F19-4FB2-80FD-DD4C04E79398}"/>
    <cellStyle name="60% - Accent4 2 5" xfId="133" xr:uid="{B6FD3D4E-BAC2-41B1-9FE1-4D21C917FF1D}"/>
    <cellStyle name="60% - Accent4 2 6" xfId="2271" xr:uid="{F04731A0-669A-4D1D-ABA2-623ACD627D8D}"/>
    <cellStyle name="60% - Accent4 3" xfId="134" xr:uid="{70C1BA64-A9A5-4DF4-9687-796C55F14CD1}"/>
    <cellStyle name="60% - Accent4 4" xfId="135" xr:uid="{BE70BECB-E90C-4F6D-A4E3-7F19B7AC4579}"/>
    <cellStyle name="60% - Accent5 2" xfId="136" xr:uid="{17D188B9-90FF-4789-8587-9F9C70F48414}"/>
    <cellStyle name="60% - Accent5 2 2" xfId="137" xr:uid="{89B61443-B103-4996-8938-16948200C59E}"/>
    <cellStyle name="60% - Accent5 2 3" xfId="138" xr:uid="{45153BA4-A39B-42A4-9FCD-3EC65848446D}"/>
    <cellStyle name="60% - Accent5 2 4" xfId="139" xr:uid="{F842CF59-DD33-4853-BFB1-020BCEB5C7C4}"/>
    <cellStyle name="60% - Accent5 2 5" xfId="140" xr:uid="{2442F3AD-ACA1-40D4-9BD4-37082562D22C}"/>
    <cellStyle name="60% - Accent5 2 6" xfId="2272" xr:uid="{07C7BEEA-5FFD-42CD-9CF3-5547F86F1F05}"/>
    <cellStyle name="60% - Accent5 3" xfId="141" xr:uid="{4175E2C9-056A-43BE-B889-250A8F4E1BD7}"/>
    <cellStyle name="60% - Accent5 4" xfId="142" xr:uid="{31966994-A9D8-4814-A133-3877B84176A1}"/>
    <cellStyle name="60% - Accent6 2" xfId="143" xr:uid="{D1EC3B5F-DD1C-42A2-A9CA-7B41072F11E3}"/>
    <cellStyle name="60% - Accent6 2 2" xfId="144" xr:uid="{3BE73093-BE16-4789-9E12-5541164686A5}"/>
    <cellStyle name="60% - Accent6 2 2 2" xfId="2273" xr:uid="{5ECEE319-4AAE-43AD-86DA-FFCA8F1EF879}"/>
    <cellStyle name="60% - Accent6 2 2 3" xfId="2136" xr:uid="{B1A053AE-555A-457D-9562-47308B78ABBB}"/>
    <cellStyle name="60% - Accent6 2 3" xfId="145" xr:uid="{82704D67-0F16-47A9-A3CB-C12156368083}"/>
    <cellStyle name="60% - Accent6 2 3 2" xfId="2274" xr:uid="{97D47946-4825-4214-A205-1831AC58A3D8}"/>
    <cellStyle name="60% - Accent6 2 3 3" xfId="2137" xr:uid="{01C9FE0E-DAD1-43F1-A74F-BB4362E1F82B}"/>
    <cellStyle name="60% - Accent6 2 4" xfId="146" xr:uid="{28F55D64-5251-4085-85BF-AC1A11252CE3}"/>
    <cellStyle name="60% - Accent6 2 4 2" xfId="2275" xr:uid="{3DA74CE4-83B6-4FE3-8E1D-E8DC88A1643F}"/>
    <cellStyle name="60% - Accent6 2 4 3" xfId="2138" xr:uid="{E69EE5CB-F06D-444B-B8A3-EFC0662A26E6}"/>
    <cellStyle name="60% - Accent6 2 5" xfId="147" xr:uid="{99AEB426-5941-4A3A-8CBC-266C5B2DD48C}"/>
    <cellStyle name="60% - Accent6 2 6" xfId="2198" xr:uid="{30498EEC-5707-45D5-A457-9C50BF078AE2}"/>
    <cellStyle name="60% - Accent6 2 6 2" xfId="2276" xr:uid="{4914532B-47B6-4C2A-852F-4FE91D672345}"/>
    <cellStyle name="60% - Accent6 3" xfId="148" xr:uid="{F71FB161-14BB-430B-91CF-7AEBD8929B00}"/>
    <cellStyle name="60% - Accent6 3 2" xfId="2277" xr:uid="{E0041346-61AD-4530-AD14-5F5EF1CD8F03}"/>
    <cellStyle name="60% - Accent6 3 3" xfId="2139" xr:uid="{371770FB-8BDD-4244-8425-D9FFB84F2CAE}"/>
    <cellStyle name="60% - Accent6 4" xfId="149" xr:uid="{09911C9E-AEFA-498B-A352-FC4075514B2F}"/>
    <cellStyle name="60% - Accent6 4 2" xfId="2278" xr:uid="{13E8231C-0EEE-4275-9D36-FBE9A7D721BC}"/>
    <cellStyle name="60% - Accent6 4 3" xfId="2140" xr:uid="{1F2FF726-D37A-4AB8-9DDA-35009556C18C}"/>
    <cellStyle name="Accent1 2" xfId="150" xr:uid="{DBAC543C-7E6B-4477-9B16-2C9D2D5A19B8}"/>
    <cellStyle name="Accent1 2 2" xfId="151" xr:uid="{95B56AAB-3C1A-431E-90EE-3EBC6F96EC12}"/>
    <cellStyle name="Accent1 2 3" xfId="152" xr:uid="{7F350C26-A74D-413C-9923-F9DB0B890BAC}"/>
    <cellStyle name="Accent1 2 4" xfId="153" xr:uid="{B385F926-ABA8-453E-964B-1E6C8626C432}"/>
    <cellStyle name="Accent1 2 5" xfId="154" xr:uid="{C872812A-EC9F-4079-9F0D-A7FF6E26A1E1}"/>
    <cellStyle name="Accent1 2 6" xfId="2279" xr:uid="{0AD8CA60-F94F-44B8-9976-57DFAFF8CA78}"/>
    <cellStyle name="Accent1 3" xfId="155" xr:uid="{E75CECF7-A8E3-41BC-BDF5-16022CFFB21F}"/>
    <cellStyle name="Accent1 4" xfId="156" xr:uid="{229DBE32-0CD3-4323-995A-93F830A8007C}"/>
    <cellStyle name="Accent2 2" xfId="157" xr:uid="{339EF3F6-1D52-4E68-9674-301727D8D89A}"/>
    <cellStyle name="Accent2 2 2" xfId="158" xr:uid="{BC377403-0FBD-4EFA-AB2F-69531861601E}"/>
    <cellStyle name="Accent2 2 3" xfId="159" xr:uid="{AF8A108B-1CB9-4806-B98B-BA6D57104DDD}"/>
    <cellStyle name="Accent2 2 4" xfId="160" xr:uid="{B63E8787-FC08-4CE4-9A41-EAD4D05AD264}"/>
    <cellStyle name="Accent2 2 5" xfId="161" xr:uid="{7477C7DF-DD2D-4C47-B496-9D5211D7C58D}"/>
    <cellStyle name="Accent2 2 6" xfId="2280" xr:uid="{EF9243AB-76C0-4E1F-93EC-8B7CA6DDDE4C}"/>
    <cellStyle name="Accent2 3" xfId="162" xr:uid="{8C944575-D542-4F62-96BB-2A624A451C61}"/>
    <cellStyle name="Accent2 4" xfId="163" xr:uid="{F829AC4A-3039-478C-8E09-C5FB80A8461A}"/>
    <cellStyle name="Accent3 2" xfId="164" xr:uid="{65574187-B032-4374-8AC1-E1DA18982678}"/>
    <cellStyle name="Accent3 2 2" xfId="165" xr:uid="{9B1AFCF2-5EBD-434B-88EF-DF1758BA6D69}"/>
    <cellStyle name="Accent3 2 3" xfId="166" xr:uid="{B38A002A-F368-4596-80EF-A9B5CCA7FA5C}"/>
    <cellStyle name="Accent3 2 4" xfId="167" xr:uid="{64FECD94-089B-4CA2-A1DA-B2A897596E7A}"/>
    <cellStyle name="Accent3 2 5" xfId="168" xr:uid="{A3FF5076-843A-488B-811D-C17393DA2A5A}"/>
    <cellStyle name="Accent3 2 6" xfId="2281" xr:uid="{275BE503-96D5-4980-AC65-20F78ADBBE4C}"/>
    <cellStyle name="Accent3 3" xfId="169" xr:uid="{3F3CC4B1-DA3D-4466-B999-717B29958EFA}"/>
    <cellStyle name="Accent3 4" xfId="170" xr:uid="{A4E4E037-5456-40E4-9D01-7B7C3FE39549}"/>
    <cellStyle name="Accent4 2" xfId="171" xr:uid="{44CC0707-74A4-464F-9B8B-1D3753549AAD}"/>
    <cellStyle name="Accent4 2 2" xfId="172" xr:uid="{C86185A5-5660-4CE4-84BC-72823FA1876D}"/>
    <cellStyle name="Accent4 2 3" xfId="173" xr:uid="{2CF4673C-D25D-41AE-977D-6510DEFE1CD6}"/>
    <cellStyle name="Accent4 2 4" xfId="174" xr:uid="{A04DA3E8-BE83-45D3-BBCE-CCDBC6267E56}"/>
    <cellStyle name="Accent4 2 5" xfId="175" xr:uid="{F3A8F46A-9A13-40D0-879F-6585BF9E5E26}"/>
    <cellStyle name="Accent4 2 6" xfId="2282" xr:uid="{95913559-6984-4ABA-8B22-6B6BB0E88F05}"/>
    <cellStyle name="Accent4 3" xfId="176" xr:uid="{7BEF4D02-476A-48F6-A269-CD7F15307BB7}"/>
    <cellStyle name="Accent4 4" xfId="177" xr:uid="{633578F0-6B35-4A23-A9FE-600297913CD2}"/>
    <cellStyle name="Accent5 2" xfId="178" xr:uid="{C51CFAC6-4BAC-4097-A863-1A4BB1C2C4B5}"/>
    <cellStyle name="Accent5 2 2" xfId="179" xr:uid="{257AC07F-31E1-4AFD-B85E-3702F54BAAA9}"/>
    <cellStyle name="Accent5 2 3" xfId="180" xr:uid="{20A8AD2A-1AB6-4A48-8327-9F2B3D05C1F3}"/>
    <cellStyle name="Accent5 3" xfId="181" xr:uid="{D2E18A63-BE54-483F-8E19-40C31DA54B2F}"/>
    <cellStyle name="Accent5 4" xfId="182" xr:uid="{75E5B7B4-C2CE-4586-BE1F-A0418E27D220}"/>
    <cellStyle name="Accent6 2" xfId="183" xr:uid="{3E67FE6F-7E41-4142-932F-C347BAFDAA63}"/>
    <cellStyle name="Accent6 2 2" xfId="184" xr:uid="{24A8B52E-492F-4B48-8DF2-D8ADDD8CAB9C}"/>
    <cellStyle name="Accent6 2 3" xfId="185" xr:uid="{3C2B9470-8741-4A34-A31B-12897E5B3E69}"/>
    <cellStyle name="Accent6 2 4" xfId="186" xr:uid="{18413C93-F813-4FF4-B9EA-8C6456BA716E}"/>
    <cellStyle name="Accent6 2 5" xfId="187" xr:uid="{8339A0B6-FA24-45B9-B58C-3A9D9274690E}"/>
    <cellStyle name="Accent6 2 6" xfId="2283" xr:uid="{9797E457-7BE3-411B-9F3F-ECED7BAE9893}"/>
    <cellStyle name="Accent6 3" xfId="188" xr:uid="{ADF4C2C6-C3FB-45D8-8682-C7807C4422DE}"/>
    <cellStyle name="Accent6 4" xfId="189" xr:uid="{417FC572-CF82-418A-95BF-4741DCB211C3}"/>
    <cellStyle name="Bad 2" xfId="190" xr:uid="{EE189055-7C6D-4B5E-86D8-DFABE43CE886}"/>
    <cellStyle name="Bad 2 2" xfId="191" xr:uid="{ADEA16CA-581F-4E1F-B147-90071F9A7A68}"/>
    <cellStyle name="Bad 2 2 2" xfId="2284" xr:uid="{83DB19EF-EE2D-4702-8178-84C2FA3B8538}"/>
    <cellStyle name="Bad 2 2 3" xfId="2141" xr:uid="{9A91E030-A38D-46C4-A979-D405C5B4654E}"/>
    <cellStyle name="Bad 2 3" xfId="192" xr:uid="{ED6AAB6C-2ADB-46A6-A2DB-66668DEB929F}"/>
    <cellStyle name="Bad 2 3 2" xfId="2285" xr:uid="{362A5704-029D-43F2-8ED7-7D64EA737AC6}"/>
    <cellStyle name="Bad 2 3 3" xfId="2142" xr:uid="{694B2090-ADA0-4C58-A33E-E03F9F3F1C91}"/>
    <cellStyle name="Bad 2 4" xfId="193" xr:uid="{71046780-FF0F-4CCA-984B-A35E8A94B9F8}"/>
    <cellStyle name="Bad 2 4 2" xfId="2286" xr:uid="{38ACBBEA-7E10-4F67-9934-6ED35B82AC55}"/>
    <cellStyle name="Bad 2 4 3" xfId="2143" xr:uid="{25A1485D-DE81-4BD2-9173-949CF02A0C5F}"/>
    <cellStyle name="Bad 2 5" xfId="194" xr:uid="{01A41BF6-A668-492B-86C1-BAA728835EBC}"/>
    <cellStyle name="Bad 2 6" xfId="2199" xr:uid="{38E4F8E9-5E10-4A50-A00C-11585DA5AC6B}"/>
    <cellStyle name="Bad 2 6 2" xfId="2287" xr:uid="{F89898B8-9DFE-4F1D-9D44-77B1E57F88AE}"/>
    <cellStyle name="Bad 3" xfId="195" xr:uid="{6109C5A8-FC88-47BC-A893-1E5AEB5F6073}"/>
    <cellStyle name="Bad 3 2" xfId="2288" xr:uid="{4A5EB826-741A-4256-B430-76E114D20CCC}"/>
    <cellStyle name="Bad 3 3" xfId="2144" xr:uid="{67F2ADFD-1564-4FE7-A867-9DFA1EE61713}"/>
    <cellStyle name="Bad 4" xfId="196" xr:uid="{4CA08AA4-28F7-4FE3-893B-9C7C01BDB76D}"/>
    <cellStyle name="Bad 4 2" xfId="2289" xr:uid="{CEC9BF21-B40C-4A43-AC9B-4C0774FBF114}"/>
    <cellStyle name="Bad 4 3" xfId="2145" xr:uid="{E983FC18-D3D2-4383-973C-3B0AEDB0EB20}"/>
    <cellStyle name="Calculation 2" xfId="197" xr:uid="{1CEC148F-1A6B-473A-BF7B-9EC11613C4F8}"/>
    <cellStyle name="Calculation 2 2" xfId="198" xr:uid="{74AAAEA3-3047-4388-8C16-A3EEB772BB32}"/>
    <cellStyle name="Calculation 2 3" xfId="199" xr:uid="{FD01D391-598A-42F4-A783-093FE94B5085}"/>
    <cellStyle name="Calculation 2 4" xfId="200" xr:uid="{D83123B0-C4FA-4B40-9528-0894BBEC0321}"/>
    <cellStyle name="Calculation 2 5" xfId="201" xr:uid="{F0DBAB01-1934-4BDE-8AEA-45F2F62DF7E1}"/>
    <cellStyle name="Calculation 2 6" xfId="2290" xr:uid="{C21CA1F1-03FD-4235-BC3C-FAEBF172C5A6}"/>
    <cellStyle name="Calculation 3" xfId="202" xr:uid="{67412F39-21F1-4535-9EA4-0F580FEFCE7D}"/>
    <cellStyle name="Calculation 4" xfId="203" xr:uid="{5196CE17-BBC0-40A6-B91E-93EE8B7DAA02}"/>
    <cellStyle name="Check Cell 2" xfId="204" xr:uid="{C94C3CFD-7877-436D-96DE-DD37FCCA37FD}"/>
    <cellStyle name="Check Cell 2 2" xfId="205" xr:uid="{A52C6AC7-0B07-4D64-AFA9-B7B4015A3769}"/>
    <cellStyle name="Check Cell 2 3" xfId="206" xr:uid="{25D75E3E-DAF8-4366-A892-936FAAAE5A6B}"/>
    <cellStyle name="Check Cell 3" xfId="207" xr:uid="{E0B72C2C-FB09-475B-A6F0-20E2952A77AD}"/>
    <cellStyle name="Check Cell 4" xfId="208" xr:uid="{D052BF03-CE36-4132-9A36-D5F01AA751E9}"/>
    <cellStyle name="Comma" xfId="1" builtinId="3"/>
    <cellStyle name="Comma 10" xfId="210" xr:uid="{7043C6E5-049C-4D7A-90CC-AA9370FC9A6F}"/>
    <cellStyle name="Comma 11" xfId="211" xr:uid="{E7F19465-BC5F-4B15-99F3-FC2DADCB1FEF}"/>
    <cellStyle name="Comma 11 2" xfId="823" xr:uid="{1DEEA964-C32F-4109-9E56-306F454012B6}"/>
    <cellStyle name="Comma 11 2 2" xfId="1027" xr:uid="{213834A5-FBD8-4DFF-A8A2-E866B481138E}"/>
    <cellStyle name="Comma 12" xfId="209" xr:uid="{91C7E89D-5181-4FCD-B756-8C85A164E677}"/>
    <cellStyle name="Comma 13" xfId="212" xr:uid="{66953A96-A004-4E65-9F56-3BA2610344D0}"/>
    <cellStyle name="Comma 14" xfId="213" xr:uid="{8A741BA4-01D7-4E1D-BE9F-3591B58142C3}"/>
    <cellStyle name="Comma 2" xfId="214" xr:uid="{5DBA7FD4-D8EC-4D54-9EA0-F5F80BD28D78}"/>
    <cellStyle name="Comma 2 2" xfId="215" xr:uid="{1AFEB633-B58D-4E23-9ADD-39A297F2272E}"/>
    <cellStyle name="Comma 2 2 2" xfId="216" xr:uid="{D66EACA9-971B-4928-855D-4FEE537DBE06}"/>
    <cellStyle name="Comma 2 2 2 2" xfId="217" xr:uid="{F7453AA5-F573-4AA3-A851-9C831374E0FE}"/>
    <cellStyle name="Comma 2 2 3" xfId="218" xr:uid="{96C25B62-A571-4C3D-AD50-4D41A31AB15E}"/>
    <cellStyle name="Comma 2 2 3 2" xfId="219" xr:uid="{C02E5F65-1AED-4FCD-A18C-B55A1E89F9E5}"/>
    <cellStyle name="Comma 2 2 4" xfId="220" xr:uid="{C6FAB85B-FD3E-4437-AA57-A24809814D19}"/>
    <cellStyle name="Comma 2 2 5" xfId="221" xr:uid="{7D4BC61D-8A89-4DD3-B434-9F0BC07D21FA}"/>
    <cellStyle name="Comma 2 3" xfId="222" xr:uid="{2B202C09-4076-433A-B549-B7EFF6889B6A}"/>
    <cellStyle name="Comma 2 3 2" xfId="223" xr:uid="{43ADCFA2-5ED4-42FA-A075-7A9DEC5DDAEB}"/>
    <cellStyle name="Comma 2 3 2 2" xfId="224" xr:uid="{606FA1F7-C78E-4379-86E1-C23103B4D12C}"/>
    <cellStyle name="Comma 2 3 3" xfId="225" xr:uid="{E1D9F2A3-DD0D-4C16-84CC-54BAEB882EB0}"/>
    <cellStyle name="Comma 2 3 3 2" xfId="226" xr:uid="{6A6213C8-7D28-432D-97D1-83B8DB1579A7}"/>
    <cellStyle name="Comma 2 3 4" xfId="227" xr:uid="{9B48F00C-1DE8-4195-ADF6-15E9FD71D0AE}"/>
    <cellStyle name="Comma 2 3 5" xfId="228" xr:uid="{27B8134A-9332-45EB-8978-C50A090945AC}"/>
    <cellStyle name="Comma 2 4" xfId="229" xr:uid="{6A04F5A6-0260-4114-ABEC-BED63297BEF0}"/>
    <cellStyle name="Comma 2 4 2" xfId="230" xr:uid="{72FA6D8A-D553-429E-B5B3-C88884D76C59}"/>
    <cellStyle name="Comma 2 4 2 2" xfId="231" xr:uid="{18047218-68BA-40D5-98B2-C3E13A04C317}"/>
    <cellStyle name="Comma 2 4 2 3" xfId="232" xr:uid="{0E745D2A-6112-45FA-A17F-3F192D29F954}"/>
    <cellStyle name="Comma 2 4 2 4" xfId="233" xr:uid="{14CA0D84-1453-47AA-93C8-2FB0AB0FA64D}"/>
    <cellStyle name="Comma 2 4 3" xfId="234" xr:uid="{B29146E7-79A1-4C33-8C1A-DFB719B01DCA}"/>
    <cellStyle name="Comma 2 5" xfId="235" xr:uid="{708B9C9A-4856-4F7C-936F-372DD52CC718}"/>
    <cellStyle name="Comma 2 5 2" xfId="236" xr:uid="{F07B90EB-6061-4054-AD86-D5471B5525B2}"/>
    <cellStyle name="Comma 2 5 2 2" xfId="237" xr:uid="{5DF4D8A4-1D4D-493D-93A5-60726A146981}"/>
    <cellStyle name="Comma 2 5 3" xfId="238" xr:uid="{7DCB1833-A2E0-4BD6-9401-17F311E4E65B}"/>
    <cellStyle name="Comma 2 5 4" xfId="239" xr:uid="{217830D6-500C-49C9-8444-178705421617}"/>
    <cellStyle name="Comma 2 5 5" xfId="240" xr:uid="{5669270D-A97B-4A7D-9F54-64F313E808BE}"/>
    <cellStyle name="Comma 2 5 6" xfId="241" xr:uid="{DB0C27E0-EDF2-4079-9B9E-5E0D32CBA0E0}"/>
    <cellStyle name="Comma 2 5 6 2" xfId="824" xr:uid="{F046F6E0-F20E-4553-821D-32D5BA5896EA}"/>
    <cellStyle name="Comma 2 5 6 2 2" xfId="2077" xr:uid="{1510C162-FDB2-4DEC-9D08-AEFE77A6105A}"/>
    <cellStyle name="Comma 2 6" xfId="242" xr:uid="{6E277C24-9BDF-4178-AC3F-BF25E5154EE1}"/>
    <cellStyle name="Comma 2 6 2" xfId="243" xr:uid="{461442DE-51B9-48D6-816D-4DE75513A3A5}"/>
    <cellStyle name="Comma 2 6 2 2" xfId="825" xr:uid="{F551CFCB-C1B9-4AAC-A898-FE827202A692}"/>
    <cellStyle name="Comma 2 6 2 2 2" xfId="1062" xr:uid="{6049C685-0369-4323-9B78-90C699F2E692}"/>
    <cellStyle name="Comma 2 6 2 2 2 2" xfId="1479" xr:uid="{38AE29CF-0429-4D87-8031-65974ACEE79B}"/>
    <cellStyle name="Comma 2 6 2 2 2 2 2" xfId="2655" xr:uid="{2D925CE3-24A7-4BBC-ACD4-9C7746A39750}"/>
    <cellStyle name="Comma 2 6 2 2 2 2 2 2" xfId="4725" xr:uid="{6740D162-C166-4AD9-A564-CECC15DD74DE}"/>
    <cellStyle name="Comma 2 6 2 2 2 2 3" xfId="3814" xr:uid="{767209F2-F7E8-4A40-BC00-B3840AC2D2EC}"/>
    <cellStyle name="Comma 2 6 2 2 2 3" xfId="1885" xr:uid="{2063F952-49F5-4999-88B0-A6D1C250C942}"/>
    <cellStyle name="Comma 2 6 2 2 2 3 2" xfId="3031" xr:uid="{A9B66984-68B0-4375-9BC1-D299CAAF575A}"/>
    <cellStyle name="Comma 2 6 2 2 2 3 2 2" xfId="5081" xr:uid="{DF43F75D-2F52-4ED9-979F-D9E72B9F369C}"/>
    <cellStyle name="Comma 2 6 2 2 2 3 3" xfId="4202" xr:uid="{E1C44462-0CC2-4B61-BEBE-4B78CD071242}"/>
    <cellStyle name="Comma 2 6 2 2 2 4" xfId="2429" xr:uid="{1E36F4F4-40D8-49C7-85FF-D93623E4CA40}"/>
    <cellStyle name="Comma 2 6 2 2 2 4 2" xfId="4530" xr:uid="{BDC1AF1B-F851-4604-A4BD-F180DB4B25DE}"/>
    <cellStyle name="Comma 2 6 2 2 2 5" xfId="3426" xr:uid="{55FA214D-01FA-4967-9506-54DC718EA98D}"/>
    <cellStyle name="Comma 2 6 2 2 3" xfId="1168" xr:uid="{D92C3BA9-8F79-457C-85BA-9E1EF5928D3A}"/>
    <cellStyle name="Comma 2 6 2 2 3 2" xfId="1584" xr:uid="{E2C8C84E-120E-401F-82A3-A3E46FD0BA58}"/>
    <cellStyle name="Comma 2 6 2 2 3 2 2" xfId="3136" xr:uid="{1B653BC2-AC94-47F2-84FD-2159CC483FC6}"/>
    <cellStyle name="Comma 2 6 2 2 3 2 2 2" xfId="5185" xr:uid="{3C1D84AA-9053-484C-BBB8-7F9963ECF4F7}"/>
    <cellStyle name="Comma 2 6 2 2 3 2 3" xfId="3919" xr:uid="{F556F3B8-6C77-4A36-8124-2B05D0E4A1DF}"/>
    <cellStyle name="Comma 2 6 2 2 3 3" xfId="1990" xr:uid="{1BE96FBE-EE0F-4260-843E-B4E08FE09CC2}"/>
    <cellStyle name="Comma 2 6 2 2 3 3 2" xfId="4307" xr:uid="{267C6741-DF9E-4F18-A6DB-4BEAEFB2E787}"/>
    <cellStyle name="Comma 2 6 2 2 3 4" xfId="2571" xr:uid="{2BE264E1-30A9-4A78-8E07-FFE3785AE7FF}"/>
    <cellStyle name="Comma 2 6 2 2 3 4 2" xfId="4647" xr:uid="{FF66C1F0-1CC1-4E66-82FC-E29EF3E7E49C}"/>
    <cellStyle name="Comma 2 6 2 2 3 5" xfId="3531" xr:uid="{3456C0C0-47C3-4CC6-A609-B8EFC6EC7A1D}"/>
    <cellStyle name="Comma 2 6 2 2 4" xfId="916" xr:uid="{F7566BA3-0F40-4E2A-9628-B80B1241D32D}"/>
    <cellStyle name="Comma 2 6 2 2 4 2" xfId="1373" xr:uid="{930B75F7-6A3E-4EA1-B03A-5408D634AAA0}"/>
    <cellStyle name="Comma 2 6 2 2 4 2 2" xfId="2928" xr:uid="{EC8214D7-BA2D-4754-B672-1679CEB4A4FB}"/>
    <cellStyle name="Comma 2 6 2 2 4 2 2 2" xfId="4982" xr:uid="{B4DA3CB6-C166-4483-A53F-707A3572E056}"/>
    <cellStyle name="Comma 2 6 2 2 4 2 3" xfId="3709" xr:uid="{2F0D6201-A0A7-491D-B691-A49CF62FFE74}"/>
    <cellStyle name="Comma 2 6 2 2 4 3" xfId="1780" xr:uid="{83AE9BFF-1F6C-4DCD-94DD-022F125DC6B3}"/>
    <cellStyle name="Comma 2 6 2 2 4 3 2" xfId="4097" xr:uid="{0A03768A-E8A7-4CF4-8C51-245A00B60262}"/>
    <cellStyle name="Comma 2 6 2 2 4 4" xfId="2518" xr:uid="{F5E15BC5-7505-4826-AFEC-FD28836CFA6A}"/>
    <cellStyle name="Comma 2 6 2 2 4 4 2" xfId="4599" xr:uid="{3BDAE6D1-ECC1-447E-B36D-0875A031B40C}"/>
    <cellStyle name="Comma 2 6 2 2 4 5" xfId="3321" xr:uid="{BFD0887F-F2C9-4BFC-BE1F-5C55579E48E2}"/>
    <cellStyle name="Comma 2 6 2 2 5" xfId="1331" xr:uid="{CFD500A8-1BD5-416E-AED1-74762B012E4F}"/>
    <cellStyle name="Comma 2 6 2 2 5 2" xfId="2937" xr:uid="{5C1A7188-D9C0-49EB-BCFA-47E5822B6726}"/>
    <cellStyle name="Comma 2 6 2 2 5 2 2" xfId="4991" xr:uid="{5F58130F-067E-4D32-94FD-A3C84140D9DE}"/>
    <cellStyle name="Comma 2 6 2 2 5 3" xfId="3667" xr:uid="{51034963-AB8F-488D-9970-F27D21B79642}"/>
    <cellStyle name="Comma 2 6 2 2 6" xfId="1738" xr:uid="{7F940AC9-142F-4C28-95A6-7B01371C6510}"/>
    <cellStyle name="Comma 2 6 2 2 6 2" xfId="4055" xr:uid="{2877A35F-7DFD-4D0D-B7FB-2A1CD91403A1}"/>
    <cellStyle name="Comma 2 6 2 2 7" xfId="2291" xr:uid="{6F42A9D4-53FB-4EA3-9FA5-375E85230633}"/>
    <cellStyle name="Comma 2 6 2 2 7 2" xfId="4458" xr:uid="{5D14E865-C595-443C-ABCE-8F811C270FCE}"/>
    <cellStyle name="Comma 2 6 2 2 8" xfId="3279" xr:uid="{E4D62EAA-D83B-4F6E-AEE2-A5596507FB2C}"/>
    <cellStyle name="Comma 2 6 2 3" xfId="970" xr:uid="{1461EBEB-A342-4DC1-9424-6539B07AB551}"/>
    <cellStyle name="Comma 2 6 2 3 2" xfId="1093" xr:uid="{29F571B3-8390-4C37-B90F-7FC445499FE8}"/>
    <cellStyle name="Comma 2 6 2 3 2 2" xfId="1510" xr:uid="{D6FB4900-3415-4224-8BFC-BE1702B13C6A}"/>
    <cellStyle name="Comma 2 6 2 3 2 2 2" xfId="3062" xr:uid="{47AAB745-6DFC-4666-BCE0-FCFB5E5776BB}"/>
    <cellStyle name="Comma 2 6 2 3 2 2 2 2" xfId="5111" xr:uid="{21E66B86-5BD0-4584-B6DC-D6FD769B8699}"/>
    <cellStyle name="Comma 2 6 2 3 2 2 3" xfId="3845" xr:uid="{0A5601C3-C28C-49FC-BFFB-586002ED2367}"/>
    <cellStyle name="Comma 2 6 2 3 2 3" xfId="1916" xr:uid="{C7C517B4-FC60-47DA-BE61-CA6DAEF1BB18}"/>
    <cellStyle name="Comma 2 6 2 3 2 3 2" xfId="4233" xr:uid="{B176B1C8-4E73-45C9-9DC4-7A8A60924850}"/>
    <cellStyle name="Comma 2 6 2 3 2 4" xfId="2679" xr:uid="{9B6B7ED8-B01C-4377-86B9-D216882E870F}"/>
    <cellStyle name="Comma 2 6 2 3 2 4 2" xfId="4749" xr:uid="{0B2DD3F6-229C-43EF-AD15-5962AC317D89}"/>
    <cellStyle name="Comma 2 6 2 3 2 5" xfId="3457" xr:uid="{FC75D49C-15CB-4345-9732-45E1C0760D30}"/>
    <cellStyle name="Comma 2 6 2 3 3" xfId="1200" xr:uid="{DFB627EB-2FDB-442F-82C8-BE25CCFC1832}"/>
    <cellStyle name="Comma 2 6 2 3 3 2" xfId="1615" xr:uid="{A07B3488-5725-46D8-BBD6-FBA0472AA761}"/>
    <cellStyle name="Comma 2 6 2 3 3 2 2" xfId="3167" xr:uid="{EE12DBA8-505B-402F-B063-68696A76CDDC}"/>
    <cellStyle name="Comma 2 6 2 3 3 2 2 2" xfId="5216" xr:uid="{B9234068-FF0A-47D6-8616-3EC8DED8D7FF}"/>
    <cellStyle name="Comma 2 6 2 3 3 2 3" xfId="3950" xr:uid="{EB55EFAA-4AD5-4667-BB81-2A816376B8B1}"/>
    <cellStyle name="Comma 2 6 2 3 3 3" xfId="2021" xr:uid="{B9F3C640-7AE5-4639-91C0-C4345F2E78BC}"/>
    <cellStyle name="Comma 2 6 2 3 3 3 2" xfId="4338" xr:uid="{669F0CF9-A030-4108-8E72-98FA94B13893}"/>
    <cellStyle name="Comma 2 6 2 3 3 4" xfId="2773" xr:uid="{ADF19B2C-A5FD-4885-8F35-6FD8AC54F7D4}"/>
    <cellStyle name="Comma 2 6 2 3 3 4 2" xfId="4843" xr:uid="{F9F7B60D-34D9-4BBF-B90A-42480D3F0CC1}"/>
    <cellStyle name="Comma 2 6 2 3 3 5" xfId="3562" xr:uid="{3CC74FEA-6B0E-4EE6-B5F8-227C852EFA4E}"/>
    <cellStyle name="Comma 2 6 2 3 4" xfId="1405" xr:uid="{FD248DE5-F3B5-4FEF-9586-0F1B11FC150C}"/>
    <cellStyle name="Comma 2 6 2 3 4 2" xfId="2826" xr:uid="{A13469E6-0C89-4D9F-9363-7F3CA2F68C5D}"/>
    <cellStyle name="Comma 2 6 2 3 4 2 2" xfId="4885" xr:uid="{F48EDBBF-73F8-4B1D-8E70-673F1350663B}"/>
    <cellStyle name="Comma 2 6 2 3 4 3" xfId="3740" xr:uid="{1F92E133-56CA-4693-AABD-0915B08CA697}"/>
    <cellStyle name="Comma 2 6 2 3 5" xfId="1811" xr:uid="{36D85270-E8A5-4A95-A678-B507AC9E1D66}"/>
    <cellStyle name="Comma 2 6 2 3 5 2" xfId="4128" xr:uid="{EAD8D60F-AD0A-4DF6-98CD-F38B14E1BFA0}"/>
    <cellStyle name="Comma 2 6 2 3 6" xfId="2602" xr:uid="{836CEBE8-B018-4C5A-BE98-EB9699C1B351}"/>
    <cellStyle name="Comma 2 6 2 3 6 2" xfId="4672" xr:uid="{A875E38C-D00C-446F-869A-756BD34FE1F2}"/>
    <cellStyle name="Comma 2 6 2 3 7" xfId="3352" xr:uid="{81707957-FDE9-4184-AAF5-8B3EFF1A8CA1}"/>
    <cellStyle name="Comma 2 6 2 4" xfId="1009" xr:uid="{6B7BEC19-1EDA-454F-BC61-1EF2D2E55B35}"/>
    <cellStyle name="Comma 2 6 2 4 2" xfId="1127" xr:uid="{44D5FC74-7745-465F-8D56-B4136E7EF895}"/>
    <cellStyle name="Comma 2 6 2 4 2 2" xfId="1544" xr:uid="{EC135C41-D87E-4B35-901B-8423C4C82DB0}"/>
    <cellStyle name="Comma 2 6 2 4 2 2 2" xfId="3096" xr:uid="{B5FB6BB4-E4C7-4AF3-8ED5-763D8DD63AEB}"/>
    <cellStyle name="Comma 2 6 2 4 2 2 2 2" xfId="5145" xr:uid="{BB98BA7B-F8F2-4CB9-8C06-25F76DA9B9B7}"/>
    <cellStyle name="Comma 2 6 2 4 2 2 3" xfId="3879" xr:uid="{DC6C5220-3534-4E2A-AE55-40D5C3704000}"/>
    <cellStyle name="Comma 2 6 2 4 2 3" xfId="1950" xr:uid="{5AAC78E4-7A88-4178-BD27-D32A7B4CE18F}"/>
    <cellStyle name="Comma 2 6 2 4 2 3 2" xfId="4267" xr:uid="{50DA4533-2F32-484E-B4F4-9D4CC821E6CA}"/>
    <cellStyle name="Comma 2 6 2 4 2 4" xfId="2712" xr:uid="{C7089C88-FF97-47C5-B35A-AC32631F20C9}"/>
    <cellStyle name="Comma 2 6 2 4 2 4 2" xfId="4782" xr:uid="{172C6E58-5D43-4760-A2E7-A1C56D60279E}"/>
    <cellStyle name="Comma 2 6 2 4 2 5" xfId="3491" xr:uid="{D20F50E1-4F41-4A42-8D0D-C004C95E0D6C}"/>
    <cellStyle name="Comma 2 6 2 4 3" xfId="1238" xr:uid="{50CE5CBF-BB99-4D52-B7D4-82FAEF25F15F}"/>
    <cellStyle name="Comma 2 6 2 4 3 2" xfId="1649" xr:uid="{DE5870BE-6785-46B3-8465-FD9E32052A47}"/>
    <cellStyle name="Comma 2 6 2 4 3 2 2" xfId="3201" xr:uid="{36E29C62-FEBF-4648-8CA9-18368DAA653A}"/>
    <cellStyle name="Comma 2 6 2 4 3 2 2 2" xfId="5250" xr:uid="{959A9B8B-2150-4FBF-BAD7-850ED6DF08AC}"/>
    <cellStyle name="Comma 2 6 2 4 3 2 3" xfId="3984" xr:uid="{3F526B0E-B09E-43E1-8E67-66BDC6FDD824}"/>
    <cellStyle name="Comma 2 6 2 4 3 3" xfId="2055" xr:uid="{BD0B8E1D-B08C-42FD-92D5-B7B83FC1FF38}"/>
    <cellStyle name="Comma 2 6 2 4 3 3 2" xfId="4372" xr:uid="{140811A6-0609-4E01-A141-85C217EE5FCA}"/>
    <cellStyle name="Comma 2 6 2 4 3 4" xfId="2788" xr:uid="{BD70CEEA-660C-454C-910B-0981E30DAD17}"/>
    <cellStyle name="Comma 2 6 2 4 3 4 2" xfId="4858" xr:uid="{3AD1B179-72E5-49AB-A9D1-6F19FD149D75}"/>
    <cellStyle name="Comma 2 6 2 4 3 5" xfId="3596" xr:uid="{CFB320FD-3017-4C85-B01F-8E7067D55F85}"/>
    <cellStyle name="Comma 2 6 2 4 4" xfId="1439" xr:uid="{86519BBB-8B70-49D8-BD28-2148FED266FC}"/>
    <cellStyle name="Comma 2 6 2 4 4 2" xfId="2992" xr:uid="{D240BA31-86D8-4CE1-966E-CD51C974413B}"/>
    <cellStyle name="Comma 2 6 2 4 4 2 2" xfId="5042" xr:uid="{AA17110E-CD9D-4DB8-9C30-32A998449BCD}"/>
    <cellStyle name="Comma 2 6 2 4 4 3" xfId="3774" xr:uid="{A501369D-DC7E-4F8F-935E-0436269AEB3E}"/>
    <cellStyle name="Comma 2 6 2 4 5" xfId="1845" xr:uid="{2780EA40-57E7-4CB2-9187-630279B3B14E}"/>
    <cellStyle name="Comma 2 6 2 4 5 2" xfId="4162" xr:uid="{72B7AAFE-5351-4A73-B93B-95B5AD2469B0}"/>
    <cellStyle name="Comma 2 6 2 4 6" xfId="2632" xr:uid="{3B2A1E0F-5C14-4146-A3E1-C698A8660AC7}"/>
    <cellStyle name="Comma 2 6 2 4 6 2" xfId="4702" xr:uid="{43420201-EBD7-4162-AF48-FE8C7AEBE286}"/>
    <cellStyle name="Comma 2 6 2 4 7" xfId="3386" xr:uid="{6B2D2401-6CF0-4962-8AFC-64885D4858E8}"/>
    <cellStyle name="Comma 2 6 2 5" xfId="882" xr:uid="{8A4ACD15-E605-4C42-9EF7-90DB3F386192}"/>
    <cellStyle name="Comma 2 6 2 6" xfId="1277" xr:uid="{6DE14D53-E2BE-469F-8B73-439B651C4B15}"/>
    <cellStyle name="Comma 2 6 2 6 2" xfId="3633" xr:uid="{7BCB1E76-5D8D-4F18-8BC4-A55ADF19010F}"/>
    <cellStyle name="Comma 2 6 2 7" xfId="1701" xr:uid="{DA0095C7-C4A8-44F1-BA29-5D1B9E3B8436}"/>
    <cellStyle name="Comma 2 6 2 7 2" xfId="4021" xr:uid="{92A65024-CC49-4CD6-829A-DC4F6F0F7093}"/>
    <cellStyle name="Comma 2 6 2 8" xfId="3245" xr:uid="{D4DFF951-2588-42A4-8C45-BF89130096C6}"/>
    <cellStyle name="Comma 2 6 3" xfId="244" xr:uid="{218DA495-A729-41FA-878D-8BAEAD649330}"/>
    <cellStyle name="Comma 2 6 4" xfId="245" xr:uid="{62BAC507-6F3E-4F53-A66E-B5AD6E2BDF41}"/>
    <cellStyle name="Comma 2 6 4 2" xfId="246" xr:uid="{703D19F4-4FF9-4A7B-AA4F-9F4F1E4F14E9}"/>
    <cellStyle name="Comma 2 6 4 3" xfId="247" xr:uid="{F3FBBFCF-1D40-4FF8-B5AA-FC3BCBD5D2CC}"/>
    <cellStyle name="Comma 2 6 5" xfId="248" xr:uid="{5FD85672-B6A0-43AB-9CEC-4AD73B427677}"/>
    <cellStyle name="Comma 2 6 6" xfId="249" xr:uid="{BDF52863-E2D8-4F62-9DFF-9D9F0336FE84}"/>
    <cellStyle name="Comma 2 6 6 10" xfId="3246" xr:uid="{86124F6C-4CE1-408B-BB95-926446A02F8C}"/>
    <cellStyle name="Comma 2 6 6 2" xfId="826" xr:uid="{18BB6907-4A27-45B0-BA37-67BC38A388D7}"/>
    <cellStyle name="Comma 2 6 6 2 2" xfId="1094" xr:uid="{A46AA11A-451F-4656-8E38-9C8A7E141315}"/>
    <cellStyle name="Comma 2 6 6 2 2 2" xfId="1511" xr:uid="{1C352DC6-8AAE-4308-83EF-FB5DD3B698EE}"/>
    <cellStyle name="Comma 2 6 6 2 2 2 2" xfId="2680" xr:uid="{E63393D9-DCBD-4E68-A7B7-1D69DA5660C8}"/>
    <cellStyle name="Comma 2 6 6 2 2 2 2 2" xfId="4750" xr:uid="{DF25D3E9-58BF-470B-92DB-BEC5A1640BBE}"/>
    <cellStyle name="Comma 2 6 6 2 2 2 3" xfId="3846" xr:uid="{25F22F3D-0441-46C8-B2D0-14966488E08C}"/>
    <cellStyle name="Comma 2 6 6 2 2 3" xfId="1917" xr:uid="{2D425BEB-0E5C-4E3F-B632-A92406BC6425}"/>
    <cellStyle name="Comma 2 6 6 2 2 3 2" xfId="3063" xr:uid="{47C2D6EB-9E73-432C-A2A3-FCA5107DC3D0}"/>
    <cellStyle name="Comma 2 6 6 2 2 3 2 2" xfId="5112" xr:uid="{4D93A99B-F061-4DCC-AB77-D053643C3467}"/>
    <cellStyle name="Comma 2 6 6 2 2 3 3" xfId="4234" xr:uid="{59D228D1-1FAC-4420-B3A0-33B86BF3D082}"/>
    <cellStyle name="Comma 2 6 6 2 2 4" xfId="2430" xr:uid="{2F29E9D5-58B6-45AF-99D0-B0F2C659C968}"/>
    <cellStyle name="Comma 2 6 6 2 2 4 2" xfId="4531" xr:uid="{99AA67E8-E9CD-40FA-9F25-4DC7C576D7F8}"/>
    <cellStyle name="Comma 2 6 6 2 2 5" xfId="3458" xr:uid="{0F9111C2-9EBF-401D-A3DA-F64587DE7754}"/>
    <cellStyle name="Comma 2 6 6 2 3" xfId="1201" xr:uid="{9422DF7D-D4CF-4E01-A21F-03847733C200}"/>
    <cellStyle name="Comma 2 6 6 2 3 2" xfId="1616" xr:uid="{0EC88234-CC34-4330-8739-8A40B31872F7}"/>
    <cellStyle name="Comma 2 6 6 2 3 2 2" xfId="3168" xr:uid="{DE7B6492-5153-43DA-9BDD-956721307588}"/>
    <cellStyle name="Comma 2 6 6 2 3 2 2 2" xfId="5217" xr:uid="{FA4896F0-3B21-4DBD-9D2B-4A1E2887A37C}"/>
    <cellStyle name="Comma 2 6 6 2 3 2 3" xfId="3951" xr:uid="{40B98560-01F2-4414-B245-75E1AA15C1CE}"/>
    <cellStyle name="Comma 2 6 6 2 3 3" xfId="2022" xr:uid="{2C8D38D2-42D6-4C59-838C-D5892F055A19}"/>
    <cellStyle name="Comma 2 6 6 2 3 3 2" xfId="4339" xr:uid="{78C0FAD8-7A17-4744-8372-AFFF60118928}"/>
    <cellStyle name="Comma 2 6 6 2 3 4" xfId="2572" xr:uid="{A04F1C02-2C49-442A-A724-17B8EF63AB49}"/>
    <cellStyle name="Comma 2 6 6 2 3 4 2" xfId="4648" xr:uid="{FD6587E8-8EC8-4DFC-BB36-E3C33F45F975}"/>
    <cellStyle name="Comma 2 6 6 2 3 5" xfId="3563" xr:uid="{60879FA0-3876-48BA-BEA9-2D25BF2D32BD}"/>
    <cellStyle name="Comma 2 6 6 2 4" xfId="971" xr:uid="{60E0A9BC-EA87-4658-8E08-B7CF0ACBBC22}"/>
    <cellStyle name="Comma 2 6 6 2 4 2" xfId="1406" xr:uid="{FFCE6F01-E0F5-4A4F-B1BF-B8FD196827A3}"/>
    <cellStyle name="Comma 2 6 6 2 4 2 2" xfId="2892" xr:uid="{FA684B16-8E46-4789-A24E-33C950CAC5C2}"/>
    <cellStyle name="Comma 2 6 6 2 4 2 2 2" xfId="4946" xr:uid="{D89602C6-C2DB-41BF-8BF0-6C81522D79E3}"/>
    <cellStyle name="Comma 2 6 6 2 4 2 3" xfId="3741" xr:uid="{85B97E29-B856-4782-8EC9-9488027EF2EF}"/>
    <cellStyle name="Comma 2 6 6 2 4 3" xfId="1812" xr:uid="{52C7C302-7468-4332-96CB-71AA43F6BC27}"/>
    <cellStyle name="Comma 2 6 6 2 4 3 2" xfId="4129" xr:uid="{DA30EE11-2BCA-4249-B47B-6605B7ACA9B0}"/>
    <cellStyle name="Comma 2 6 6 2 4 4" xfId="2603" xr:uid="{94C68A73-F310-4D25-A894-2B73B229C295}"/>
    <cellStyle name="Comma 2 6 6 2 4 4 2" xfId="4673" xr:uid="{36D46004-04EA-43AC-8991-85939FAA5515}"/>
    <cellStyle name="Comma 2 6 6 2 4 5" xfId="3353" xr:uid="{C46E7BC5-2CAF-4830-9ABA-8A6474F83B3A}"/>
    <cellStyle name="Comma 2 6 6 2 5" xfId="1332" xr:uid="{1391A5E2-3B0E-4D71-A6BC-67F976E7A833}"/>
    <cellStyle name="Comma 2 6 6 2 5 2" xfId="2938" xr:uid="{19A1BB03-6ED2-42CA-B9CF-A3298E597B9E}"/>
    <cellStyle name="Comma 2 6 6 2 5 2 2" xfId="4992" xr:uid="{CBE74366-26F5-4EDE-B105-7A09612C0AF5}"/>
    <cellStyle name="Comma 2 6 6 2 5 3" xfId="3668" xr:uid="{400DC3DB-72D8-403A-93B9-9BEB05248795}"/>
    <cellStyle name="Comma 2 6 6 2 6" xfId="1739" xr:uid="{15F0F49C-F9C6-4F5C-801D-DC69D6CF7CF6}"/>
    <cellStyle name="Comma 2 6 6 2 6 2" xfId="4056" xr:uid="{22ED5558-7CBF-411C-8730-66AD3F49BE2A}"/>
    <cellStyle name="Comma 2 6 6 2 7" xfId="2292" xr:uid="{03838802-168A-4D82-B976-9C38075CF1AD}"/>
    <cellStyle name="Comma 2 6 6 2 7 2" xfId="4459" xr:uid="{704CA128-41DC-4F25-9CD5-B010804E5D47}"/>
    <cellStyle name="Comma 2 6 6 2 8" xfId="3280" xr:uid="{A8E5CB6E-E2AC-465D-9407-72F0E69FF24A}"/>
    <cellStyle name="Comma 2 6 6 3" xfId="1010" xr:uid="{6C270EAE-247E-4B54-9856-1483BA115E9C}"/>
    <cellStyle name="Comma 2 6 6 3 2" xfId="1128" xr:uid="{DC821336-9FF6-4906-9386-7A99815AF078}"/>
    <cellStyle name="Comma 2 6 6 3 2 2" xfId="1545" xr:uid="{704F8E37-D0E0-4219-BAB7-8D0E451A6AC9}"/>
    <cellStyle name="Comma 2 6 6 3 2 2 2" xfId="3097" xr:uid="{6501B031-797A-40B5-920F-041297F90871}"/>
    <cellStyle name="Comma 2 6 6 3 2 2 2 2" xfId="5146" xr:uid="{A09AFD35-6141-4271-9119-0A79476ADE51}"/>
    <cellStyle name="Comma 2 6 6 3 2 2 3" xfId="3880" xr:uid="{A276979A-F98B-4F96-8589-8FFFF5AD730A}"/>
    <cellStyle name="Comma 2 6 6 3 2 3" xfId="1951" xr:uid="{09FD1303-D60E-4963-A3DB-59F16CA8BC5C}"/>
    <cellStyle name="Comma 2 6 6 3 2 3 2" xfId="4268" xr:uid="{81D91B57-B40C-4A2C-B3C4-194D5800CD3D}"/>
    <cellStyle name="Comma 2 6 6 3 2 4" xfId="2713" xr:uid="{3AD54D4C-7C30-48ED-8261-9AF1B91D3F76}"/>
    <cellStyle name="Comma 2 6 6 3 2 4 2" xfId="4783" xr:uid="{0CBDFE35-B990-4485-8E69-917F6FDFA4B0}"/>
    <cellStyle name="Comma 2 6 6 3 2 5" xfId="3492" xr:uid="{D02C5073-B336-414D-B36C-AA647C94D51E}"/>
    <cellStyle name="Comma 2 6 6 3 3" xfId="1239" xr:uid="{C83C630A-B047-445C-B897-96684E8A4544}"/>
    <cellStyle name="Comma 2 6 6 3 3 2" xfId="1650" xr:uid="{31CF0E04-084E-446C-96BB-FAD11FC10774}"/>
    <cellStyle name="Comma 2 6 6 3 3 2 2" xfId="3202" xr:uid="{EAFBC7A4-3BC2-47B9-8AEF-901D1860BBC1}"/>
    <cellStyle name="Comma 2 6 6 3 3 2 2 2" xfId="5251" xr:uid="{155F8A77-B66D-479B-9854-4D227CFD046E}"/>
    <cellStyle name="Comma 2 6 6 3 3 2 3" xfId="3985" xr:uid="{34F215B3-0A20-4B92-A430-4B6F5052B5FC}"/>
    <cellStyle name="Comma 2 6 6 3 3 3" xfId="2056" xr:uid="{DCBC3683-268B-4210-B7C4-3E9DE60591BC}"/>
    <cellStyle name="Comma 2 6 6 3 3 3 2" xfId="4373" xr:uid="{0933BD60-E2B3-4F73-B9A2-5211EF2F91B7}"/>
    <cellStyle name="Comma 2 6 6 3 3 4" xfId="2789" xr:uid="{752B86AF-7439-4770-98C3-63428FE1C09F}"/>
    <cellStyle name="Comma 2 6 6 3 3 4 2" xfId="4859" xr:uid="{380C05E7-1C57-44BF-9727-8591FE6B2EE2}"/>
    <cellStyle name="Comma 2 6 6 3 3 5" xfId="3597" xr:uid="{9434DE99-F04D-40A5-BB23-9F5271DAA3A8}"/>
    <cellStyle name="Comma 2 6 6 3 4" xfId="1440" xr:uid="{AD917226-D4A0-478D-AD2C-5D6547AACE90}"/>
    <cellStyle name="Comma 2 6 6 3 4 2" xfId="2993" xr:uid="{95A9307B-50D5-4E26-AB5C-932985FC4937}"/>
    <cellStyle name="Comma 2 6 6 3 4 2 2" xfId="5043" xr:uid="{5CC99B8E-BB97-400D-89DD-96B828D39D46}"/>
    <cellStyle name="Comma 2 6 6 3 4 3" xfId="3775" xr:uid="{1D735D8E-A3F8-49A0-B203-3A7142C8F0DC}"/>
    <cellStyle name="Comma 2 6 6 3 5" xfId="1846" xr:uid="{C3693855-21EE-43FE-9F99-B6A1958052CC}"/>
    <cellStyle name="Comma 2 6 6 3 5 2" xfId="4163" xr:uid="{B28A3EE1-82A7-4B2F-AD4D-F41215FC3E8D}"/>
    <cellStyle name="Comma 2 6 6 3 6" xfId="2633" xr:uid="{7599310A-E5AB-4AA3-8317-03638D93FECC}"/>
    <cellStyle name="Comma 2 6 6 3 6 2" xfId="4703" xr:uid="{27E4793E-A836-4B66-8192-7A4B9AAE6C9B}"/>
    <cellStyle name="Comma 2 6 6 3 7" xfId="3387" xr:uid="{37C14EE7-D3F3-4FE7-8E2D-CC2D20BD9EA9}"/>
    <cellStyle name="Comma 2 6 6 4" xfId="1063" xr:uid="{C3CD6883-98B2-411B-9437-26F444FF27AC}"/>
    <cellStyle name="Comma 2 6 6 4 2" xfId="1480" xr:uid="{1EA23DF2-F56F-4285-8C6C-D6F8DDD144B2}"/>
    <cellStyle name="Comma 2 6 6 4 2 2" xfId="3032" xr:uid="{6B9FC9EE-99FB-44C0-88E9-887B6638F85E}"/>
    <cellStyle name="Comma 2 6 6 4 2 2 2" xfId="5082" xr:uid="{9D74B2F6-6B48-4A50-AD9A-41257DF1CAF9}"/>
    <cellStyle name="Comma 2 6 6 4 2 3" xfId="3815" xr:uid="{540F9165-2B28-4D4D-BC5D-BCF48F1998DA}"/>
    <cellStyle name="Comma 2 6 6 4 3" xfId="1886" xr:uid="{23B14ECA-0F85-4984-9A23-94D60DABEB45}"/>
    <cellStyle name="Comma 2 6 6 4 3 2" xfId="4203" xr:uid="{EC60BD47-FC08-4F68-A298-2B848BB3ED65}"/>
    <cellStyle name="Comma 2 6 6 4 4" xfId="2656" xr:uid="{6DB39461-9D45-45B2-AC40-899060864D89}"/>
    <cellStyle name="Comma 2 6 6 4 4 2" xfId="4726" xr:uid="{CBBF464A-6CF9-4BDA-AE7C-2DE93939DD6F}"/>
    <cellStyle name="Comma 2 6 6 4 5" xfId="3427" xr:uid="{F2C95B2A-8737-4E20-84B9-E9BAE226BA08}"/>
    <cellStyle name="Comma 2 6 6 5" xfId="1169" xr:uid="{202B6540-2A73-4825-B6FF-E865E460E3CF}"/>
    <cellStyle name="Comma 2 6 6 5 2" xfId="1585" xr:uid="{104CCAF9-B1B2-4864-9F37-757037361D38}"/>
    <cellStyle name="Comma 2 6 6 5 2 2" xfId="3137" xr:uid="{CC560BEC-2C7C-4A9A-97C3-C897A20B62C0}"/>
    <cellStyle name="Comma 2 6 6 5 2 2 2" xfId="5186" xr:uid="{87575EEC-E6C4-4866-84B5-0CE8DE0C4781}"/>
    <cellStyle name="Comma 2 6 6 5 2 3" xfId="3920" xr:uid="{85DF6EB3-780B-433C-BA24-F760DA7822E3}"/>
    <cellStyle name="Comma 2 6 6 5 3" xfId="1991" xr:uid="{1A0C80E0-B746-467A-93BE-6B57C5E1FBC0}"/>
    <cellStyle name="Comma 2 6 6 5 3 2" xfId="4308" xr:uid="{0C74226C-21EC-42B4-A2B9-60E96E9BB3C5}"/>
    <cellStyle name="Comma 2 6 6 5 4" xfId="2752" xr:uid="{CFBDB474-5CC4-4B92-8D3B-308803319854}"/>
    <cellStyle name="Comma 2 6 6 5 4 2" xfId="4822" xr:uid="{5A8E9481-5336-4B90-AED1-F9AEB41B4672}"/>
    <cellStyle name="Comma 2 6 6 5 5" xfId="3532" xr:uid="{818AFB2E-A962-42D1-8E38-39472CBD6711}"/>
    <cellStyle name="Comma 2 6 6 6" xfId="917" xr:uid="{A0D1953B-59ED-42F7-ABCD-163837E03A83}"/>
    <cellStyle name="Comma 2 6 6 6 2" xfId="1374" xr:uid="{C5BFC443-B014-48BA-B28F-CBBDCF984164}"/>
    <cellStyle name="Comma 2 6 6 6 2 2" xfId="2852" xr:uid="{4DB3A350-4F2C-4BCB-AF08-32D6201E8E34}"/>
    <cellStyle name="Comma 2 6 6 6 2 2 2" xfId="4909" xr:uid="{A9E163D6-B04C-44DB-BA91-DD7A7B3FABF7}"/>
    <cellStyle name="Comma 2 6 6 6 2 3" xfId="3710" xr:uid="{AB983BBA-BA1E-406D-B7EB-FC8241E0F5D9}"/>
    <cellStyle name="Comma 2 6 6 6 3" xfId="1781" xr:uid="{97C3F84F-3D1D-4BF1-9F38-A362BC085BD0}"/>
    <cellStyle name="Comma 2 6 6 6 3 2" xfId="4098" xr:uid="{92448F68-5132-4A11-B1A6-F51407FC14BC}"/>
    <cellStyle name="Comma 2 6 6 6 4" xfId="2593" xr:uid="{5A4D311A-5328-4FC5-AE73-0FAE475B3703}"/>
    <cellStyle name="Comma 2 6 6 6 4 2" xfId="4664" xr:uid="{3453F0C7-1D90-4E35-B6E8-01E7D6457E36}"/>
    <cellStyle name="Comma 2 6 6 6 5" xfId="3322" xr:uid="{58E61892-777E-4FF6-B9B5-5BDF9BD7E906}"/>
    <cellStyle name="Comma 2 6 6 7" xfId="1278" xr:uid="{EC7196B0-8746-435A-9D71-B3C068627D9B}"/>
    <cellStyle name="Comma 2 6 6 7 2" xfId="3634" xr:uid="{CC2805DF-6F38-40FF-B7DA-CF53A56DF0A5}"/>
    <cellStyle name="Comma 2 6 6 8" xfId="1702" xr:uid="{FFD02289-2EAC-4E1E-9C4A-A240F1B31EB3}"/>
    <cellStyle name="Comma 2 6 6 8 2" xfId="4022" xr:uid="{38DF390E-A464-4D2E-B463-103F47123152}"/>
    <cellStyle name="Comma 2 6 6 9" xfId="2146" xr:uid="{CD7C9693-4F0F-45BE-B510-B2652EF61C06}"/>
    <cellStyle name="Comma 2 6 7" xfId="250" xr:uid="{1296AD25-F852-4DF3-9603-3713CC7B64E5}"/>
    <cellStyle name="Comma 2 6 8" xfId="2200" xr:uid="{2D685778-C7BA-4AB4-9430-C4F88016C0C8}"/>
    <cellStyle name="Comma 2 6 8 2" xfId="2231" xr:uid="{531F64A0-DBC6-4D5E-9B40-71D109925E8C}"/>
    <cellStyle name="Comma 2 6 8 2 2" xfId="2423" xr:uid="{785402EF-E63D-457F-90D6-D7292B322372}"/>
    <cellStyle name="Comma 2 6 8 2 2 2" xfId="4524" xr:uid="{A8AB1E86-A1F6-4B54-8EDC-F9847065517C}"/>
    <cellStyle name="Comma 2 6 8 2 3" xfId="2557" xr:uid="{D110ECCE-3876-4FB3-AF70-02CE2A639A60}"/>
    <cellStyle name="Comma 2 6 8 2 3 2" xfId="4636" xr:uid="{C222BF7A-9C0B-4989-8B1B-106FA5E0E1DF}"/>
    <cellStyle name="Comma 2 6 8 2 4" xfId="2922" xr:uid="{D8DADE64-6625-4E19-BB42-8DC865DD6BB8}"/>
    <cellStyle name="Comma 2 6 8 2 4 2" xfId="4976" xr:uid="{94323215-D953-4BB5-9DF3-A132E6BED474}"/>
    <cellStyle name="Comma 2 6 8 2 5" xfId="4452" xr:uid="{20BF36E7-AAE4-4F68-8CE4-4A7988274439}"/>
    <cellStyle name="Comma 2 6 8 3" xfId="2293" xr:uid="{2D625407-4E4E-483A-95C5-CB23012EF6A7}"/>
    <cellStyle name="Comma 2 6 8 4" xfId="2395" xr:uid="{298634B9-E93E-4794-BBB5-761BB978CFBB}"/>
    <cellStyle name="Comma 2 6 8 4 2" xfId="4496" xr:uid="{257A0D6D-7AF3-4CAE-942C-26D363E8E4E7}"/>
    <cellStyle name="Comma 2 6 8 5" xfId="2528" xr:uid="{62A1A65C-EFA5-4609-A4C9-A62A9361EC59}"/>
    <cellStyle name="Comma 2 6 8 5 2" xfId="4608" xr:uid="{93C2E2C1-1CB9-453E-BB9E-C1A9983CE043}"/>
    <cellStyle name="Comma 2 6 8 6" xfId="2894" xr:uid="{E088531B-5608-40D2-A407-1482F3E74009}"/>
    <cellStyle name="Comma 2 6 8 6 2" xfId="4948" xr:uid="{4F144B45-CAB6-42AF-8837-19BD7CB848DE}"/>
    <cellStyle name="Comma 2 6 8 7" xfId="4424" xr:uid="{914D12F4-AC67-44FE-9230-6BF71D6DBDA1}"/>
    <cellStyle name="Comma 2 7" xfId="881" xr:uid="{85E9A8A1-E9BF-450E-8AD7-E5009285A933}"/>
    <cellStyle name="Comma 22" xfId="251" xr:uid="{EA1A1056-D322-45DF-8343-A2BE4A4C599F}"/>
    <cellStyle name="Comma 22 2" xfId="2294" xr:uid="{BEDBACA0-B29D-4EA3-A7D8-2659D9DA442D}"/>
    <cellStyle name="Comma 22 3" xfId="2147" xr:uid="{A9E9F829-5F4D-4410-94BD-61D85D87748C}"/>
    <cellStyle name="Comma 3" xfId="252" xr:uid="{782185EE-D104-4644-B9A7-D236E9B45F32}"/>
    <cellStyle name="Comma 3 2" xfId="253" xr:uid="{4D0A4D12-9DF1-458F-9321-34FA0523C91F}"/>
    <cellStyle name="Comma 3 2 2" xfId="254" xr:uid="{1E1157B6-022E-48D0-B8C9-9F93C391636F}"/>
    <cellStyle name="Comma 3 2 2 2" xfId="255" xr:uid="{6190118D-56F9-4AAF-865D-43A35FEA625F}"/>
    <cellStyle name="Comma 3 2 2 2 2" xfId="256" xr:uid="{DF3925AA-B0DA-438D-8F82-11B70149AD91}"/>
    <cellStyle name="Comma 3 2 2 2 2 2" xfId="918" xr:uid="{C0E289BF-BDFD-42C9-B638-B69EFE0605B8}"/>
    <cellStyle name="Comma 3 2 2 2 2 3" xfId="883" xr:uid="{15E42EB8-B1E2-4C05-8178-7B93EE94CF77}"/>
    <cellStyle name="Comma 3 2 2 2 3" xfId="257" xr:uid="{774CCE09-F566-4012-893C-5C05B76509EB}"/>
    <cellStyle name="Comma 3 2 2 2 4" xfId="2201" xr:uid="{35CEC48B-ECEC-4B84-BEA2-23A008767D45}"/>
    <cellStyle name="Comma 3 2 2 2 4 2" xfId="2295" xr:uid="{987A33A0-59A4-4896-82D6-3D20BC03EF18}"/>
    <cellStyle name="Comma 3 2 2 3" xfId="258" xr:uid="{73FFDD91-ABB0-4CEF-BD60-CAAE07DDCB6A}"/>
    <cellStyle name="Comma 3 2 3" xfId="259" xr:uid="{56564CE9-B625-435B-A109-61BFDB6D70D2}"/>
    <cellStyle name="Comma 3 2 3 2" xfId="260" xr:uid="{7C1E6E55-8905-4282-9D92-EA56EF27950F}"/>
    <cellStyle name="Comma 3 2 4" xfId="261" xr:uid="{3B04A030-0F3D-4A2B-9E54-CBC59C14F0BB}"/>
    <cellStyle name="Comma 3 3" xfId="262" xr:uid="{6B037B37-03E5-4E2D-9BE0-5898724D379B}"/>
    <cellStyle name="Comma 3 3 2" xfId="263" xr:uid="{C2F067ED-80FE-4CDB-A7F1-68A3EAE938C9}"/>
    <cellStyle name="Comma 3 3 2 10" xfId="3247" xr:uid="{D43328C4-7EFB-4A94-A3DD-E89E8D38C605}"/>
    <cellStyle name="Comma 3 3 2 2" xfId="827" xr:uid="{DB52A5BD-9A71-4407-832A-BAC2D0481CCD}"/>
    <cellStyle name="Comma 3 3 2 2 2" xfId="1095" xr:uid="{A441F40E-C424-43CE-976D-6ACB5E313B7F}"/>
    <cellStyle name="Comma 3 3 2 2 2 2" xfId="1512" xr:uid="{FA3FB76D-9DAB-4220-B8F4-9BF221CE0C7E}"/>
    <cellStyle name="Comma 3 3 2 2 2 2 2" xfId="3064" xr:uid="{AC211484-B60B-4446-B4A6-EC28C23716CA}"/>
    <cellStyle name="Comma 3 3 2 2 2 2 2 2" xfId="5113" xr:uid="{C8D582E3-03B2-4872-8733-A21D02346F32}"/>
    <cellStyle name="Comma 3 3 2 2 2 2 3" xfId="3847" xr:uid="{28B0345C-9F5D-47CE-A548-9779F88A533F}"/>
    <cellStyle name="Comma 3 3 2 2 2 3" xfId="1918" xr:uid="{59E6910D-8EE3-4F07-B6D9-4AD41D610AEB}"/>
    <cellStyle name="Comma 3 3 2 2 2 3 2" xfId="4235" xr:uid="{38165364-9A30-4744-AC0A-D9AA6D2636FC}"/>
    <cellStyle name="Comma 3 3 2 2 2 4" xfId="2681" xr:uid="{E8BD29D6-7257-4B86-A167-6521132124B8}"/>
    <cellStyle name="Comma 3 3 2 2 2 4 2" xfId="4751" xr:uid="{7AC0408B-2F1D-42DC-956A-80471466F3F5}"/>
    <cellStyle name="Comma 3 3 2 2 2 5" xfId="3459" xr:uid="{723FF9F2-6A2A-4519-BD15-C60E8709A489}"/>
    <cellStyle name="Comma 3 3 2 2 3" xfId="1202" xr:uid="{F244D759-CE46-45C7-A820-FE0EB0CC1827}"/>
    <cellStyle name="Comma 3 3 2 2 3 2" xfId="1617" xr:uid="{CEFBE892-C1CC-40FD-9819-A12DEFD3980E}"/>
    <cellStyle name="Comma 3 3 2 2 3 2 2" xfId="3169" xr:uid="{1FC70605-7962-41A6-A002-64086CEFF7EC}"/>
    <cellStyle name="Comma 3 3 2 2 3 2 2 2" xfId="5218" xr:uid="{74A2E8D2-2989-4CEA-902A-265F872D9D7A}"/>
    <cellStyle name="Comma 3 3 2 2 3 2 3" xfId="3952" xr:uid="{B167F06E-89FA-4C1B-8ED3-617E87266714}"/>
    <cellStyle name="Comma 3 3 2 2 3 3" xfId="2023" xr:uid="{68DF9767-B90D-49E9-B285-85676E693BB3}"/>
    <cellStyle name="Comma 3 3 2 2 3 3 2" xfId="4340" xr:uid="{297AE497-DDB8-4EC0-AB75-4CF84879C61E}"/>
    <cellStyle name="Comma 3 3 2 2 3 4" xfId="2774" xr:uid="{077CB831-2B90-4E10-8113-8B522BFCBC36}"/>
    <cellStyle name="Comma 3 3 2 2 3 4 2" xfId="4844" xr:uid="{A55796B9-A044-47A4-8C68-EDC881F8D6EA}"/>
    <cellStyle name="Comma 3 3 2 2 3 5" xfId="3564" xr:uid="{553D6D1B-8364-4BB3-B175-CF43B6D90D68}"/>
    <cellStyle name="Comma 3 3 2 2 4" xfId="972" xr:uid="{7ED66F4B-C467-40B3-99E4-7F36FE8B0615}"/>
    <cellStyle name="Comma 3 3 2 2 4 2" xfId="1407" xr:uid="{3A01CA24-51D7-4E22-8C27-F24290EB1669}"/>
    <cellStyle name="Comma 3 3 2 2 4 2 2" xfId="2931" xr:uid="{F4FB2F6F-1437-4A74-A722-42BC7DADB151}"/>
    <cellStyle name="Comma 3 3 2 2 4 2 2 2" xfId="4985" xr:uid="{5E6101D8-5987-49D6-AF65-08FB8376F981}"/>
    <cellStyle name="Comma 3 3 2 2 4 2 3" xfId="3742" xr:uid="{510A7302-471A-4EF8-9C99-E2D1DBB03CD4}"/>
    <cellStyle name="Comma 3 3 2 2 4 3" xfId="1813" xr:uid="{5ABFAE0F-0F0A-4E50-B0D3-4AB590BAD45D}"/>
    <cellStyle name="Comma 3 3 2 2 4 3 2" xfId="4130" xr:uid="{479B9DD3-6C3B-4DA5-B2AD-FA7E3F685966}"/>
    <cellStyle name="Comma 3 3 2 2 4 4" xfId="2604" xr:uid="{7EF746AC-4808-4930-90A1-7027AA4882F3}"/>
    <cellStyle name="Comma 3 3 2 2 4 4 2" xfId="4674" xr:uid="{5985E0C5-AE76-4D56-B1A2-F116EF9EE736}"/>
    <cellStyle name="Comma 3 3 2 2 4 5" xfId="3354" xr:uid="{A6AC9418-9D25-45A7-81C6-648371BD0A51}"/>
    <cellStyle name="Comma 3 3 2 2 5" xfId="1333" xr:uid="{8FBE8CF4-BF4C-445F-ADD2-4C26CAD639A6}"/>
    <cellStyle name="Comma 3 3 2 2 5 2" xfId="2505" xr:uid="{6996C252-8632-4674-8E16-73DF186FFE45}"/>
    <cellStyle name="Comma 3 3 2 2 5 2 2" xfId="4591" xr:uid="{46D1CA62-33F4-445F-A028-CCE41249E16E}"/>
    <cellStyle name="Comma 3 3 2 2 5 3" xfId="3669" xr:uid="{99383529-3EF1-4067-8789-634582267B33}"/>
    <cellStyle name="Comma 3 3 2 2 6" xfId="1740" xr:uid="{38C761D4-12E0-480C-8412-6808BAA2D522}"/>
    <cellStyle name="Comma 3 3 2 2 6 2" xfId="2854" xr:uid="{00572E8B-9F3B-433B-80AB-95C8A1533BEC}"/>
    <cellStyle name="Comma 3 3 2 2 6 2 2" xfId="4910" xr:uid="{3ED5D9F4-C343-4EFF-8C28-CD8DBD37CEC4}"/>
    <cellStyle name="Comma 3 3 2 2 6 3" xfId="4057" xr:uid="{4216990E-5A71-420E-BA7B-EC94925C5AF1}"/>
    <cellStyle name="Comma 3 3 2 2 7" xfId="2431" xr:uid="{A4D49780-3E8C-479D-898F-D0CF91D330D0}"/>
    <cellStyle name="Comma 3 3 2 2 7 2" xfId="4532" xr:uid="{01CCBB57-16DE-4F0A-BAC2-6EF1605713DD}"/>
    <cellStyle name="Comma 3 3 2 2 8" xfId="3281" xr:uid="{AE7723E2-5D9A-4087-B789-FCFFFA9143B5}"/>
    <cellStyle name="Comma 3 3 2 3" xfId="1011" xr:uid="{B8FE24A7-A483-439E-AC9A-16A0EAF1227C}"/>
    <cellStyle name="Comma 3 3 2 3 2" xfId="1129" xr:uid="{33F3BFEC-8ED8-4181-95C2-985C359528BD}"/>
    <cellStyle name="Comma 3 3 2 3 2 2" xfId="1546" xr:uid="{A494B589-B9BB-4FE4-B369-01812CCC683E}"/>
    <cellStyle name="Comma 3 3 2 3 2 2 2" xfId="3098" xr:uid="{B9F6A31B-7EE2-4D36-AF10-43BC509FC6FF}"/>
    <cellStyle name="Comma 3 3 2 3 2 2 2 2" xfId="5147" xr:uid="{E22649E1-5704-40BE-ABF7-5C5024D649FA}"/>
    <cellStyle name="Comma 3 3 2 3 2 2 3" xfId="3881" xr:uid="{137E9D40-F2B4-4C98-BCBA-55C440AEA7D6}"/>
    <cellStyle name="Comma 3 3 2 3 2 3" xfId="1952" xr:uid="{BA17187B-EE65-4274-8982-A658A50A0418}"/>
    <cellStyle name="Comma 3 3 2 3 2 3 2" xfId="4269" xr:uid="{979799CC-0CB9-4758-9209-70FF1F6AC13A}"/>
    <cellStyle name="Comma 3 3 2 3 2 4" xfId="2714" xr:uid="{96A2E93F-DB02-4009-88F9-35854FD3E395}"/>
    <cellStyle name="Comma 3 3 2 3 2 4 2" xfId="4784" xr:uid="{D5E973CE-52F7-4C5F-B4BC-50569936B9A5}"/>
    <cellStyle name="Comma 3 3 2 3 2 5" xfId="3493" xr:uid="{85103EF7-1888-49F2-87DF-80C4BBEBBC75}"/>
    <cellStyle name="Comma 3 3 2 3 3" xfId="1240" xr:uid="{24542341-FD21-4A6C-945F-B3EB6E488FEF}"/>
    <cellStyle name="Comma 3 3 2 3 3 2" xfId="1651" xr:uid="{F3C56F9B-E54B-415B-963D-649D4A56BA96}"/>
    <cellStyle name="Comma 3 3 2 3 3 2 2" xfId="3203" xr:uid="{C01C6141-0155-4E44-9E32-DCBE630A0CEA}"/>
    <cellStyle name="Comma 3 3 2 3 3 2 2 2" xfId="5252" xr:uid="{73DAB82B-428C-4540-8DC8-21903B4C55EB}"/>
    <cellStyle name="Comma 3 3 2 3 3 2 3" xfId="3986" xr:uid="{E580A07C-53D4-45C7-96EB-3A00001EACD6}"/>
    <cellStyle name="Comma 3 3 2 3 3 3" xfId="2057" xr:uid="{2FBE8C31-923A-4008-B52C-605ECDAFEF59}"/>
    <cellStyle name="Comma 3 3 2 3 3 3 2" xfId="4374" xr:uid="{9FD6B70F-4D2C-40D9-82C4-935B805E8B45}"/>
    <cellStyle name="Comma 3 3 2 3 3 4" xfId="2790" xr:uid="{78547CE4-E491-4A92-B252-4D042D19F674}"/>
    <cellStyle name="Comma 3 3 2 3 3 4 2" xfId="4860" xr:uid="{9A6867B3-1290-4DC7-9102-C70B29445004}"/>
    <cellStyle name="Comma 3 3 2 3 3 5" xfId="3598" xr:uid="{6759B4B8-ABC8-4EC7-A89D-8512BE77A54F}"/>
    <cellStyle name="Comma 3 3 2 3 4" xfId="1441" xr:uid="{0581ACE7-2682-43E9-98B6-EEFB3A3E43BF}"/>
    <cellStyle name="Comma 3 3 2 3 4 2" xfId="2994" xr:uid="{77545781-AC57-4AC2-800C-E98EE00C1F6B}"/>
    <cellStyle name="Comma 3 3 2 3 4 2 2" xfId="5044" xr:uid="{72B4A2F2-B81A-4FB8-8F7E-407039EEF039}"/>
    <cellStyle name="Comma 3 3 2 3 4 3" xfId="3776" xr:uid="{7486EA3A-DC43-4E20-89EA-68F4F5C211DF}"/>
    <cellStyle name="Comma 3 3 2 3 5" xfId="1847" xr:uid="{A4FE4A80-B131-4A71-AA00-0946ED275467}"/>
    <cellStyle name="Comma 3 3 2 3 5 2" xfId="4164" xr:uid="{D8A61648-D54A-4427-952C-344D8F90E2A0}"/>
    <cellStyle name="Comma 3 3 2 3 6" xfId="2573" xr:uid="{91A23C1F-BEB8-44FB-A064-47A271BA8F16}"/>
    <cellStyle name="Comma 3 3 2 3 6 2" xfId="4649" xr:uid="{25CA82D5-8A5B-42B2-A50B-4D7E895D9389}"/>
    <cellStyle name="Comma 3 3 2 3 7" xfId="3388" xr:uid="{85D15E23-A3E1-406B-A63E-4B706EC7B5C4}"/>
    <cellStyle name="Comma 3 3 2 4" xfId="1064" xr:uid="{08ACB4DF-3795-454A-8102-BC2CBAAA3AB5}"/>
    <cellStyle name="Comma 3 3 2 4 2" xfId="1481" xr:uid="{8E2B3D32-4361-4EF0-99ED-DCEF904C5E49}"/>
    <cellStyle name="Comma 3 3 2 4 2 2" xfId="3033" xr:uid="{21B453A6-3562-4FF7-8DC3-C08C21DB37A7}"/>
    <cellStyle name="Comma 3 3 2 4 2 2 2" xfId="5083" xr:uid="{DE9C254E-6063-4002-82CE-053E3A69204D}"/>
    <cellStyle name="Comma 3 3 2 4 2 3" xfId="3816" xr:uid="{384A5CF0-AADA-4880-9705-ED5AB7DC960D}"/>
    <cellStyle name="Comma 3 3 2 4 3" xfId="1887" xr:uid="{9C1F6C8F-42CD-41AE-9A03-18B3B2ACC5FE}"/>
    <cellStyle name="Comma 3 3 2 4 3 2" xfId="4204" xr:uid="{6369A9FC-D51A-4B0D-BE65-BC4B6B998CD5}"/>
    <cellStyle name="Comma 3 3 2 4 4" xfId="2657" xr:uid="{8E809FB0-08D9-4665-A055-387A611E800D}"/>
    <cellStyle name="Comma 3 3 2 4 4 2" xfId="4727" xr:uid="{1FC8761B-7A8D-4371-B4F5-D36B49F84943}"/>
    <cellStyle name="Comma 3 3 2 4 5" xfId="3428" xr:uid="{DE329E05-216E-4695-97F1-B95B84258870}"/>
    <cellStyle name="Comma 3 3 2 5" xfId="1170" xr:uid="{01277EBF-2829-4067-A1F5-8F35A4F94AAF}"/>
    <cellStyle name="Comma 3 3 2 5 2" xfId="1586" xr:uid="{C9365B1F-A978-466E-9DC6-A1D0F17E1531}"/>
    <cellStyle name="Comma 3 3 2 5 2 2" xfId="3138" xr:uid="{F8C56E78-F390-4BA2-A003-7831F26519C4}"/>
    <cellStyle name="Comma 3 3 2 5 2 2 2" xfId="5187" xr:uid="{B8A3B351-E177-4B8E-A80C-12FCE63D25E8}"/>
    <cellStyle name="Comma 3 3 2 5 2 3" xfId="3921" xr:uid="{AF3AD10F-E823-484C-AD57-01554BDCC017}"/>
    <cellStyle name="Comma 3 3 2 5 3" xfId="1992" xr:uid="{614FBDC1-EEE2-4BF6-9B1C-DE06A6B7C34D}"/>
    <cellStyle name="Comma 3 3 2 5 3 2" xfId="4309" xr:uid="{4D71EB00-76DE-4FAE-81A5-5E526C0B17B4}"/>
    <cellStyle name="Comma 3 3 2 5 4" xfId="2753" xr:uid="{6F75CA5F-FAA2-46CE-A044-D06E704EBE63}"/>
    <cellStyle name="Comma 3 3 2 5 4 2" xfId="4823" xr:uid="{B18FD841-AC9B-42DF-A212-81FB5E35FE78}"/>
    <cellStyle name="Comma 3 3 2 5 5" xfId="3533" xr:uid="{27F03345-B049-4D8F-9F47-8D123BFCD907}"/>
    <cellStyle name="Comma 3 3 2 6" xfId="919" xr:uid="{F80386C6-0AA8-4313-B423-D62856FD9F4E}"/>
    <cellStyle name="Comma 3 3 2 6 2" xfId="1375" xr:uid="{9215E0F4-C0C9-4921-A277-A08B87C891BD}"/>
    <cellStyle name="Comma 3 3 2 6 2 2" xfId="2842" xr:uid="{795243C6-9EAA-4260-B642-C2EC7C7C2FFF}"/>
    <cellStyle name="Comma 3 3 2 6 2 2 2" xfId="4900" xr:uid="{3C1DDD1E-9953-4BC3-8C6F-9B252F050A7C}"/>
    <cellStyle name="Comma 3 3 2 6 2 3" xfId="3711" xr:uid="{F6D08783-6D83-4DC2-BE93-9534C637BBA1}"/>
    <cellStyle name="Comma 3 3 2 6 3" xfId="1782" xr:uid="{5B095C42-F223-40C6-8AF4-84E0F5DB205E}"/>
    <cellStyle name="Comma 3 3 2 6 3 2" xfId="4099" xr:uid="{CFD67232-8222-48A3-A714-A881BAD543EB}"/>
    <cellStyle name="Comma 3 3 2 6 4" xfId="2594" xr:uid="{B2C3C9DB-97D2-46FE-B444-5B24F85A911F}"/>
    <cellStyle name="Comma 3 3 2 6 4 2" xfId="4665" xr:uid="{291A35A5-718C-48E6-9120-770C595974AA}"/>
    <cellStyle name="Comma 3 3 2 6 5" xfId="3323" xr:uid="{06331A54-3BD1-47ED-BF25-9F0C87B70772}"/>
    <cellStyle name="Comma 3 3 2 7" xfId="1279" xr:uid="{6DFC4058-7A33-44D2-9BC0-E4983A707F03}"/>
    <cellStyle name="Comma 3 3 2 7 2" xfId="2940" xr:uid="{645EC2E0-6BCD-4801-B213-56034304BEB3}"/>
    <cellStyle name="Comma 3 3 2 7 2 2" xfId="4993" xr:uid="{CF601801-7037-4352-BEDB-D08615CBF231}"/>
    <cellStyle name="Comma 3 3 2 7 3" xfId="3635" xr:uid="{1E836AE1-EBD4-48AC-A0F2-205A0A450D73}"/>
    <cellStyle name="Comma 3 3 2 8" xfId="1703" xr:uid="{FBD4775E-703A-4AA4-918D-C08CA2D5541A}"/>
    <cellStyle name="Comma 3 3 2 8 2" xfId="4023" xr:uid="{EFE97BD7-97D0-426D-8402-D4843E11FEE0}"/>
    <cellStyle name="Comma 3 3 2 9" xfId="2297" xr:uid="{2D7EB068-4D85-4AA9-8BD4-0DFE17764A24}"/>
    <cellStyle name="Comma 3 3 2 9 2" xfId="4460" xr:uid="{71FBB004-8887-4612-B3C6-2952193DD873}"/>
    <cellStyle name="Comma 3 3 3" xfId="2296" xr:uid="{1C470BF4-BC8F-463F-B0DC-B38BFCA68ED2}"/>
    <cellStyle name="Comma 3 3 4" xfId="2148" xr:uid="{E03D6E63-677E-4F08-ADC4-B8C2A6FA6342}"/>
    <cellStyle name="Comma 4" xfId="264" xr:uid="{6A914ADF-6E1B-4486-A40E-D4F4DC38F142}"/>
    <cellStyle name="Comma 4 2" xfId="265" xr:uid="{0544FA57-CD2E-46D9-8129-58119B8D064A}"/>
    <cellStyle name="Comma 4 2 2" xfId="266" xr:uid="{2D26E50C-D856-4509-9547-6E51EEA71774}"/>
    <cellStyle name="Comma 4 2 3" xfId="267" xr:uid="{DF16B153-84B4-4579-A3B1-7DCF4D8F8097}"/>
    <cellStyle name="Comma 4 3" xfId="268" xr:uid="{F3C7C05D-8A56-42D8-8D81-EAAABCA16DB6}"/>
    <cellStyle name="Comma 4 3 2" xfId="269" xr:uid="{B453E798-C137-4550-8BEB-FFEBAA5CDEA3}"/>
    <cellStyle name="Comma 4 3 3" xfId="270" xr:uid="{127879EF-1235-48C5-BFF3-9E2E699289BE}"/>
    <cellStyle name="Comma 4 4" xfId="271" xr:uid="{186DE579-B946-40E2-B7FD-5ED56727DF2E}"/>
    <cellStyle name="Comma 4 4 2" xfId="272" xr:uid="{EEE4F452-AB93-40E7-8F6A-AE970EF56A9E}"/>
    <cellStyle name="Comma 4 4 2 2" xfId="2298" xr:uid="{F3C2A783-C229-43DF-8051-D805D2F8C1CA}"/>
    <cellStyle name="Comma 4 4 2 3" xfId="2149" xr:uid="{5702A694-3511-402B-9122-5DBD217444A5}"/>
    <cellStyle name="Comma 4 4 3" xfId="273" xr:uid="{D5CE7B22-6318-41AF-97AC-42494C73AA69}"/>
    <cellStyle name="Comma 4 4 3 10" xfId="3248" xr:uid="{1F77F8AE-A0F0-407F-99C6-4B02AD4CBEF2}"/>
    <cellStyle name="Comma 4 4 3 2" xfId="828" xr:uid="{9F41CBEC-2564-47CF-8FE8-5E571E51231B}"/>
    <cellStyle name="Comma 4 4 3 2 2" xfId="1096" xr:uid="{DCC75634-2373-4A9C-AA55-84B41EBB4603}"/>
    <cellStyle name="Comma 4 4 3 2 2 2" xfId="1513" xr:uid="{497E583F-2ED5-4AB0-A30A-ECA73E9F427E}"/>
    <cellStyle name="Comma 4 4 3 2 2 2 2" xfId="2682" xr:uid="{6857B886-0CB9-4138-A268-501B4B99944B}"/>
    <cellStyle name="Comma 4 4 3 2 2 2 2 2" xfId="4752" xr:uid="{FF108445-54BF-4EF5-91E6-5518DFAB5291}"/>
    <cellStyle name="Comma 4 4 3 2 2 2 3" xfId="3848" xr:uid="{96455B9D-3CD6-4199-8E57-8E2F4F1A72B2}"/>
    <cellStyle name="Comma 4 4 3 2 2 3" xfId="1919" xr:uid="{E5B02B68-D95E-4FAF-BAD6-DCD360CE966F}"/>
    <cellStyle name="Comma 4 4 3 2 2 3 2" xfId="3065" xr:uid="{2DB35848-2DFA-4A02-B25D-95A44E3E5F9A}"/>
    <cellStyle name="Comma 4 4 3 2 2 3 2 2" xfId="5114" xr:uid="{31C30967-BE9E-4767-A5FE-CEB398119E51}"/>
    <cellStyle name="Comma 4 4 3 2 2 3 3" xfId="4236" xr:uid="{C158A172-DAC7-40FC-BB37-1C1899EE405C}"/>
    <cellStyle name="Comma 4 4 3 2 2 4" xfId="2432" xr:uid="{D15D0DF6-F836-453F-B6D4-C3874CE79F23}"/>
    <cellStyle name="Comma 4 4 3 2 2 4 2" xfId="4533" xr:uid="{30C95379-EA98-42E9-A170-3292109D3324}"/>
    <cellStyle name="Comma 4 4 3 2 2 5" xfId="3460" xr:uid="{B4BE34E5-95A8-4EF2-B681-B439340F839A}"/>
    <cellStyle name="Comma 4 4 3 2 3" xfId="1203" xr:uid="{2834F11B-FB05-4F8D-A6EF-B90565E01017}"/>
    <cellStyle name="Comma 4 4 3 2 3 2" xfId="1618" xr:uid="{07510DB8-2B84-4484-BC78-912EA0CFC2A7}"/>
    <cellStyle name="Comma 4 4 3 2 3 2 2" xfId="3170" xr:uid="{D65F8568-FE62-49B2-98AE-9A94949D2C71}"/>
    <cellStyle name="Comma 4 4 3 2 3 2 2 2" xfId="5219" xr:uid="{F45C9C71-6B9A-4237-BDF7-CA79ED142554}"/>
    <cellStyle name="Comma 4 4 3 2 3 2 3" xfId="3953" xr:uid="{D3C1C4FE-B441-418D-9837-682C031AB6F4}"/>
    <cellStyle name="Comma 4 4 3 2 3 3" xfId="2024" xr:uid="{BB12FF27-DED2-410F-B396-282D4DEF08A8}"/>
    <cellStyle name="Comma 4 4 3 2 3 3 2" xfId="4341" xr:uid="{AF6DDDFB-14A0-4E40-81CA-8719D067BBA7}"/>
    <cellStyle name="Comma 4 4 3 2 3 4" xfId="2574" xr:uid="{83035E75-F2E0-42EB-90A5-27A78FDF7268}"/>
    <cellStyle name="Comma 4 4 3 2 3 4 2" xfId="4650" xr:uid="{30A55625-F7B3-46B5-9F7A-3C44E907BAF9}"/>
    <cellStyle name="Comma 4 4 3 2 3 5" xfId="3565" xr:uid="{A156FFB1-D073-4072-9860-132A656944FB}"/>
    <cellStyle name="Comma 4 4 3 2 4" xfId="973" xr:uid="{C0EC96CD-8B92-42AC-B6D5-5C1C8AF208D5}"/>
    <cellStyle name="Comma 4 4 3 2 4 2" xfId="1408" xr:uid="{D9E83E2D-739C-4F7B-B007-6BA87A413541}"/>
    <cellStyle name="Comma 4 4 3 2 4 2 2" xfId="2857" xr:uid="{898D81E5-2D00-4279-9BED-6ED27D424D42}"/>
    <cellStyle name="Comma 4 4 3 2 4 2 2 2" xfId="4913" xr:uid="{3B04370B-C519-4D36-869C-8D2D608E212C}"/>
    <cellStyle name="Comma 4 4 3 2 4 2 3" xfId="3743" xr:uid="{24D06630-9CAA-4D70-A34E-4A2F3D61066F}"/>
    <cellStyle name="Comma 4 4 3 2 4 3" xfId="1814" xr:uid="{AFFF8024-C8A8-468E-92CC-179E571BC2EC}"/>
    <cellStyle name="Comma 4 4 3 2 4 3 2" xfId="4131" xr:uid="{3C5522B6-150B-424E-9384-3A58754FCB8F}"/>
    <cellStyle name="Comma 4 4 3 2 4 4" xfId="2605" xr:uid="{75DA7523-31DF-40F0-BB44-C0F0761FFADD}"/>
    <cellStyle name="Comma 4 4 3 2 4 4 2" xfId="4675" xr:uid="{B842F327-C38B-47D3-9A78-6FFB730959A8}"/>
    <cellStyle name="Comma 4 4 3 2 4 5" xfId="3355" xr:uid="{A28CD743-A586-4214-B3A8-D290CB441A98}"/>
    <cellStyle name="Comma 4 4 3 2 5" xfId="1334" xr:uid="{59C9BD13-09C8-4EF3-A504-5059EAE4FBB3}"/>
    <cellStyle name="Comma 4 4 3 2 5 2" xfId="2942" xr:uid="{7DF81FEF-AE24-488F-A0FB-46C8CE509134}"/>
    <cellStyle name="Comma 4 4 3 2 5 2 2" xfId="4995" xr:uid="{7352C801-6240-4179-A6EE-7EC06C03CA1D}"/>
    <cellStyle name="Comma 4 4 3 2 5 3" xfId="3670" xr:uid="{BAF9F3BC-E307-4D12-9C4F-4B89016E27BE}"/>
    <cellStyle name="Comma 4 4 3 2 6" xfId="1741" xr:uid="{863F2D47-E967-4287-AAC0-34058C30B46B}"/>
    <cellStyle name="Comma 4 4 3 2 6 2" xfId="4058" xr:uid="{82007400-3811-49CF-9EDD-C4FFC2430D6C}"/>
    <cellStyle name="Comma 4 4 3 2 7" xfId="2299" xr:uid="{9166B743-542A-4C37-9FF4-A72891F27DBC}"/>
    <cellStyle name="Comma 4 4 3 2 7 2" xfId="4461" xr:uid="{C887F34B-E0BE-444C-873D-BA36EC2DCEBC}"/>
    <cellStyle name="Comma 4 4 3 2 8" xfId="3282" xr:uid="{85DB2991-8F00-4E8D-8AD5-C4DFA284CC37}"/>
    <cellStyle name="Comma 4 4 3 3" xfId="1012" xr:uid="{4F7A9A8F-B0E7-40DF-9F91-955DF86E4179}"/>
    <cellStyle name="Comma 4 4 3 3 2" xfId="1130" xr:uid="{4E287C09-40FD-4FEC-9792-1F79BA9857FB}"/>
    <cellStyle name="Comma 4 4 3 3 2 2" xfId="1547" xr:uid="{C934733B-1351-4655-BD74-63158F5F065D}"/>
    <cellStyle name="Comma 4 4 3 3 2 2 2" xfId="3099" xr:uid="{15D52666-DA3D-46C4-8FFC-707AB69AE477}"/>
    <cellStyle name="Comma 4 4 3 3 2 2 2 2" xfId="5148" xr:uid="{54B6DE7B-E56B-4619-8083-6F68C137335F}"/>
    <cellStyle name="Comma 4 4 3 3 2 2 3" xfId="3882" xr:uid="{557D5B0A-2919-4CFD-82B2-D238DDC16EEA}"/>
    <cellStyle name="Comma 4 4 3 3 2 3" xfId="1953" xr:uid="{C092E8C1-0DE8-4C42-80C7-742A2772D17E}"/>
    <cellStyle name="Comma 4 4 3 3 2 3 2" xfId="4270" xr:uid="{58203B16-358F-4E54-B91B-19794EC9F984}"/>
    <cellStyle name="Comma 4 4 3 3 2 4" xfId="2715" xr:uid="{BFA0AE29-AA35-4478-A75A-A0540F57939A}"/>
    <cellStyle name="Comma 4 4 3 3 2 4 2" xfId="4785" xr:uid="{3AC7757F-D361-416C-A754-0E9FE2FB32F7}"/>
    <cellStyle name="Comma 4 4 3 3 2 5" xfId="3494" xr:uid="{EC975434-BE0E-4E26-9550-CEEF9681E899}"/>
    <cellStyle name="Comma 4 4 3 3 3" xfId="1241" xr:uid="{8E5E08BE-93D8-4B4C-B07B-46365C638448}"/>
    <cellStyle name="Comma 4 4 3 3 3 2" xfId="1652" xr:uid="{9E298C03-E3A4-441B-8111-64AF01589C61}"/>
    <cellStyle name="Comma 4 4 3 3 3 2 2" xfId="3204" xr:uid="{545D237A-35F3-4796-A6CD-80DAB0091807}"/>
    <cellStyle name="Comma 4 4 3 3 3 2 2 2" xfId="5253" xr:uid="{1C554798-6AED-493E-AA7E-723AF341645A}"/>
    <cellStyle name="Comma 4 4 3 3 3 2 3" xfId="3987" xr:uid="{77256BC4-694E-451A-831E-A975E67F4CE9}"/>
    <cellStyle name="Comma 4 4 3 3 3 3" xfId="2058" xr:uid="{1C954A12-E9E3-4B2D-9DCB-D53D66CE32FE}"/>
    <cellStyle name="Comma 4 4 3 3 3 3 2" xfId="4375" xr:uid="{BE22A628-4062-4F3B-A044-8F3F8F249880}"/>
    <cellStyle name="Comma 4 4 3 3 3 4" xfId="2791" xr:uid="{BABE5DFD-9C22-4923-9E63-82FC37942BDB}"/>
    <cellStyle name="Comma 4 4 3 3 3 4 2" xfId="4861" xr:uid="{68A7F795-44B6-44C5-ABD7-6FE3BE87F68F}"/>
    <cellStyle name="Comma 4 4 3 3 3 5" xfId="3599" xr:uid="{2AED60C8-3BDC-42DF-B49D-9600F9730BF8}"/>
    <cellStyle name="Comma 4 4 3 3 4" xfId="1442" xr:uid="{5E0B692D-9A1C-44BD-8BBA-59EE2B320254}"/>
    <cellStyle name="Comma 4 4 3 3 4 2" xfId="2995" xr:uid="{B6A26C5D-BEEB-4017-BF23-285B79726AFB}"/>
    <cellStyle name="Comma 4 4 3 3 4 2 2" xfId="5045" xr:uid="{8A7F15AE-B245-46C3-BA98-CC14E47B398E}"/>
    <cellStyle name="Comma 4 4 3 3 4 3" xfId="3777" xr:uid="{7C056BB6-9666-4448-BB20-A184266D3704}"/>
    <cellStyle name="Comma 4 4 3 3 5" xfId="1848" xr:uid="{85B39E62-DF7D-493B-9646-D0625C8CA55C}"/>
    <cellStyle name="Comma 4 4 3 3 5 2" xfId="4165" xr:uid="{00C3B89F-1AB8-4863-A3A9-6CD5886FA3EC}"/>
    <cellStyle name="Comma 4 4 3 3 6" xfId="2634" xr:uid="{31DFF774-337D-4AA3-92C3-95EA5FA06AA4}"/>
    <cellStyle name="Comma 4 4 3 3 6 2" xfId="4704" xr:uid="{181EF8D6-E032-456A-BF83-8C107FD86E0F}"/>
    <cellStyle name="Comma 4 4 3 3 7" xfId="3389" xr:uid="{1FC72DE9-E959-42DD-BD34-CC7986408B72}"/>
    <cellStyle name="Comma 4 4 3 4" xfId="1065" xr:uid="{92ABBEC9-0600-4432-9042-A425E40A524A}"/>
    <cellStyle name="Comma 4 4 3 4 2" xfId="1482" xr:uid="{9523A3ED-60ED-4181-8861-1B0CC236DF96}"/>
    <cellStyle name="Comma 4 4 3 4 2 2" xfId="3034" xr:uid="{F6F3985D-0EB4-4BDE-A928-8FAD3B83E859}"/>
    <cellStyle name="Comma 4 4 3 4 2 2 2" xfId="5084" xr:uid="{0FFA498A-AD0E-4B50-AD66-FE29D0B28660}"/>
    <cellStyle name="Comma 4 4 3 4 2 3" xfId="3817" xr:uid="{0F8D76D0-0AE8-46F1-AA96-964190F9C045}"/>
    <cellStyle name="Comma 4 4 3 4 3" xfId="1888" xr:uid="{A96503AF-5AEB-40E4-AB66-6E5883E52A3D}"/>
    <cellStyle name="Comma 4 4 3 4 3 2" xfId="4205" xr:uid="{284E1A4A-AF6F-4DA5-BFCC-3E28659103B9}"/>
    <cellStyle name="Comma 4 4 3 4 4" xfId="2658" xr:uid="{128F734F-047B-4C04-946E-FFB91C36FDBB}"/>
    <cellStyle name="Comma 4 4 3 4 4 2" xfId="4728" xr:uid="{FB43F237-7A2F-4039-B1BF-757E953FE24E}"/>
    <cellStyle name="Comma 4 4 3 4 5" xfId="3429" xr:uid="{2C900F61-86D5-44FA-B45B-912C98CB210C}"/>
    <cellStyle name="Comma 4 4 3 5" xfId="1171" xr:uid="{813F1047-0FEB-48FD-AB95-FFB72BC4C8BE}"/>
    <cellStyle name="Comma 4 4 3 5 2" xfId="1587" xr:uid="{1A0096E1-E7F7-4D3E-898C-AD5B56E83090}"/>
    <cellStyle name="Comma 4 4 3 5 2 2" xfId="3139" xr:uid="{D029DC5A-6308-4B29-91E5-993792352284}"/>
    <cellStyle name="Comma 4 4 3 5 2 2 2" xfId="5188" xr:uid="{4AC3E818-D06B-49DC-A9D9-499B309CCC6B}"/>
    <cellStyle name="Comma 4 4 3 5 2 3" xfId="3922" xr:uid="{5981A627-73BA-42B0-9061-AD324BFF072D}"/>
    <cellStyle name="Comma 4 4 3 5 3" xfId="1993" xr:uid="{16074ECF-CFB0-445B-BA2D-A21EA9A4E160}"/>
    <cellStyle name="Comma 4 4 3 5 3 2" xfId="4310" xr:uid="{5C8FB613-D985-4FE5-B9E9-7FB92969D881}"/>
    <cellStyle name="Comma 4 4 3 5 4" xfId="2754" xr:uid="{ACDCBE4B-6236-434B-A3A3-507F1BB0DB43}"/>
    <cellStyle name="Comma 4 4 3 5 4 2" xfId="4824" xr:uid="{D7B7ACC7-94D9-42BD-B065-CEF00CE096B4}"/>
    <cellStyle name="Comma 4 4 3 5 5" xfId="3534" xr:uid="{509CFFC0-08AA-4F98-BAC6-7403089566C7}"/>
    <cellStyle name="Comma 4 4 3 6" xfId="920" xr:uid="{CF397CD9-034A-41BB-9CB6-A68ABB7C90AA}"/>
    <cellStyle name="Comma 4 4 3 6 2" xfId="1376" xr:uid="{FBADA5DB-DD55-4DF6-AD6B-2BBE2FEF6A78}"/>
    <cellStyle name="Comma 4 4 3 6 2 2" xfId="2969" xr:uid="{F752738F-B40E-46FD-8F2F-74A067E46633}"/>
    <cellStyle name="Comma 4 4 3 6 2 2 2" xfId="5020" xr:uid="{7D2C9D57-CB4C-43FA-A741-8A30A1F06F3A}"/>
    <cellStyle name="Comma 4 4 3 6 2 3" xfId="3712" xr:uid="{0B97C50D-5129-4D99-BC50-AD952EDA1A33}"/>
    <cellStyle name="Comma 4 4 3 6 3" xfId="1783" xr:uid="{C1F4E4CA-3435-49FC-B78C-F6EDCE56C847}"/>
    <cellStyle name="Comma 4 4 3 6 3 2" xfId="4100" xr:uid="{9EE66DB8-A558-4DAC-8748-1D5CC9FF2ADE}"/>
    <cellStyle name="Comma 4 4 3 6 4" xfId="2568" xr:uid="{3AA52CF1-8AE6-4958-A8B4-7D1AFD3CFF71}"/>
    <cellStyle name="Comma 4 4 3 6 4 2" xfId="4644" xr:uid="{6610334C-11AB-455D-87B5-15B8562ABCDE}"/>
    <cellStyle name="Comma 4 4 3 6 5" xfId="3324" xr:uid="{47FFD553-ABAE-4713-A725-97A35EB0673B}"/>
    <cellStyle name="Comma 4 4 3 7" xfId="1280" xr:uid="{685B16D6-0BBA-4D7D-ACFA-9DB28F04D36D}"/>
    <cellStyle name="Comma 4 4 3 7 2" xfId="3636" xr:uid="{348A04DB-015A-417D-B314-25AB0CBE3016}"/>
    <cellStyle name="Comma 4 4 3 8" xfId="1704" xr:uid="{EC3C80BF-ED1C-44CA-8A04-F2F4535E8E76}"/>
    <cellStyle name="Comma 4 4 3 8 2" xfId="4024" xr:uid="{029F62F3-E062-44DB-942D-7677D45D0352}"/>
    <cellStyle name="Comma 4 4 3 9" xfId="2150" xr:uid="{D6F81A21-6101-4532-8C66-0C8B946FEBC1}"/>
    <cellStyle name="Comma 4 4 4" xfId="274" xr:uid="{F7522727-BD01-4F55-868F-A0D5C7C5CA76}"/>
    <cellStyle name="Comma 4 4 4 10" xfId="3249" xr:uid="{5AEFAA6D-6A80-4F88-BF29-77E7CD899003}"/>
    <cellStyle name="Comma 4 4 4 2" xfId="829" xr:uid="{7AC59F2D-BE72-4CA8-8DE3-1572BC1EFCD8}"/>
    <cellStyle name="Comma 4 4 4 2 2" xfId="1097" xr:uid="{A157A5B6-CE4B-44F5-8E44-45E10CDF7138}"/>
    <cellStyle name="Comma 4 4 4 2 2 2" xfId="1514" xr:uid="{638B9AFE-B83A-4802-865D-77828198BA23}"/>
    <cellStyle name="Comma 4 4 4 2 2 2 2" xfId="3066" xr:uid="{3ADC9447-5BB6-4B2F-9E75-AAAEF9427498}"/>
    <cellStyle name="Comma 4 4 4 2 2 2 2 2" xfId="5115" xr:uid="{E34AC0E0-2893-43FB-AFEC-45137E572D91}"/>
    <cellStyle name="Comma 4 4 4 2 2 2 3" xfId="3849" xr:uid="{833207AB-AB7F-4BC4-8238-68F321E5957E}"/>
    <cellStyle name="Comma 4 4 4 2 2 3" xfId="1920" xr:uid="{C41C2994-C764-4EB6-A54C-EFE0BDB75DF9}"/>
    <cellStyle name="Comma 4 4 4 2 2 3 2" xfId="4237" xr:uid="{DB3E2B94-22EC-47AF-AB66-1F6FB201F974}"/>
    <cellStyle name="Comma 4 4 4 2 2 4" xfId="2683" xr:uid="{CDC9B3DA-46F5-4ECF-9EAE-B845D052A494}"/>
    <cellStyle name="Comma 4 4 4 2 2 4 2" xfId="4753" xr:uid="{128BE457-361A-4E97-9B6A-1A42FBBB89FB}"/>
    <cellStyle name="Comma 4 4 4 2 2 5" xfId="3461" xr:uid="{ACC8838D-DBC5-41C0-9723-52518F958E7B}"/>
    <cellStyle name="Comma 4 4 4 2 3" xfId="1204" xr:uid="{2685CF55-FAC6-4AF8-9136-AADCC12CB10B}"/>
    <cellStyle name="Comma 4 4 4 2 3 2" xfId="1619" xr:uid="{731EC2DE-0B66-4A5A-870B-32E3E7D8B4B7}"/>
    <cellStyle name="Comma 4 4 4 2 3 2 2" xfId="3171" xr:uid="{11BA01D8-5EBD-4514-ABBE-12C95E82C55F}"/>
    <cellStyle name="Comma 4 4 4 2 3 2 2 2" xfId="5220" xr:uid="{4B870177-31F7-444C-B5EB-61C6F3F6C129}"/>
    <cellStyle name="Comma 4 4 4 2 3 2 3" xfId="3954" xr:uid="{A0DFA31E-F384-4F69-BC7C-255C07291420}"/>
    <cellStyle name="Comma 4 4 4 2 3 3" xfId="2025" xr:uid="{E9235546-978B-4391-956F-77E3F47489D3}"/>
    <cellStyle name="Comma 4 4 4 2 3 3 2" xfId="4342" xr:uid="{9CFBEDBA-F4C0-4774-B660-6CE8C7492FB3}"/>
    <cellStyle name="Comma 4 4 4 2 3 4" xfId="2775" xr:uid="{11133B1D-7069-4D1C-9464-E8FF2D82D70F}"/>
    <cellStyle name="Comma 4 4 4 2 3 4 2" xfId="4845" xr:uid="{6F859FB8-5806-467B-A4DC-D76609FD8651}"/>
    <cellStyle name="Comma 4 4 4 2 3 5" xfId="3566" xr:uid="{74282DFB-5DCA-42A9-81BD-36CEAFAF7E0F}"/>
    <cellStyle name="Comma 4 4 4 2 4" xfId="974" xr:uid="{2BF4D987-44E3-46DE-B476-31205B752F9D}"/>
    <cellStyle name="Comma 4 4 4 2 4 2" xfId="1409" xr:uid="{79F6C4BF-45E8-46C0-8AAD-EC0237055E79}"/>
    <cellStyle name="Comma 4 4 4 2 4 2 2" xfId="2883" xr:uid="{4D940944-ACEF-4AC4-872C-629B840B021B}"/>
    <cellStyle name="Comma 4 4 4 2 4 2 2 2" xfId="4937" xr:uid="{1F7C3816-2654-498C-9D72-9786C4334C3C}"/>
    <cellStyle name="Comma 4 4 4 2 4 2 3" xfId="3744" xr:uid="{DC21B8B6-6CFC-4B61-977D-CBE2F2B8396E}"/>
    <cellStyle name="Comma 4 4 4 2 4 3" xfId="1815" xr:uid="{4F8AEDC9-5137-4339-9B04-3BB6A686B061}"/>
    <cellStyle name="Comma 4 4 4 2 4 3 2" xfId="4132" xr:uid="{93930AB8-0BC2-4D5F-9EF6-93BC976E4CFF}"/>
    <cellStyle name="Comma 4 4 4 2 4 4" xfId="2606" xr:uid="{EF6EE0BF-013A-4386-8C2D-7BAB4BEA34C7}"/>
    <cellStyle name="Comma 4 4 4 2 4 4 2" xfId="4676" xr:uid="{48262FCC-2D06-46A3-9118-780E2D984E65}"/>
    <cellStyle name="Comma 4 4 4 2 4 5" xfId="3356" xr:uid="{329EA896-1861-4EDB-9F9B-70AC98592B32}"/>
    <cellStyle name="Comma 4 4 4 2 5" xfId="1335" xr:uid="{63FE15A3-C30D-48B0-AED8-F77A4CC5BF67}"/>
    <cellStyle name="Comma 4 4 4 2 5 2" xfId="2506" xr:uid="{03D1FB3C-F347-48DD-B902-418A747466AC}"/>
    <cellStyle name="Comma 4 4 4 2 5 2 2" xfId="4592" xr:uid="{D76D0E54-3E8C-4FA0-8C90-2825A80C197B}"/>
    <cellStyle name="Comma 4 4 4 2 5 3" xfId="3671" xr:uid="{5D3AF702-C927-4980-AF72-71D6870B9687}"/>
    <cellStyle name="Comma 4 4 4 2 6" xfId="1742" xr:uid="{6BDA2495-FFFC-40A6-BB9B-0B1696D1B526}"/>
    <cellStyle name="Comma 4 4 4 2 6 2" xfId="2845" xr:uid="{CEE8200E-DB1C-4122-97C9-361260ACC608}"/>
    <cellStyle name="Comma 4 4 4 2 6 2 2" xfId="4902" xr:uid="{04E562AA-07AD-48B5-9A06-78F904ED7D3A}"/>
    <cellStyle name="Comma 4 4 4 2 6 3" xfId="4059" xr:uid="{F93649C3-A6FC-4E23-8C17-2F6798D38F74}"/>
    <cellStyle name="Comma 4 4 4 2 7" xfId="2433" xr:uid="{6E292E2F-FCA1-4877-A613-334FBB8E21FB}"/>
    <cellStyle name="Comma 4 4 4 2 7 2" xfId="4534" xr:uid="{C78FE7D5-E3C2-433C-99BC-CAE537AFA6F9}"/>
    <cellStyle name="Comma 4 4 4 2 8" xfId="3283" xr:uid="{51BEB846-75F7-44C4-924C-B9570A0B7C10}"/>
    <cellStyle name="Comma 4 4 4 3" xfId="1013" xr:uid="{976425FC-6FD1-498D-AB77-EBC706801475}"/>
    <cellStyle name="Comma 4 4 4 3 2" xfId="1131" xr:uid="{B951E050-DB43-489A-99B0-3F22B93688FD}"/>
    <cellStyle name="Comma 4 4 4 3 2 2" xfId="1548" xr:uid="{197ACD83-8CBB-41A0-91EB-46F07F690719}"/>
    <cellStyle name="Comma 4 4 4 3 2 2 2" xfId="3100" xr:uid="{531810CE-7A87-4D43-BFB9-8AEBAD3DF6B9}"/>
    <cellStyle name="Comma 4 4 4 3 2 2 2 2" xfId="5149" xr:uid="{CC67AC72-34A2-46C1-973A-BB4A93BA612A}"/>
    <cellStyle name="Comma 4 4 4 3 2 2 3" xfId="3883" xr:uid="{EFB08476-4DCA-46EB-A462-41DD259BE39C}"/>
    <cellStyle name="Comma 4 4 4 3 2 3" xfId="1954" xr:uid="{22195309-7B58-47B9-A0A0-32A3E3DD1996}"/>
    <cellStyle name="Comma 4 4 4 3 2 3 2" xfId="4271" xr:uid="{364DC612-C019-4ECE-925C-780B66612F27}"/>
    <cellStyle name="Comma 4 4 4 3 2 4" xfId="2716" xr:uid="{58C729F3-F262-43E3-B1DC-7A706CF6FCDD}"/>
    <cellStyle name="Comma 4 4 4 3 2 4 2" xfId="4786" xr:uid="{4B8280BE-392C-4FE3-874A-D735216F3896}"/>
    <cellStyle name="Comma 4 4 4 3 2 5" xfId="3495" xr:uid="{246FDE18-4DDC-474E-A1CB-33B8BE707C04}"/>
    <cellStyle name="Comma 4 4 4 3 3" xfId="1242" xr:uid="{C1B07FFF-B381-430E-AB59-67813D57A2B4}"/>
    <cellStyle name="Comma 4 4 4 3 3 2" xfId="1653" xr:uid="{132364DA-B7AC-482B-8A60-29ACE1A69163}"/>
    <cellStyle name="Comma 4 4 4 3 3 2 2" xfId="3205" xr:uid="{72FBA955-938F-4762-8FD9-CA5B3FDE5C4B}"/>
    <cellStyle name="Comma 4 4 4 3 3 2 2 2" xfId="5254" xr:uid="{7F224B01-84AD-4345-B4CC-2318DAFE678C}"/>
    <cellStyle name="Comma 4 4 4 3 3 2 3" xfId="3988" xr:uid="{B2AB0D12-559D-4EF0-929F-56FD4B232264}"/>
    <cellStyle name="Comma 4 4 4 3 3 3" xfId="2059" xr:uid="{8F85396F-8511-4F5D-81AE-EADB8C3337C2}"/>
    <cellStyle name="Comma 4 4 4 3 3 3 2" xfId="4376" xr:uid="{7202130F-290A-4155-A84D-E04C0C47500E}"/>
    <cellStyle name="Comma 4 4 4 3 3 4" xfId="2792" xr:uid="{4EA77828-F9EB-438B-BA72-51968C4B8050}"/>
    <cellStyle name="Comma 4 4 4 3 3 4 2" xfId="4862" xr:uid="{8AC1448D-A512-44EE-A720-BA6302AE21E7}"/>
    <cellStyle name="Comma 4 4 4 3 3 5" xfId="3600" xr:uid="{DAFFF7FF-BFBB-464D-AAF0-760ABF2D2A08}"/>
    <cellStyle name="Comma 4 4 4 3 4" xfId="1443" xr:uid="{288F9537-279D-4A18-8A47-02E6B4396735}"/>
    <cellStyle name="Comma 4 4 4 3 4 2" xfId="2996" xr:uid="{501E30F2-85E1-4A0E-83E1-EA89C780A278}"/>
    <cellStyle name="Comma 4 4 4 3 4 2 2" xfId="5046" xr:uid="{1BC5EB76-E5C7-49AC-BB84-A6C5A9A74BC7}"/>
    <cellStyle name="Comma 4 4 4 3 4 3" xfId="3778" xr:uid="{D1E67BFA-9233-48C7-91B6-192F2AD3FF20}"/>
    <cellStyle name="Comma 4 4 4 3 5" xfId="1849" xr:uid="{095FF1C5-178E-4D37-A4CD-21E0405E7AC6}"/>
    <cellStyle name="Comma 4 4 4 3 5 2" xfId="4166" xr:uid="{ACCD9B38-8ED3-449F-8C06-637BE82D9156}"/>
    <cellStyle name="Comma 4 4 4 3 6" xfId="2575" xr:uid="{ED28A621-088C-4ECC-9073-954891F2BCE3}"/>
    <cellStyle name="Comma 4 4 4 3 6 2" xfId="4651" xr:uid="{072E3DDC-7388-47D3-9E6C-69FF966F9F39}"/>
    <cellStyle name="Comma 4 4 4 3 7" xfId="3390" xr:uid="{EC69189B-8847-414D-939B-7DB001B3C726}"/>
    <cellStyle name="Comma 4 4 4 4" xfId="1066" xr:uid="{6EACBEFC-E4C2-4E95-83E2-E64818D50A7E}"/>
    <cellStyle name="Comma 4 4 4 4 2" xfId="1483" xr:uid="{E21EADE5-B860-4C8F-BC68-FD7BD496E3ED}"/>
    <cellStyle name="Comma 4 4 4 4 2 2" xfId="3035" xr:uid="{9B132924-47D0-4F50-B063-2093841E2EEB}"/>
    <cellStyle name="Comma 4 4 4 4 2 2 2" xfId="5085" xr:uid="{2C27FB0B-CDF8-41D3-9E14-7AED9F86FE29}"/>
    <cellStyle name="Comma 4 4 4 4 2 3" xfId="3818" xr:uid="{9BC480D4-1CD8-40A6-BA0D-1BBA78779C66}"/>
    <cellStyle name="Comma 4 4 4 4 3" xfId="1889" xr:uid="{2FEC2E11-FDEA-4DDB-A051-D002561AD3D1}"/>
    <cellStyle name="Comma 4 4 4 4 3 2" xfId="4206" xr:uid="{21602E6C-CB1D-48EE-89CC-CB61EC5BA8AA}"/>
    <cellStyle name="Comma 4 4 4 4 4" xfId="2659" xr:uid="{5CC1027E-BC95-4B5F-B8F5-B28EAAC667AF}"/>
    <cellStyle name="Comma 4 4 4 4 4 2" xfId="4729" xr:uid="{0A4271EC-42B8-40C1-82B1-5ECE009DCA55}"/>
    <cellStyle name="Comma 4 4 4 4 5" xfId="3430" xr:uid="{00D8C3B2-5792-441B-AA1D-6960FD4DC701}"/>
    <cellStyle name="Comma 4 4 4 5" xfId="1172" xr:uid="{62459A73-EF1F-4E9D-AA64-D2705968AAA3}"/>
    <cellStyle name="Comma 4 4 4 5 2" xfId="1588" xr:uid="{2CEF8919-AFCF-4F99-A446-EFB10436578A}"/>
    <cellStyle name="Comma 4 4 4 5 2 2" xfId="3140" xr:uid="{B8186FCC-FB58-45F4-AD6E-01D2546A5BC9}"/>
    <cellStyle name="Comma 4 4 4 5 2 2 2" xfId="5189" xr:uid="{BEECBDF0-5CA5-4E38-B19C-A734A668349C}"/>
    <cellStyle name="Comma 4 4 4 5 2 3" xfId="3923" xr:uid="{3ED59FED-D503-4214-BE85-1210FE980C50}"/>
    <cellStyle name="Comma 4 4 4 5 3" xfId="1994" xr:uid="{0F6B49B2-2C34-4627-9EDC-901821F24A22}"/>
    <cellStyle name="Comma 4 4 4 5 3 2" xfId="4311" xr:uid="{3E37938D-AA6F-4236-A999-6DC6879C5C28}"/>
    <cellStyle name="Comma 4 4 4 5 4" xfId="2755" xr:uid="{C09018B1-0078-420E-8A62-E3C6E4A01461}"/>
    <cellStyle name="Comma 4 4 4 5 4 2" xfId="4825" xr:uid="{F463C394-6CF4-4B28-BBDB-D2FAB656389B}"/>
    <cellStyle name="Comma 4 4 4 5 5" xfId="3535" xr:uid="{2EABD27D-4446-452C-B605-368ADF4D2643}"/>
    <cellStyle name="Comma 4 4 4 6" xfId="921" xr:uid="{DAC61064-7E29-486D-BB0C-39FAB3481290}"/>
    <cellStyle name="Comma 4 4 4 6 2" xfId="1377" xr:uid="{9EF12548-5DFC-46C6-A445-EA79A8D8558C}"/>
    <cellStyle name="Comma 4 4 4 6 2 2" xfId="2847" xr:uid="{48C80B0E-3A22-4C51-A70B-55EC6201159D}"/>
    <cellStyle name="Comma 4 4 4 6 2 2 2" xfId="4904" xr:uid="{7B780F24-161B-4EB9-8986-E7648F1FFB3F}"/>
    <cellStyle name="Comma 4 4 4 6 2 3" xfId="3713" xr:uid="{68F4782F-E0DB-4E09-B881-761BDDC6A3C9}"/>
    <cellStyle name="Comma 4 4 4 6 3" xfId="1784" xr:uid="{C6D8FB2D-882A-43B0-9383-1F8421EBD798}"/>
    <cellStyle name="Comma 4 4 4 6 3 2" xfId="4101" xr:uid="{F2CB8567-8E32-4774-B1C6-ADE5658C6495}"/>
    <cellStyle name="Comma 4 4 4 6 4" xfId="2519" xr:uid="{336C02ED-F8A0-4F9D-8FAE-54C211F14720}"/>
    <cellStyle name="Comma 4 4 4 6 4 2" xfId="4600" xr:uid="{EED50F12-DDF7-45C9-BD60-8764C181AB04}"/>
    <cellStyle name="Comma 4 4 4 6 5" xfId="3325" xr:uid="{A217936E-862C-4488-A039-ED1DC077AF85}"/>
    <cellStyle name="Comma 4 4 4 7" xfId="1281" xr:uid="{C13B3514-498A-43B7-A702-AFA1C7DAA624}"/>
    <cellStyle name="Comma 4 4 4 7 2" xfId="2943" xr:uid="{C9DA3D47-8938-494F-92FD-D98B52A377CD}"/>
    <cellStyle name="Comma 4 4 4 7 2 2" xfId="4996" xr:uid="{C546BC09-0280-47DD-A2AF-9402CDE2B2E6}"/>
    <cellStyle name="Comma 4 4 4 7 3" xfId="3637" xr:uid="{6AC55A6D-5EE0-4DC3-97B6-467A817B2355}"/>
    <cellStyle name="Comma 4 4 4 8" xfId="1705" xr:uid="{84F4B271-97E3-40B6-AECB-8D485DCFFA50}"/>
    <cellStyle name="Comma 4 4 4 8 2" xfId="4025" xr:uid="{55101B1D-FDD1-40DE-84DD-2945A28E3BE2}"/>
    <cellStyle name="Comma 4 4 4 9" xfId="2300" xr:uid="{75D49092-C95F-4534-837C-FC39653CF0BD}"/>
    <cellStyle name="Comma 4 4 4 9 2" xfId="4462" xr:uid="{EB5111CB-4F19-44D5-AB41-02EF6AB27B8C}"/>
    <cellStyle name="Comma 4 4 5" xfId="275" xr:uid="{DB23BB80-ADB7-4A78-B422-B3FAE27D72A4}"/>
    <cellStyle name="Comma 4 5" xfId="276" xr:uid="{39ED9E42-5DF2-46A9-96FA-5311D9014FDA}"/>
    <cellStyle name="Comma 4 5 2" xfId="277" xr:uid="{9E71A54A-97C3-4B59-B8F7-45F3C5E0D093}"/>
    <cellStyle name="Comma 4 5 3" xfId="278" xr:uid="{58BA4680-CD23-441E-9F62-40E1EB4FFF3F}"/>
    <cellStyle name="Comma 4 5 4" xfId="922" xr:uid="{0F1FE3F0-6A2D-434F-9917-A0811AC76A69}"/>
    <cellStyle name="Comma 4 5 5" xfId="884" xr:uid="{6B597587-19A0-415F-AED2-83B2EDF6A6CC}"/>
    <cellStyle name="Comma 4 6" xfId="279" xr:uid="{4DFDB19B-F783-4C17-A600-E1F05914B49C}"/>
    <cellStyle name="Comma 4 7" xfId="280" xr:uid="{B151A2EA-18D6-4CC1-9851-9096F9F5DEF5}"/>
    <cellStyle name="Comma 4 7 10" xfId="3250" xr:uid="{A4228247-005E-4484-8090-0D4F1E1D7489}"/>
    <cellStyle name="Comma 4 7 2" xfId="830" xr:uid="{BC119649-6897-4F86-B42C-A435E9BB181C}"/>
    <cellStyle name="Comma 4 7 2 2" xfId="1098" xr:uid="{CA080AC4-FF9B-464B-BEEF-D5705CCB25E1}"/>
    <cellStyle name="Comma 4 7 2 2 2" xfId="1515" xr:uid="{1353300F-B8D3-44FE-AD67-E81333C7E385}"/>
    <cellStyle name="Comma 4 7 2 2 2 2" xfId="2684" xr:uid="{56786237-5F6A-42A3-9FB3-E85C9B764FCF}"/>
    <cellStyle name="Comma 4 7 2 2 2 2 2" xfId="4754" xr:uid="{7C98EFAD-BA76-4F4E-B29A-1F9676AF2842}"/>
    <cellStyle name="Comma 4 7 2 2 2 3" xfId="3850" xr:uid="{FAA007A5-9F95-4382-A06F-C3321501F0C5}"/>
    <cellStyle name="Comma 4 7 2 2 3" xfId="1921" xr:uid="{1ABF0FC6-621E-427A-B651-3C505F6E2504}"/>
    <cellStyle name="Comma 4 7 2 2 3 2" xfId="3067" xr:uid="{189F0EA2-46CA-400B-BD64-2F83D7A8B4B4}"/>
    <cellStyle name="Comma 4 7 2 2 3 2 2" xfId="5116" xr:uid="{AC1ADACE-5190-4666-95B2-08D45430D7DC}"/>
    <cellStyle name="Comma 4 7 2 2 3 3" xfId="4238" xr:uid="{09F22DE4-BE2D-4AA3-ACCE-BCCF4C95EEDC}"/>
    <cellStyle name="Comma 4 7 2 2 4" xfId="2434" xr:uid="{C7D1D5E2-0928-463C-8D68-F718BB05F25D}"/>
    <cellStyle name="Comma 4 7 2 2 4 2" xfId="4535" xr:uid="{2C6301D0-1AA4-4BF4-851D-4E67D183CE1C}"/>
    <cellStyle name="Comma 4 7 2 2 5" xfId="3462" xr:uid="{3AD85D11-C38C-4F5A-833C-6A2B51798D9D}"/>
    <cellStyle name="Comma 4 7 2 3" xfId="1205" xr:uid="{FD2336FE-1182-4D62-B862-BAA283ABC442}"/>
    <cellStyle name="Comma 4 7 2 3 2" xfId="1620" xr:uid="{6095BEA1-E67A-4EAC-9141-580F42D2CDC6}"/>
    <cellStyle name="Comma 4 7 2 3 2 2" xfId="3172" xr:uid="{AC70A46E-F798-4555-ABA0-2C0223B4CB3E}"/>
    <cellStyle name="Comma 4 7 2 3 2 2 2" xfId="5221" xr:uid="{EB937270-9DDA-4CAD-B675-3659DBD55820}"/>
    <cellStyle name="Comma 4 7 2 3 2 3" xfId="3955" xr:uid="{C3604938-D93F-4DF6-BC81-5910085F9382}"/>
    <cellStyle name="Comma 4 7 2 3 3" xfId="2026" xr:uid="{481F4117-37CE-4AFF-A1F0-862057656D6F}"/>
    <cellStyle name="Comma 4 7 2 3 3 2" xfId="4343" xr:uid="{867B888D-6D65-40CC-BAA8-E3084A602026}"/>
    <cellStyle name="Comma 4 7 2 3 4" xfId="2576" xr:uid="{55815A90-DD1F-4363-A77B-6AD7AD007A9B}"/>
    <cellStyle name="Comma 4 7 2 3 4 2" xfId="4652" xr:uid="{DC154B68-1BD3-4AB0-B099-B4667D40F7F6}"/>
    <cellStyle name="Comma 4 7 2 3 5" xfId="3567" xr:uid="{1FC3C9FA-7C8C-4ED6-9BCE-AF22BCDC9486}"/>
    <cellStyle name="Comma 4 7 2 4" xfId="975" xr:uid="{6B07B360-2C1D-41C9-8958-776E485AB654}"/>
    <cellStyle name="Comma 4 7 2 4 2" xfId="1410" xr:uid="{3E400402-5915-46EA-9BAF-7AD542A80605}"/>
    <cellStyle name="Comma 4 7 2 4 2 2" xfId="2872" xr:uid="{06062734-8F12-4F00-BABD-C19F3C83766A}"/>
    <cellStyle name="Comma 4 7 2 4 2 2 2" xfId="4926" xr:uid="{B0B568E7-D73D-4C59-91F7-4FBB4AA7D809}"/>
    <cellStyle name="Comma 4 7 2 4 2 3" xfId="3745" xr:uid="{E6DD875A-3592-4BA3-8850-67EDAFD1A1B1}"/>
    <cellStyle name="Comma 4 7 2 4 3" xfId="1816" xr:uid="{3D249C49-1241-4EDF-90BD-9ED395BEA84B}"/>
    <cellStyle name="Comma 4 7 2 4 3 2" xfId="4133" xr:uid="{1FE6A109-C63E-48DC-BEAC-1ADE07A43112}"/>
    <cellStyle name="Comma 4 7 2 4 4" xfId="2607" xr:uid="{CF699DB7-E228-48F2-AB9E-E7B4B59601C0}"/>
    <cellStyle name="Comma 4 7 2 4 4 2" xfId="4677" xr:uid="{173D06BA-14DC-4108-AA7B-D054F5F629E8}"/>
    <cellStyle name="Comma 4 7 2 4 5" xfId="3357" xr:uid="{00D68F02-5006-416C-AD62-BFD904525450}"/>
    <cellStyle name="Comma 4 7 2 5" xfId="1336" xr:uid="{3B3DBC46-DCD1-4F2E-9AFC-55CD4C5D5271}"/>
    <cellStyle name="Comma 4 7 2 5 2" xfId="2945" xr:uid="{BA87EB84-C581-481A-865D-BE3F02DD56DD}"/>
    <cellStyle name="Comma 4 7 2 5 2 2" xfId="4998" xr:uid="{88EBC3A4-3152-4F2A-8AB1-47CA45B2EC9C}"/>
    <cellStyle name="Comma 4 7 2 5 3" xfId="3672" xr:uid="{A9505E9B-607E-434F-90F4-541F1F5E559D}"/>
    <cellStyle name="Comma 4 7 2 6" xfId="1743" xr:uid="{39DA0D27-B4DB-4628-81BA-7C875F91D856}"/>
    <cellStyle name="Comma 4 7 2 6 2" xfId="4060" xr:uid="{36867404-C384-44A2-93EA-788D2EBDDF5E}"/>
    <cellStyle name="Comma 4 7 2 7" xfId="2301" xr:uid="{DCB80AC3-6027-40A9-B978-312F02BBE3EA}"/>
    <cellStyle name="Comma 4 7 2 7 2" xfId="4463" xr:uid="{40969F82-49BD-4313-8CC0-AE986DE89B30}"/>
    <cellStyle name="Comma 4 7 2 8" xfId="3284" xr:uid="{5942B99D-13BD-42BD-BD90-B7D1CD026652}"/>
    <cellStyle name="Comma 4 7 3" xfId="1014" xr:uid="{78A76C77-856A-494E-956A-0366AED2AA2F}"/>
    <cellStyle name="Comma 4 7 3 2" xfId="1132" xr:uid="{E18D1121-E318-489B-B116-B0057AF87FA1}"/>
    <cellStyle name="Comma 4 7 3 2 2" xfId="1549" xr:uid="{E7D5985B-6A34-4EDA-B0D9-2FA173145BC3}"/>
    <cellStyle name="Comma 4 7 3 2 2 2" xfId="3101" xr:uid="{E3CC94CF-EBF8-4AB6-9ED0-D8B870A0EB4C}"/>
    <cellStyle name="Comma 4 7 3 2 2 2 2" xfId="5150" xr:uid="{73A324DC-3D4B-40D5-A715-87F0BAEFF4A8}"/>
    <cellStyle name="Comma 4 7 3 2 2 3" xfId="3884" xr:uid="{3D36FE7E-4326-4A16-8530-0FB39815F611}"/>
    <cellStyle name="Comma 4 7 3 2 3" xfId="1955" xr:uid="{1FAA1316-D778-4534-87C0-CF013B6C45D3}"/>
    <cellStyle name="Comma 4 7 3 2 3 2" xfId="4272" xr:uid="{66BB5030-9864-4D21-963E-E822E95A4445}"/>
    <cellStyle name="Comma 4 7 3 2 4" xfId="2717" xr:uid="{7FAE8A4F-7E3C-43F7-B6BE-FA5EFD6DB5F9}"/>
    <cellStyle name="Comma 4 7 3 2 4 2" xfId="4787" xr:uid="{74EC411F-F60C-4131-B0B9-523258F4DC78}"/>
    <cellStyle name="Comma 4 7 3 2 5" xfId="3496" xr:uid="{719AD9C3-45BF-486C-BFCD-D2B7D3579FDB}"/>
    <cellStyle name="Comma 4 7 3 3" xfId="1243" xr:uid="{96130342-B4A2-4DA2-868B-B87426FBEC3F}"/>
    <cellStyle name="Comma 4 7 3 3 2" xfId="1654" xr:uid="{5161E14B-1CAE-4995-BEEC-915B4BDA4C8E}"/>
    <cellStyle name="Comma 4 7 3 3 2 2" xfId="3206" xr:uid="{64DF1305-F48F-4726-9180-5B868568599E}"/>
    <cellStyle name="Comma 4 7 3 3 2 2 2" xfId="5255" xr:uid="{75E2C227-8147-487B-B7A7-4158E45BC5F4}"/>
    <cellStyle name="Comma 4 7 3 3 2 3" xfId="3989" xr:uid="{F9B7B303-AF22-4091-9EDB-77A8626DDC4F}"/>
    <cellStyle name="Comma 4 7 3 3 3" xfId="2060" xr:uid="{168A6539-348F-430E-A702-5947B3FB8017}"/>
    <cellStyle name="Comma 4 7 3 3 3 2" xfId="4377" xr:uid="{DF9BB1EA-6A07-4A68-BBBC-5FC67B5603A6}"/>
    <cellStyle name="Comma 4 7 3 3 4" xfId="2793" xr:uid="{89F7C64D-8C51-4221-8188-A5C4B46029F4}"/>
    <cellStyle name="Comma 4 7 3 3 4 2" xfId="4863" xr:uid="{8350EFCE-2F20-4F59-885F-6038C6672477}"/>
    <cellStyle name="Comma 4 7 3 3 5" xfId="3601" xr:uid="{F4FBABBB-22F5-41D4-8F73-CA0C524449F4}"/>
    <cellStyle name="Comma 4 7 3 4" xfId="1444" xr:uid="{D0FD35A1-EB16-4BD5-AB09-AABD6C5ED82C}"/>
    <cellStyle name="Comma 4 7 3 4 2" xfId="2997" xr:uid="{E333C9D2-55FC-4637-BAFC-A3AB99E0DF03}"/>
    <cellStyle name="Comma 4 7 3 4 2 2" xfId="5047" xr:uid="{A697C89F-B723-43D0-8E84-F6B799BC5ED7}"/>
    <cellStyle name="Comma 4 7 3 4 3" xfId="3779" xr:uid="{E3B06F6C-DFB0-419E-9B1E-64DBC898B0AE}"/>
    <cellStyle name="Comma 4 7 3 5" xfId="1850" xr:uid="{BF41046C-3837-48BF-9E12-4DF77F49999A}"/>
    <cellStyle name="Comma 4 7 3 5 2" xfId="4167" xr:uid="{B6B49743-BBCE-4030-AF42-55912D809A33}"/>
    <cellStyle name="Comma 4 7 3 6" xfId="2635" xr:uid="{4F114C2B-1485-46EA-97EC-F2113A77D95A}"/>
    <cellStyle name="Comma 4 7 3 6 2" xfId="4705" xr:uid="{FCF1BA49-377B-447D-AA29-B5299696D2BA}"/>
    <cellStyle name="Comma 4 7 3 7" xfId="3391" xr:uid="{9095397D-BA6A-4495-8CAB-BD41132F9F14}"/>
    <cellStyle name="Comma 4 7 4" xfId="1067" xr:uid="{CE7FD5F9-588F-4DE5-A597-EB8F8AEC52DF}"/>
    <cellStyle name="Comma 4 7 4 2" xfId="1484" xr:uid="{F66EDB8A-28D9-46A4-BFB4-1DC7CCB30FAF}"/>
    <cellStyle name="Comma 4 7 4 2 2" xfId="3036" xr:uid="{E1FBD27F-6032-4097-B23B-9205FD65DC54}"/>
    <cellStyle name="Comma 4 7 4 2 2 2" xfId="5086" xr:uid="{174BD610-360D-4B9E-A1CD-874BF08C820D}"/>
    <cellStyle name="Comma 4 7 4 2 3" xfId="3819" xr:uid="{D375B01E-1762-454F-81DF-4CF15A57C316}"/>
    <cellStyle name="Comma 4 7 4 3" xfId="1890" xr:uid="{B4B729DD-E5A1-4D92-AA9E-3AC9135A2A7F}"/>
    <cellStyle name="Comma 4 7 4 3 2" xfId="4207" xr:uid="{95813FF5-9FDC-4498-A32B-52A75D936E3E}"/>
    <cellStyle name="Comma 4 7 4 4" xfId="2660" xr:uid="{9928F9A8-9108-40EE-8225-CEB979E7F8CE}"/>
    <cellStyle name="Comma 4 7 4 4 2" xfId="4730" xr:uid="{542AE27E-CA58-4D1D-A41A-1635E176B883}"/>
    <cellStyle name="Comma 4 7 4 5" xfId="3431" xr:uid="{D998738C-70CD-4849-A414-12085612A712}"/>
    <cellStyle name="Comma 4 7 5" xfId="1173" xr:uid="{3BC9C5CC-BAEA-4D5C-BFA9-8FBB19A0F902}"/>
    <cellStyle name="Comma 4 7 5 2" xfId="1589" xr:uid="{D8940B3E-608A-4B0F-8E89-3441D242528C}"/>
    <cellStyle name="Comma 4 7 5 2 2" xfId="3141" xr:uid="{D846B7E9-5E7B-47EC-A36E-55AE96CC932C}"/>
    <cellStyle name="Comma 4 7 5 2 2 2" xfId="5190" xr:uid="{25D45D8F-6FA8-44FA-9D8C-223C59B8E6AF}"/>
    <cellStyle name="Comma 4 7 5 2 3" xfId="3924" xr:uid="{47C08A48-6039-43B4-A056-74E5D2E72042}"/>
    <cellStyle name="Comma 4 7 5 3" xfId="1995" xr:uid="{5AEAF1F9-01CD-43D8-802C-CD67FC2F6E89}"/>
    <cellStyle name="Comma 4 7 5 3 2" xfId="4312" xr:uid="{93E47848-E898-406B-BCEE-6C931C643B45}"/>
    <cellStyle name="Comma 4 7 5 4" xfId="2756" xr:uid="{FD970AF2-0E09-421D-B0A6-958D30A0409D}"/>
    <cellStyle name="Comma 4 7 5 4 2" xfId="4826" xr:uid="{723BE51D-2459-43E4-A033-958A285C944A}"/>
    <cellStyle name="Comma 4 7 5 5" xfId="3536" xr:uid="{5C92DEE7-FF4B-4D17-992F-8F32D42BCAB6}"/>
    <cellStyle name="Comma 4 7 6" xfId="923" xr:uid="{7D8949ED-C780-4F3E-A50C-C008AF60AACC}"/>
    <cellStyle name="Comma 4 7 6 2" xfId="1378" xr:uid="{B2209918-9299-41F0-9361-63F8D0420536}"/>
    <cellStyle name="Comma 4 7 6 2 2" xfId="2965" xr:uid="{E721034F-3E17-4EE9-96D2-A2C8D0A96497}"/>
    <cellStyle name="Comma 4 7 6 2 2 2" xfId="5016" xr:uid="{BB5BA6FE-5CEB-4895-A3C5-23F3B1F2596E}"/>
    <cellStyle name="Comma 4 7 6 2 3" xfId="3714" xr:uid="{5CFB4F35-CC09-4106-AEE0-0CA3F7DE6275}"/>
    <cellStyle name="Comma 4 7 6 3" xfId="1785" xr:uid="{F423C999-C03D-4E53-A4BB-387CB4105D2A}"/>
    <cellStyle name="Comma 4 7 6 3 2" xfId="4102" xr:uid="{1265D4AC-D6EF-4463-AB93-697B6D5F60C1}"/>
    <cellStyle name="Comma 4 7 6 4" xfId="2484" xr:uid="{0BF47267-65F5-4B35-9F17-B75C14806F6B}"/>
    <cellStyle name="Comma 4 7 6 4 2" xfId="4576" xr:uid="{3EACA286-7877-4465-8A76-6D7ACCCE597C}"/>
    <cellStyle name="Comma 4 7 6 5" xfId="3326" xr:uid="{4317745F-5103-4AAE-BBF9-7243A7B86517}"/>
    <cellStyle name="Comma 4 7 7" xfId="1282" xr:uid="{AF8CA464-C680-4E70-AEF9-807D5C91D55C}"/>
    <cellStyle name="Comma 4 7 7 2" xfId="3638" xr:uid="{7AA61D62-E7A2-485D-BA99-C7BBE90032F8}"/>
    <cellStyle name="Comma 4 7 8" xfId="1706" xr:uid="{5DA036E0-DDBD-4910-9199-B2D3262DCE98}"/>
    <cellStyle name="Comma 4 7 8 2" xfId="4026" xr:uid="{BF38AE0B-054B-47AA-9E2F-C7902FE36433}"/>
    <cellStyle name="Comma 4 7 9" xfId="2151" xr:uid="{C93517CE-9D60-4C3C-B793-1FCFCC1599E4}"/>
    <cellStyle name="Comma 4 8" xfId="281" xr:uid="{2D7AD604-1721-4487-8C8F-DE0ACE1111D0}"/>
    <cellStyle name="Comma 4 8 2" xfId="2302" xr:uid="{6A554195-6005-4013-AE9B-E8C654F01C2A}"/>
    <cellStyle name="Comma 4 8 3" xfId="2152" xr:uid="{47B0AFBE-7BE1-4AFA-9111-E84930516326}"/>
    <cellStyle name="Comma 4 9" xfId="2202" xr:uid="{46EE885E-9E69-4CCA-93A0-D1312B796393}"/>
    <cellStyle name="Comma 4 9 2" xfId="2232" xr:uid="{67C160B4-5673-488E-8CA5-CD58401DF4B0}"/>
    <cellStyle name="Comma 4 9 2 2" xfId="2424" xr:uid="{FB1C0079-778A-4C3E-9909-37968EC86616}"/>
    <cellStyle name="Comma 4 9 2 2 2" xfId="4525" xr:uid="{C43B0A82-671A-49D4-A912-89C619DC8F68}"/>
    <cellStyle name="Comma 4 9 2 3" xfId="2558" xr:uid="{1FFB5758-A30E-45E3-9A60-52163EFA229F}"/>
    <cellStyle name="Comma 4 9 2 3 2" xfId="4637" xr:uid="{590F493C-8E24-476A-9211-B5F7D3E0D587}"/>
    <cellStyle name="Comma 4 9 2 4" xfId="2923" xr:uid="{B5953067-5708-4B45-AFE8-8CDEC79AC09B}"/>
    <cellStyle name="Comma 4 9 2 4 2" xfId="4977" xr:uid="{19ED77A5-BBBD-4579-9DF2-E9EBBAC8D3BF}"/>
    <cellStyle name="Comma 4 9 2 5" xfId="4453" xr:uid="{BF01309F-D351-48DE-906E-2BC8C8D93680}"/>
    <cellStyle name="Comma 4 9 3" xfId="2303" xr:uid="{09EA98B9-184B-4561-B9D8-9BF9BC2844D0}"/>
    <cellStyle name="Comma 4 9 4" xfId="2396" xr:uid="{10543064-45E5-40CD-8AF5-DAB13A4822BB}"/>
    <cellStyle name="Comma 4 9 4 2" xfId="4497" xr:uid="{23854EEC-07DF-4F92-A9CF-2FA88579E29D}"/>
    <cellStyle name="Comma 4 9 5" xfId="2529" xr:uid="{C7DE3834-2AEF-4938-8380-7AE975E1390B}"/>
    <cellStyle name="Comma 4 9 5 2" xfId="4609" xr:uid="{0371E538-CC2E-4145-B423-C138EECEA2BF}"/>
    <cellStyle name="Comma 4 9 6" xfId="2895" xr:uid="{B9FE5521-02D2-40F9-B505-9ABF393D6040}"/>
    <cellStyle name="Comma 4 9 6 2" xfId="4949" xr:uid="{6F3CB79A-7FE3-41D5-AE73-73005A4CED65}"/>
    <cellStyle name="Comma 4 9 7" xfId="4425" xr:uid="{C52999D2-AB2E-4D7E-BCAE-7E772B20C7F5}"/>
    <cellStyle name="Comma 5" xfId="282" xr:uid="{F4B2A718-7017-4D92-BEEB-ED879CCFB885}"/>
    <cellStyle name="Comma 5 2" xfId="283" xr:uid="{97563C53-6FF2-4C74-8A77-95C7EDFF5C17}"/>
    <cellStyle name="Comma 5 2 2" xfId="284" xr:uid="{5BF0A78B-FF41-46F4-B0E8-F60A07A41BCC}"/>
    <cellStyle name="Comma 5 2 2 2" xfId="285" xr:uid="{66D9C879-65C1-4D62-8350-5591A7628942}"/>
    <cellStyle name="Comma 5 2 3" xfId="286" xr:uid="{79560A48-924B-454C-B5A5-0469E99F7C95}"/>
    <cellStyle name="Comma 5 2 3 2" xfId="287" xr:uid="{6F58B886-7DFB-4BFE-A040-3FA521C97F38}"/>
    <cellStyle name="Comma 5 2 3 3" xfId="288" xr:uid="{AB4A9908-164C-4F77-9119-6EB4056B0AFB}"/>
    <cellStyle name="Comma 5 2 3 3 2" xfId="289" xr:uid="{0D8E0760-B69A-4709-B827-358A70EE5B67}"/>
    <cellStyle name="Comma 5 2 3 4" xfId="290" xr:uid="{E465CC45-B21C-4BEB-BB1E-1DDCED85B42A}"/>
    <cellStyle name="Comma 5 2 3 5" xfId="291" xr:uid="{08DAFD09-BE58-4B26-9112-914D9A56515F}"/>
    <cellStyle name="Comma 5 2 3 6" xfId="292" xr:uid="{7471A097-B2A5-4858-AB51-BC858C5DD765}"/>
    <cellStyle name="Comma 5 2 3 6 2" xfId="2486" xr:uid="{78D8AB30-6F58-4F86-A53E-2D67585EF776}"/>
    <cellStyle name="Comma 5 2 3 6 3" xfId="2304" xr:uid="{9F55A94D-0C58-45D4-8A1F-7D9658CA77F5}"/>
    <cellStyle name="Comma 5 2 3 7" xfId="2305" xr:uid="{991D2FB8-B15B-4989-8F97-FFD94214FAEE}"/>
    <cellStyle name="Comma 5 2 4" xfId="293" xr:uid="{BFE04C25-E537-46F0-A6CA-8A1F43EA226E}"/>
    <cellStyle name="Comma 5 2 4 2" xfId="294" xr:uid="{FEDC2E62-C396-4426-822E-5ECBB5A18355}"/>
    <cellStyle name="Comma 5 2 4 2 2" xfId="2306" xr:uid="{9C71317F-E7A3-432F-9C9A-AB4EC2B86E12}"/>
    <cellStyle name="Comma 5 2 4 2 3" xfId="2153" xr:uid="{9734E5A5-B68F-4AB3-A910-DB357A0E8654}"/>
    <cellStyle name="Comma 5 2 4 3" xfId="295" xr:uid="{AD2E9AF7-10B5-4E0F-9B36-CF97B768AE53}"/>
    <cellStyle name="Comma 5 2 4 4" xfId="296" xr:uid="{3D1F0CFD-D46D-41A0-BE5E-902A0100D43F}"/>
    <cellStyle name="Comma 5 2 4 4 2" xfId="2307" xr:uid="{B891886E-1432-462D-8DE6-D73747E0E67A}"/>
    <cellStyle name="Comma 5 2 4 4 3" xfId="2154" xr:uid="{03B61EF0-0E4A-4C63-BF7C-A61768C6E8AE}"/>
    <cellStyle name="Comma 5 2 5" xfId="297" xr:uid="{72882E03-246F-4B35-95E8-81C1B6346286}"/>
    <cellStyle name="Comma 5 2 5 2" xfId="2581" xr:uid="{E6595B92-9D85-4080-99F9-E786172F931C}"/>
    <cellStyle name="Comma 5 2 5 3" xfId="2308" xr:uid="{0E8FFD3A-0730-4A62-B4C2-A38FE7ED84B4}"/>
    <cellStyle name="Comma 5 3" xfId="298" xr:uid="{5CC9F993-477D-47CB-A259-AB426CBCFD7D}"/>
    <cellStyle name="Comma 5 3 2" xfId="299" xr:uid="{37B42B2A-1D44-4855-ACAE-976265EC4C33}"/>
    <cellStyle name="Comma 5 3 2 2" xfId="300" xr:uid="{991DBD4A-0BBF-4C27-B371-C05C999F9587}"/>
    <cellStyle name="Comma 5 3 2 2 2" xfId="924" xr:uid="{0E85561A-33D8-4747-B5F4-DC13FE5D5898}"/>
    <cellStyle name="Comma 5 3 2 2 2 2" xfId="2468" xr:uid="{4CF42580-F1C5-49B4-B947-AE0584E83645}"/>
    <cellStyle name="Comma 5 3 2 2 2 3" xfId="2155" xr:uid="{AA4A216F-D6CE-4672-BD4A-6C809F1AC305}"/>
    <cellStyle name="Comma 5 3 2 2 3" xfId="886" xr:uid="{D1216F67-D987-4ED5-A3ED-F1F144E285C4}"/>
    <cellStyle name="Comma 5 3 2 2 3 2" xfId="2588" xr:uid="{7B4A47B7-4520-463F-8E97-607F0933C82F}"/>
    <cellStyle name="Comma 5 3 2 2 3 3" xfId="2309" xr:uid="{3E190B34-B6E6-4207-B3FF-31097C5040BB}"/>
    <cellStyle name="Comma 5 3 2 3" xfId="301" xr:uid="{8029E2E5-570F-422B-8293-BBC213E0F8B1}"/>
    <cellStyle name="Comma 5 3 2 4" xfId="302" xr:uid="{2B4A73BB-F9FE-41CE-A108-10867F86A125}"/>
    <cellStyle name="Comma 5 3 2 4 2" xfId="831" xr:uid="{ED065895-45CA-4643-86A2-0719116DF376}"/>
    <cellStyle name="Comma 5 3 2 4 2 2" xfId="2078" xr:uid="{94D998E8-C37A-446C-BAAB-296B4DDC492E}"/>
    <cellStyle name="Comma 5 3 2 5" xfId="2310" xr:uid="{42FA9DE0-31C7-4614-9494-0F412075E9CA}"/>
    <cellStyle name="Comma 5 4" xfId="303" xr:uid="{A9AE4533-5C02-4469-8FCC-A0C244B40710}"/>
    <cellStyle name="Comma 5 4 2" xfId="304" xr:uid="{B0CE4241-2902-44CA-865A-3DAC343FB3B8}"/>
    <cellStyle name="Comma 5 4 2 2" xfId="832" xr:uid="{3A9E7BD1-6E5C-4CE5-8B74-772FAE92E72A}"/>
    <cellStyle name="Comma 5 4 2 2 2" xfId="1068" xr:uid="{3A1B4A9F-C378-434E-93A1-72060720E89D}"/>
    <cellStyle name="Comma 5 4 2 2 2 2" xfId="1485" xr:uid="{2A54AEEB-5E39-41CA-94D9-795E53CD81C2}"/>
    <cellStyle name="Comma 5 4 2 2 2 2 2" xfId="3037" xr:uid="{9E6CD67C-284F-488D-A20F-5904F6A222CB}"/>
    <cellStyle name="Comma 5 4 2 2 2 2 2 2" xfId="5087" xr:uid="{C7AC4841-69CD-4F7A-AB40-C77837B4BFD8}"/>
    <cellStyle name="Comma 5 4 2 2 2 2 3" xfId="3820" xr:uid="{E12DD8D8-6EF8-41D0-9136-BEF4C377704B}"/>
    <cellStyle name="Comma 5 4 2 2 2 3" xfId="1891" xr:uid="{18AEA6B0-49F2-4148-9668-0AF3CD294645}"/>
    <cellStyle name="Comma 5 4 2 2 2 3 2" xfId="4208" xr:uid="{D7745F26-8DB9-420D-81BD-13A182582A6D}"/>
    <cellStyle name="Comma 5 4 2 2 2 4" xfId="2661" xr:uid="{B1D2BC06-8E77-414F-B8FA-6C64538CC343}"/>
    <cellStyle name="Comma 5 4 2 2 2 4 2" xfId="4731" xr:uid="{AC8AD42C-0004-4889-96B2-D2336A61832E}"/>
    <cellStyle name="Comma 5 4 2 2 2 5" xfId="3432" xr:uid="{749F40C5-2C54-4FD9-A28D-8B19597813A5}"/>
    <cellStyle name="Comma 5 4 2 2 3" xfId="1174" xr:uid="{BE7CF557-699F-44AF-8FA9-77FF8BA59C6F}"/>
    <cellStyle name="Comma 5 4 2 2 3 2" xfId="1590" xr:uid="{475199CE-F60B-4BD1-B237-94C2C71C47EA}"/>
    <cellStyle name="Comma 5 4 2 2 3 2 2" xfId="3142" xr:uid="{F361C25B-B517-48E9-9F2F-164F1F12730A}"/>
    <cellStyle name="Comma 5 4 2 2 3 2 2 2" xfId="5191" xr:uid="{9CAED4C2-0043-4414-84A5-BC5D80E643D8}"/>
    <cellStyle name="Comma 5 4 2 2 3 2 3" xfId="3925" xr:uid="{2A89360E-17E8-4278-9123-3C38B352E0CE}"/>
    <cellStyle name="Comma 5 4 2 2 3 3" xfId="1996" xr:uid="{1FFC4C2C-852A-4480-86B5-7F08433ED147}"/>
    <cellStyle name="Comma 5 4 2 2 3 3 2" xfId="4313" xr:uid="{1812C188-100A-4B6B-91B2-6A234151A88B}"/>
    <cellStyle name="Comma 5 4 2 2 3 4" xfId="2757" xr:uid="{F7B8E34C-41BC-4CFD-9641-2ECB57CFF3C6}"/>
    <cellStyle name="Comma 5 4 2 2 3 4 2" xfId="4827" xr:uid="{CD05CD14-79BC-444A-B7F3-913146DC1D76}"/>
    <cellStyle name="Comma 5 4 2 2 3 5" xfId="3537" xr:uid="{748904EB-477E-4ACC-A405-737B77111ADF}"/>
    <cellStyle name="Comma 5 4 2 2 4" xfId="925" xr:uid="{0C2ADCBA-DB85-4382-8539-78D6E0411EA7}"/>
    <cellStyle name="Comma 5 4 2 2 4 2" xfId="1379" xr:uid="{3BC4CF27-145D-4273-B76C-AE48D4FD868F}"/>
    <cellStyle name="Comma 5 4 2 2 4 2 2" xfId="2890" xr:uid="{48FEF5CC-78F3-4AF5-854D-DE2F1B65E1AD}"/>
    <cellStyle name="Comma 5 4 2 2 4 2 2 2" xfId="4944" xr:uid="{C0AF1926-E9AA-4E9C-9486-2ABEA1A1EC6B}"/>
    <cellStyle name="Comma 5 4 2 2 4 2 3" xfId="3715" xr:uid="{D55275E5-A629-4B15-8282-957FA1D12783}"/>
    <cellStyle name="Comma 5 4 2 2 4 3" xfId="1786" xr:uid="{EB153CF3-BCA2-4BF8-8578-FDB38F62B928}"/>
    <cellStyle name="Comma 5 4 2 2 4 3 2" xfId="4103" xr:uid="{628DC66E-59F5-48AF-9CA8-47210ABF6B0F}"/>
    <cellStyle name="Comma 5 4 2 2 4 4" xfId="2595" xr:uid="{DD6C9109-5568-48FF-A4E3-2C3EEA33B255}"/>
    <cellStyle name="Comma 5 4 2 2 4 4 2" xfId="4666" xr:uid="{88EB43BC-F420-4184-997D-CE4361C63449}"/>
    <cellStyle name="Comma 5 4 2 2 4 5" xfId="3327" xr:uid="{15E80A7F-F0BC-4E21-9627-75BC8BC13702}"/>
    <cellStyle name="Comma 5 4 2 2 5" xfId="1337" xr:uid="{5B356FE8-F12A-49D4-B1D8-AEF90553670A}"/>
    <cellStyle name="Comma 5 4 2 2 5 2" xfId="2462" xr:uid="{AE27DFDF-A83A-4B99-9811-DA96C128F1EF}"/>
    <cellStyle name="Comma 5 4 2 2 5 2 2" xfId="4558" xr:uid="{765ABFB2-08DF-416A-8302-888C7751A922}"/>
    <cellStyle name="Comma 5 4 2 2 5 3" xfId="3673" xr:uid="{E8881EA7-24D6-41D5-9734-B40775E72E47}"/>
    <cellStyle name="Comma 5 4 2 2 6" xfId="1744" xr:uid="{81F4F4FE-0EB3-4CF8-A375-17FA26F36423}"/>
    <cellStyle name="Comma 5 4 2 2 6 2" xfId="2863" xr:uid="{D968711C-315C-4A35-804D-43B36626F085}"/>
    <cellStyle name="Comma 5 4 2 2 6 2 2" xfId="4919" xr:uid="{DA47B1C8-ECD8-4CE3-BF1B-A60777F003D8}"/>
    <cellStyle name="Comma 5 4 2 2 6 3" xfId="4061" xr:uid="{A65F8762-E941-4F6E-912B-5E335FDAE261}"/>
    <cellStyle name="Comma 5 4 2 2 7" xfId="2156" xr:uid="{BA4C1D51-5296-4DF1-BDC9-98783DA001D1}"/>
    <cellStyle name="Comma 5 4 2 2 8" xfId="3285" xr:uid="{CE6B3504-A1CB-40C0-8AF7-779CDED9AAE9}"/>
    <cellStyle name="Comma 5 4 2 3" xfId="976" xr:uid="{921A0515-27F7-4574-830E-BFB14DCDE94C}"/>
    <cellStyle name="Comma 5 4 2 3 2" xfId="1099" xr:uid="{E6683B04-03F0-4D07-859F-4C18CF81F8F0}"/>
    <cellStyle name="Comma 5 4 2 3 2 2" xfId="1516" xr:uid="{08B462AA-A6B1-4E86-8247-74E831C1536F}"/>
    <cellStyle name="Comma 5 4 2 3 2 2 2" xfId="2685" xr:uid="{C264910C-C0D4-4EFA-A141-4C1AEE4544A2}"/>
    <cellStyle name="Comma 5 4 2 3 2 2 2 2" xfId="4755" xr:uid="{7BCF73D9-10C0-4BF0-AFFB-544429B48048}"/>
    <cellStyle name="Comma 5 4 2 3 2 2 3" xfId="3851" xr:uid="{220008B2-A4E0-4102-A25C-76844FA90694}"/>
    <cellStyle name="Comma 5 4 2 3 2 3" xfId="1922" xr:uid="{55A3C7C5-5484-4DE2-A996-CBA37794041C}"/>
    <cellStyle name="Comma 5 4 2 3 2 3 2" xfId="3068" xr:uid="{52A8CBCA-7C0D-43D9-B19F-33A710A06B8F}"/>
    <cellStyle name="Comma 5 4 2 3 2 3 2 2" xfId="5117" xr:uid="{ABC71CBD-88D9-418A-A355-5FCDBC4B2B8A}"/>
    <cellStyle name="Comma 5 4 2 3 2 3 3" xfId="4239" xr:uid="{4E2C6006-4ABD-42AD-82F8-B50277A10CEC}"/>
    <cellStyle name="Comma 5 4 2 3 2 4" xfId="2435" xr:uid="{9E5DA0DF-D4B5-437B-A0EE-44BCC1666B3E}"/>
    <cellStyle name="Comma 5 4 2 3 2 4 2" xfId="4536" xr:uid="{FB32A1C9-8FB8-4E8F-BA3D-0D5F43779A3B}"/>
    <cellStyle name="Comma 5 4 2 3 2 5" xfId="3463" xr:uid="{75513BD9-CC96-4C40-BC05-311DA3941EA8}"/>
    <cellStyle name="Comma 5 4 2 3 3" xfId="1206" xr:uid="{C264288C-0186-4695-94D0-2AEB4296E5D2}"/>
    <cellStyle name="Comma 5 4 2 3 3 2" xfId="1621" xr:uid="{E8EBBD9D-5A46-4275-AF9B-16721A4FEC0E}"/>
    <cellStyle name="Comma 5 4 2 3 3 2 2" xfId="3173" xr:uid="{1E4F88D6-2ABB-4062-8CCB-3EEA0CD4F679}"/>
    <cellStyle name="Comma 5 4 2 3 3 2 2 2" xfId="5222" xr:uid="{AAB1C218-A847-4282-9FDF-625363C169A1}"/>
    <cellStyle name="Comma 5 4 2 3 3 2 3" xfId="3956" xr:uid="{F1EA03B9-8A7C-4CBC-BDCB-9F4FC21B63CA}"/>
    <cellStyle name="Comma 5 4 2 3 3 3" xfId="2027" xr:uid="{8DA54238-8D8A-4EEE-A596-4E0444CFC11D}"/>
    <cellStyle name="Comma 5 4 2 3 3 3 2" xfId="4344" xr:uid="{68FEBE1F-4E06-4592-819C-7686E36C5778}"/>
    <cellStyle name="Comma 5 4 2 3 3 4" xfId="2577" xr:uid="{3FD286BB-BA42-4793-BAA7-C118CD728C86}"/>
    <cellStyle name="Comma 5 4 2 3 3 4 2" xfId="4653" xr:uid="{72362190-6E9E-4ACE-A094-EA658E187F52}"/>
    <cellStyle name="Comma 5 4 2 3 3 5" xfId="3568" xr:uid="{D5BAAB98-ECEA-41AD-97DF-BB4A7A54D97E}"/>
    <cellStyle name="Comma 5 4 2 3 4" xfId="1411" xr:uid="{BDF0CE49-A94E-40EE-901E-E0E6840767BC}"/>
    <cellStyle name="Comma 5 4 2 3 4 2" xfId="2946" xr:uid="{90775B13-2751-4EB2-9189-2ED3ACE92EE9}"/>
    <cellStyle name="Comma 5 4 2 3 4 2 2" xfId="4999" xr:uid="{B09C506E-C09D-48D8-B3B6-C69391FFDB33}"/>
    <cellStyle name="Comma 5 4 2 3 4 3" xfId="3746" xr:uid="{A1BD3EF6-E957-4056-8122-E9FEF8382D7E}"/>
    <cellStyle name="Comma 5 4 2 3 5" xfId="1817" xr:uid="{C15D1005-49B0-40DA-9309-D66BAD205206}"/>
    <cellStyle name="Comma 5 4 2 3 5 2" xfId="4134" xr:uid="{E874A09E-B7EA-49BC-B2ED-92A551F6F4C8}"/>
    <cellStyle name="Comma 5 4 2 3 6" xfId="2311" xr:uid="{08BC618A-37D2-45DC-996D-E1235EA32282}"/>
    <cellStyle name="Comma 5 4 2 3 6 2" xfId="4464" xr:uid="{8D7EFF21-27E9-4322-ABBC-29E1AD6AABF2}"/>
    <cellStyle name="Comma 5 4 2 3 7" xfId="3358" xr:uid="{05546427-9CE3-46E5-9D8D-9962219A7C7F}"/>
    <cellStyle name="Comma 5 4 2 4" xfId="1015" xr:uid="{083381FA-3243-4777-9E38-97D68163A942}"/>
    <cellStyle name="Comma 5 4 2 4 2" xfId="1133" xr:uid="{42917AE6-BCA3-47F6-BD5B-95D66F86AB39}"/>
    <cellStyle name="Comma 5 4 2 4 2 2" xfId="1550" xr:uid="{4B4F5C74-45A2-479B-815A-E38E3CB8754E}"/>
    <cellStyle name="Comma 5 4 2 4 2 2 2" xfId="3102" xr:uid="{1F44B73F-7061-48A1-8A6E-46ABDAD6DD68}"/>
    <cellStyle name="Comma 5 4 2 4 2 2 2 2" xfId="5151" xr:uid="{5FCF7657-591F-45BD-BC2D-A93A5DE4C26D}"/>
    <cellStyle name="Comma 5 4 2 4 2 2 3" xfId="3885" xr:uid="{1B4371AC-7659-40EB-BD53-1B4AFAC2A570}"/>
    <cellStyle name="Comma 5 4 2 4 2 3" xfId="1956" xr:uid="{76AB3C4C-C3E7-4C35-A878-2459091FC615}"/>
    <cellStyle name="Comma 5 4 2 4 2 3 2" xfId="4273" xr:uid="{88C08459-493F-414F-B6C6-F13419B0C29A}"/>
    <cellStyle name="Comma 5 4 2 4 2 4" xfId="2718" xr:uid="{88CD38DF-3A5E-4E4E-8E41-5A1CF2A78CD6}"/>
    <cellStyle name="Comma 5 4 2 4 2 4 2" xfId="4788" xr:uid="{6D2F3110-F0A5-4976-AD2D-1E44F108361A}"/>
    <cellStyle name="Comma 5 4 2 4 2 5" xfId="3497" xr:uid="{99E70720-5E20-49A3-B614-5E49112A644D}"/>
    <cellStyle name="Comma 5 4 2 4 3" xfId="1244" xr:uid="{41B932CB-BD92-4E2B-9A34-DAFC68292F04}"/>
    <cellStyle name="Comma 5 4 2 4 3 2" xfId="1655" xr:uid="{A6442642-BCFB-4181-ABF9-C879CEE57611}"/>
    <cellStyle name="Comma 5 4 2 4 3 2 2" xfId="3207" xr:uid="{807A4417-C8E5-4340-B830-C2EC49C9F203}"/>
    <cellStyle name="Comma 5 4 2 4 3 2 2 2" xfId="5256" xr:uid="{0088631B-5DE9-44D7-92DE-02A3E64E9B64}"/>
    <cellStyle name="Comma 5 4 2 4 3 2 3" xfId="3990" xr:uid="{B8AD3BAF-F6F0-479B-8353-0A5DECC16D3E}"/>
    <cellStyle name="Comma 5 4 2 4 3 3" xfId="2061" xr:uid="{9F41FB95-96C5-4FC0-A120-D15116D4C298}"/>
    <cellStyle name="Comma 5 4 2 4 3 3 2" xfId="4378" xr:uid="{8F4E8CE1-6EEB-462A-A30A-787EBAA1F6D2}"/>
    <cellStyle name="Comma 5 4 2 4 3 4" xfId="2794" xr:uid="{268C37B6-7EA0-4A83-B5C6-41625BC659B6}"/>
    <cellStyle name="Comma 5 4 2 4 3 4 2" xfId="4864" xr:uid="{50E77FB8-64E1-42E3-A4E3-F744763729B1}"/>
    <cellStyle name="Comma 5 4 2 4 3 5" xfId="3602" xr:uid="{AC9AFA23-D105-41C9-9E01-61D027462E1A}"/>
    <cellStyle name="Comma 5 4 2 4 4" xfId="1445" xr:uid="{A7576B58-8A48-4C93-93ED-EA13E899506B}"/>
    <cellStyle name="Comma 5 4 2 4 4 2" xfId="2998" xr:uid="{64066674-2AF5-494B-86D1-5E69372B746A}"/>
    <cellStyle name="Comma 5 4 2 4 4 2 2" xfId="5048" xr:uid="{EEECD7EA-E350-4708-B94D-B738C23C9D63}"/>
    <cellStyle name="Comma 5 4 2 4 4 3" xfId="3780" xr:uid="{6903DDC0-9180-45CD-AC57-ED84C00A3C25}"/>
    <cellStyle name="Comma 5 4 2 4 5" xfId="1851" xr:uid="{AE9DDA20-CB96-42FD-A146-686114FCF2E8}"/>
    <cellStyle name="Comma 5 4 2 4 5 2" xfId="4168" xr:uid="{F8E9112A-28CB-4800-A1FE-7E386F9D4802}"/>
    <cellStyle name="Comma 5 4 2 4 6" xfId="2636" xr:uid="{4A847130-791E-4F83-AB94-48D454BC029F}"/>
    <cellStyle name="Comma 5 4 2 4 6 2" xfId="4706" xr:uid="{D1746674-EAFC-44AB-BBC2-A3BEB685D184}"/>
    <cellStyle name="Comma 5 4 2 4 7" xfId="3392" xr:uid="{9F08C29E-905F-41B8-A75E-3077A085D8E6}"/>
    <cellStyle name="Comma 5 4 2 5" xfId="887" xr:uid="{A3ED8E1D-576A-47DF-9F4D-EC95BCFB4731}"/>
    <cellStyle name="Comma 5 4 2 6" xfId="1283" xr:uid="{FE99FC60-EA7D-4FDF-8ED3-4B1120BFDD23}"/>
    <cellStyle name="Comma 5 4 2 6 2" xfId="3639" xr:uid="{0329A1CA-7107-408E-852D-25B6187959EF}"/>
    <cellStyle name="Comma 5 4 2 7" xfId="1707" xr:uid="{AE0D18F9-DF37-4016-954C-629A4B6160F5}"/>
    <cellStyle name="Comma 5 4 2 7 2" xfId="4027" xr:uid="{47B124BD-1A8E-4213-9334-5F5342717A5A}"/>
    <cellStyle name="Comma 5 4 2 8" xfId="3251" xr:uid="{6D77B10A-3769-4A70-821F-F44E54DB24F6}"/>
    <cellStyle name="Comma 5 4 3" xfId="305" xr:uid="{D31075FA-51EE-4EFE-94D7-F31EA3B447D6}"/>
    <cellStyle name="Comma 5 4 4" xfId="306" xr:uid="{446D8E6C-48D0-4406-912D-CCF3A9992299}"/>
    <cellStyle name="Comma 5 4 4 10" xfId="3252" xr:uid="{4F633643-CB95-4800-B555-3A4A96A7B178}"/>
    <cellStyle name="Comma 5 4 4 2" xfId="833" xr:uid="{95CBF846-05EA-4B3D-A08B-2028D1F5D81B}"/>
    <cellStyle name="Comma 5 4 4 2 2" xfId="1100" xr:uid="{E182E484-A8B6-40C3-B24C-337D6EC4AE83}"/>
    <cellStyle name="Comma 5 4 4 2 2 2" xfId="1517" xr:uid="{87371727-BE49-4252-B920-57E2B5BF881D}"/>
    <cellStyle name="Comma 5 4 4 2 2 2 2" xfId="2686" xr:uid="{D4F0517F-7262-45EE-BBA8-F4E9A679E6C3}"/>
    <cellStyle name="Comma 5 4 4 2 2 2 2 2" xfId="4756" xr:uid="{0DF66164-5C7A-41EF-8F50-AA03E0C6B972}"/>
    <cellStyle name="Comma 5 4 4 2 2 2 3" xfId="3852" xr:uid="{2529E6B8-318D-46BB-AE76-A642949CD87B}"/>
    <cellStyle name="Comma 5 4 4 2 2 3" xfId="1923" xr:uid="{AFDA9086-379A-4838-981A-0E0BBD315253}"/>
    <cellStyle name="Comma 5 4 4 2 2 3 2" xfId="3069" xr:uid="{614465D2-EB80-4E61-B78D-373087A7058C}"/>
    <cellStyle name="Comma 5 4 4 2 2 3 2 2" xfId="5118" xr:uid="{99E01D46-EB00-4177-94DB-89EDB67EA5F5}"/>
    <cellStyle name="Comma 5 4 4 2 2 3 3" xfId="4240" xr:uid="{F0391EA2-16C5-439F-A8F6-CCABD6B572E7}"/>
    <cellStyle name="Comma 5 4 4 2 2 4" xfId="2436" xr:uid="{12BDF471-3473-4C53-BA48-37AB3DF70560}"/>
    <cellStyle name="Comma 5 4 4 2 2 4 2" xfId="4537" xr:uid="{BB97DA18-8860-43D5-ADDC-CB302D27121A}"/>
    <cellStyle name="Comma 5 4 4 2 2 5" xfId="3464" xr:uid="{3B7795A0-E662-4B1D-B842-E8A454F7D344}"/>
    <cellStyle name="Comma 5 4 4 2 3" xfId="1207" xr:uid="{D2751F75-4A45-4507-9C1C-B14A4599D2B0}"/>
    <cellStyle name="Comma 5 4 4 2 3 2" xfId="1622" xr:uid="{143E0928-6471-4A02-A6D0-856690770BEB}"/>
    <cellStyle name="Comma 5 4 4 2 3 2 2" xfId="3174" xr:uid="{FA4BD030-EBDA-4B15-97E3-3EDF3D5C4E5A}"/>
    <cellStyle name="Comma 5 4 4 2 3 2 2 2" xfId="5223" xr:uid="{C8C76CF2-92DE-4A02-962B-511AF7E49DA9}"/>
    <cellStyle name="Comma 5 4 4 2 3 2 3" xfId="3957" xr:uid="{DF49827C-C3D6-40D0-A3C5-37C6EC54BA08}"/>
    <cellStyle name="Comma 5 4 4 2 3 3" xfId="2028" xr:uid="{629B607E-7D59-4CFF-8E4E-18A927B1475E}"/>
    <cellStyle name="Comma 5 4 4 2 3 3 2" xfId="4345" xr:uid="{05140A9F-7389-4B3C-822A-689FDD20EA93}"/>
    <cellStyle name="Comma 5 4 4 2 3 4" xfId="2578" xr:uid="{DC3EB283-0F0D-4D1C-952F-1F42D222DDC3}"/>
    <cellStyle name="Comma 5 4 4 2 3 4 2" xfId="4654" xr:uid="{FABC0A84-6221-4C17-90C6-B3E0587702D2}"/>
    <cellStyle name="Comma 5 4 4 2 3 5" xfId="3569" xr:uid="{E5895502-E769-4934-B611-82A8F01AB213}"/>
    <cellStyle name="Comma 5 4 4 2 4" xfId="977" xr:uid="{7CC1E987-C2C0-462E-9EEB-B3DEC18BB1CC}"/>
    <cellStyle name="Comma 5 4 4 2 4 2" xfId="1412" xr:uid="{08EFFC4A-8ABF-4165-BB0E-2032BBE61B69}"/>
    <cellStyle name="Comma 5 4 4 2 4 2 2" xfId="2954" xr:uid="{305C1EA7-9CA0-4426-8284-CCA9196CF8C8}"/>
    <cellStyle name="Comma 5 4 4 2 4 2 2 2" xfId="5006" xr:uid="{857F37E4-F59A-4680-981C-B6136275665A}"/>
    <cellStyle name="Comma 5 4 4 2 4 2 3" xfId="3747" xr:uid="{9D494AD6-0250-4F71-9BF1-EA2FA59A8013}"/>
    <cellStyle name="Comma 5 4 4 2 4 3" xfId="1818" xr:uid="{789AD74E-E765-475F-A656-29EAFDF503CD}"/>
    <cellStyle name="Comma 5 4 4 2 4 3 2" xfId="4135" xr:uid="{797F37A4-DF6D-46E8-881B-ED6A9D5AAB58}"/>
    <cellStyle name="Comma 5 4 4 2 4 4" xfId="2608" xr:uid="{4B6BB7E2-1DE4-40DD-A424-8A3AB8C0451A}"/>
    <cellStyle name="Comma 5 4 4 2 4 4 2" xfId="4678" xr:uid="{CA77843D-3F4D-41BA-B229-778D8EC6118C}"/>
    <cellStyle name="Comma 5 4 4 2 4 5" xfId="3359" xr:uid="{61171262-5921-4316-AFED-F2A6BD79F01C}"/>
    <cellStyle name="Comma 5 4 4 2 5" xfId="1338" xr:uid="{BB745F65-BA5F-4E78-BB41-3B2D83ACD27A}"/>
    <cellStyle name="Comma 5 4 4 2 5 2" xfId="2947" xr:uid="{658E5AD7-64C7-40D2-B8C3-A8ECC9EC703A}"/>
    <cellStyle name="Comma 5 4 4 2 5 2 2" xfId="5000" xr:uid="{DAAEC33E-7816-41F6-9AB3-A3BD4F2E898F}"/>
    <cellStyle name="Comma 5 4 4 2 5 3" xfId="3674" xr:uid="{B2291352-8962-4325-B099-1802DD877F63}"/>
    <cellStyle name="Comma 5 4 4 2 6" xfId="1745" xr:uid="{66BC2F48-5ED2-43BE-9194-A1E9CD9849F4}"/>
    <cellStyle name="Comma 5 4 4 2 6 2" xfId="4062" xr:uid="{27E54EF0-6110-42B8-A11B-FAF0BBE9FEED}"/>
    <cellStyle name="Comma 5 4 4 2 7" xfId="2312" xr:uid="{89DAD24C-D90F-40F9-AC6D-8237033F6799}"/>
    <cellStyle name="Comma 5 4 4 2 7 2" xfId="4465" xr:uid="{59F7CF56-821E-462B-9183-0B4E3D0F2471}"/>
    <cellStyle name="Comma 5 4 4 2 8" xfId="3286" xr:uid="{392FB684-E110-4DC5-8904-E57CFFC8065B}"/>
    <cellStyle name="Comma 5 4 4 3" xfId="1016" xr:uid="{B5A912C6-5B46-4FD1-877F-6F739792E9EE}"/>
    <cellStyle name="Comma 5 4 4 3 2" xfId="1134" xr:uid="{20CEB9B5-E767-4CAA-A62C-46F384006C77}"/>
    <cellStyle name="Comma 5 4 4 3 2 2" xfId="1551" xr:uid="{19E2AD73-0F15-4B1A-9D65-5ADFBC3070CF}"/>
    <cellStyle name="Comma 5 4 4 3 2 2 2" xfId="3103" xr:uid="{2F5D35FD-D94A-4D4F-8F0A-B56C6DD9C847}"/>
    <cellStyle name="Comma 5 4 4 3 2 2 2 2" xfId="5152" xr:uid="{13EFAED0-7817-4068-A829-70C219E70877}"/>
    <cellStyle name="Comma 5 4 4 3 2 2 3" xfId="3886" xr:uid="{B2543D9D-296B-4B62-8B01-F6A8F052FE11}"/>
    <cellStyle name="Comma 5 4 4 3 2 3" xfId="1957" xr:uid="{3C2FC53D-6FA9-4898-864D-F4B25C9D2E57}"/>
    <cellStyle name="Comma 5 4 4 3 2 3 2" xfId="4274" xr:uid="{AF8A1A03-FA01-412D-B1DD-9BE0FE094300}"/>
    <cellStyle name="Comma 5 4 4 3 2 4" xfId="2719" xr:uid="{78EE1D17-CC2D-4C9E-992C-DAD5CD20F7A5}"/>
    <cellStyle name="Comma 5 4 4 3 2 4 2" xfId="4789" xr:uid="{8270C5B8-D2E6-4581-85DE-863C83FD7631}"/>
    <cellStyle name="Comma 5 4 4 3 2 5" xfId="3498" xr:uid="{BDD6A4CC-9BF4-4397-8485-FEA667243F12}"/>
    <cellStyle name="Comma 5 4 4 3 3" xfId="1245" xr:uid="{ED4DE377-32F6-4B30-AC54-CE19DF4B9118}"/>
    <cellStyle name="Comma 5 4 4 3 3 2" xfId="1656" xr:uid="{3B50785F-7FE6-493D-B90B-853C8F19A2FE}"/>
    <cellStyle name="Comma 5 4 4 3 3 2 2" xfId="3208" xr:uid="{A171898D-2474-4A2D-9A05-75E018520342}"/>
    <cellStyle name="Comma 5 4 4 3 3 2 2 2" xfId="5257" xr:uid="{DC2D5F31-93DC-4F3D-BAA0-32DE1CDD74CC}"/>
    <cellStyle name="Comma 5 4 4 3 3 2 3" xfId="3991" xr:uid="{A66E271C-87DC-4AE2-B514-6E4B118B71E1}"/>
    <cellStyle name="Comma 5 4 4 3 3 3" xfId="2062" xr:uid="{BF28AB16-58C9-4985-95FA-A1A3A5575762}"/>
    <cellStyle name="Comma 5 4 4 3 3 3 2" xfId="4379" xr:uid="{DAC5D89A-02F0-40AB-8028-FFF24AC5EB10}"/>
    <cellStyle name="Comma 5 4 4 3 3 4" xfId="2795" xr:uid="{ADFBE0DF-94E5-44F3-9D2E-401F679F576C}"/>
    <cellStyle name="Comma 5 4 4 3 3 4 2" xfId="4865" xr:uid="{45CCF064-6B54-470B-A12A-2895DC5CD33A}"/>
    <cellStyle name="Comma 5 4 4 3 3 5" xfId="3603" xr:uid="{B78EE30E-0858-48DF-B02B-6D83CA3ABAFB}"/>
    <cellStyle name="Comma 5 4 4 3 4" xfId="1446" xr:uid="{43B499CA-778F-4C6D-8741-26FC02F1F515}"/>
    <cellStyle name="Comma 5 4 4 3 4 2" xfId="2999" xr:uid="{BF2D5A5B-2946-418C-8665-3743B652FCD9}"/>
    <cellStyle name="Comma 5 4 4 3 4 2 2" xfId="5049" xr:uid="{B7E3CAFC-DE5C-4941-B69E-A3D7A9853BDC}"/>
    <cellStyle name="Comma 5 4 4 3 4 3" xfId="3781" xr:uid="{99DBF12F-ACB5-4D1F-9923-E3CD014A5950}"/>
    <cellStyle name="Comma 5 4 4 3 5" xfId="1852" xr:uid="{1F40FEB2-DD17-4E84-80E8-BF995E05C694}"/>
    <cellStyle name="Comma 5 4 4 3 5 2" xfId="4169" xr:uid="{2C61697A-EB58-483E-B613-371619727A76}"/>
    <cellStyle name="Comma 5 4 4 3 6" xfId="2637" xr:uid="{4FB0EBF4-9528-457F-B53E-3FF1F2DCB230}"/>
    <cellStyle name="Comma 5 4 4 3 6 2" xfId="4707" xr:uid="{A03B68AE-C9C6-4A64-87C5-EB8D3EBF5EB8}"/>
    <cellStyle name="Comma 5 4 4 3 7" xfId="3393" xr:uid="{0D6B46AB-7E10-41F7-8ADC-501F8E302172}"/>
    <cellStyle name="Comma 5 4 4 4" xfId="1069" xr:uid="{6F605882-9EBA-4C56-8119-495C389A7541}"/>
    <cellStyle name="Comma 5 4 4 4 2" xfId="1486" xr:uid="{A27D1E9D-760B-4EFB-AE51-1A064A332F03}"/>
    <cellStyle name="Comma 5 4 4 4 2 2" xfId="3038" xr:uid="{2B3D2351-9A1B-49DA-BFCA-F9CE3ACB3DD4}"/>
    <cellStyle name="Comma 5 4 4 4 2 2 2" xfId="5088" xr:uid="{4CD316DF-F82B-4D8F-B800-5B2C1D21859C}"/>
    <cellStyle name="Comma 5 4 4 4 2 3" xfId="3821" xr:uid="{BEB42824-DFE9-41BA-A505-D796C5F85AA2}"/>
    <cellStyle name="Comma 5 4 4 4 3" xfId="1892" xr:uid="{F7D6B723-22EB-46AD-BB11-756CDBC58FA0}"/>
    <cellStyle name="Comma 5 4 4 4 3 2" xfId="4209" xr:uid="{57B8D5CF-6212-40EA-B56A-5AA949E31453}"/>
    <cellStyle name="Comma 5 4 4 4 4" xfId="2662" xr:uid="{7FAAFE93-462A-40AC-A7EB-4E162E1B5493}"/>
    <cellStyle name="Comma 5 4 4 4 4 2" xfId="4732" xr:uid="{0EE5E21D-3BEA-4620-A6E9-929B7BD5E1B6}"/>
    <cellStyle name="Comma 5 4 4 4 5" xfId="3433" xr:uid="{CF157E0B-A594-49AC-B41C-47ADFBBB9C00}"/>
    <cellStyle name="Comma 5 4 4 5" xfId="1175" xr:uid="{4F0FAC06-6F89-4E71-83CD-E90E53D1602F}"/>
    <cellStyle name="Comma 5 4 4 5 2" xfId="1591" xr:uid="{AC96FD53-24A6-4A35-9763-96214696151E}"/>
    <cellStyle name="Comma 5 4 4 5 2 2" xfId="3143" xr:uid="{4B067626-9621-4888-BE17-84B47EB23644}"/>
    <cellStyle name="Comma 5 4 4 5 2 2 2" xfId="5192" xr:uid="{0DCF8D3E-83C7-4E60-A420-D76274C1FC01}"/>
    <cellStyle name="Comma 5 4 4 5 2 3" xfId="3926" xr:uid="{93540C58-99B8-4536-BFA0-11611055A9E2}"/>
    <cellStyle name="Comma 5 4 4 5 3" xfId="1997" xr:uid="{5A7D7116-76C5-426A-B53B-AC6F6BB8DF1F}"/>
    <cellStyle name="Comma 5 4 4 5 3 2" xfId="4314" xr:uid="{2BF116D4-9A02-46E7-B5ED-34A75D440269}"/>
    <cellStyle name="Comma 5 4 4 5 4" xfId="2758" xr:uid="{ECA8CD58-88D3-4540-A377-4AE29734D118}"/>
    <cellStyle name="Comma 5 4 4 5 4 2" xfId="4828" xr:uid="{D6DEAE66-3826-4E9B-A0DA-C2D908A52031}"/>
    <cellStyle name="Comma 5 4 4 5 5" xfId="3538" xr:uid="{A241757F-866B-4662-9B39-E2B26B8F4D33}"/>
    <cellStyle name="Comma 5 4 4 6" xfId="926" xr:uid="{0AB7C945-A8E1-4F48-84E8-A3D9487B94D1}"/>
    <cellStyle name="Comma 5 4 4 6 2" xfId="1380" xr:uid="{DD8C9505-824A-4DFC-A6FB-1F1C01FF6DDB}"/>
    <cellStyle name="Comma 5 4 4 6 2 2" xfId="2971" xr:uid="{70B18B9D-4CAC-4205-BA12-F83C51165D97}"/>
    <cellStyle name="Comma 5 4 4 6 2 2 2" xfId="5021" xr:uid="{5BC35DA0-C411-41D9-9173-FE2B096C6899}"/>
    <cellStyle name="Comma 5 4 4 6 2 3" xfId="3716" xr:uid="{C8CF90FF-7678-4803-A584-AF1146A22F73}"/>
    <cellStyle name="Comma 5 4 4 6 3" xfId="1787" xr:uid="{F9C81821-E125-4359-935E-78A648918B67}"/>
    <cellStyle name="Comma 5 4 4 6 3 2" xfId="4104" xr:uid="{0B06FD47-BAD4-42C3-8A3E-FA08F6E50A45}"/>
    <cellStyle name="Comma 5 4 4 6 4" xfId="2469" xr:uid="{F7B217AE-D5D6-4730-9002-BE760BF4C33F}"/>
    <cellStyle name="Comma 5 4 4 6 4 2" xfId="4563" xr:uid="{7DC82D53-41B7-4EB3-B8B7-2C1F7F3D1031}"/>
    <cellStyle name="Comma 5 4 4 6 5" xfId="3328" xr:uid="{7C4FBA60-F3E2-44A7-A57F-C23010B27B24}"/>
    <cellStyle name="Comma 5 4 4 7" xfId="1284" xr:uid="{87222D31-E9D2-49C3-80C6-3ED7187508D0}"/>
    <cellStyle name="Comma 5 4 4 7 2" xfId="3640" xr:uid="{01FF9134-4440-4F11-8CF7-C1726927E6C3}"/>
    <cellStyle name="Comma 5 4 4 8" xfId="1708" xr:uid="{769044D1-3290-4862-BA4D-1993FD021F72}"/>
    <cellStyle name="Comma 5 4 4 8 2" xfId="4028" xr:uid="{6EC21D89-048C-4B29-B481-6B3F78377981}"/>
    <cellStyle name="Comma 5 4 4 9" xfId="2157" xr:uid="{1D032EBF-5DDB-4D92-A1BC-431435017516}"/>
    <cellStyle name="Comma 5 4 5" xfId="307" xr:uid="{2088BD40-CEDA-454C-8ACC-CF1E1C21E274}"/>
    <cellStyle name="Comma 5 4 6" xfId="308" xr:uid="{42B878E4-F9AE-41EA-8BFF-CEBA7A6875C4}"/>
    <cellStyle name="Comma 5 4 6 2" xfId="834" xr:uid="{D753886A-9B97-449C-9BD5-58E101B38AA5}"/>
    <cellStyle name="Comma 5 4 6 2 2" xfId="2079" xr:uid="{D2BD3040-5BDB-4041-8699-4B23866D5D1C}"/>
    <cellStyle name="Comma 5 4 7" xfId="2313" xr:uid="{DED7A968-BD00-4B7F-AB48-B17884EAEA9A}"/>
    <cellStyle name="Comma 5 5" xfId="309" xr:uid="{D37C6520-044E-43EA-9C48-55A1B82795A9}"/>
    <cellStyle name="Comma 5 6" xfId="310" xr:uid="{31845B41-69DD-449B-BCAE-ADCE20195FF0}"/>
    <cellStyle name="Comma 5 6 2" xfId="2582" xr:uid="{C9921192-9F90-4E8F-9B58-D96B9BC2EBE1}"/>
    <cellStyle name="Comma 5 6 3" xfId="2314" xr:uid="{233949BF-30A7-46B4-BD7E-A0BA1B975983}"/>
    <cellStyle name="Comma 5 7" xfId="866" xr:uid="{23B4D7AD-13EF-4A06-8C03-7D3B76345C99}"/>
    <cellStyle name="Comma 6" xfId="311" xr:uid="{A0206F18-380C-4F6D-A527-8B5C754AA40F}"/>
    <cellStyle name="Comma 6 2" xfId="312" xr:uid="{5D7F5CE0-988C-4A4F-998F-79AC72EF5255}"/>
    <cellStyle name="Comma 6 2 2" xfId="313" xr:uid="{53E6ACBB-E1B0-4C92-92C2-4A50B88745D7}"/>
    <cellStyle name="Comma 6 2 3" xfId="314" xr:uid="{265C80B8-0819-4874-B375-1C39324648C5}"/>
    <cellStyle name="Comma 6 3" xfId="315" xr:uid="{666AEC5F-3D8E-409B-86C4-F67AE5B1A82E}"/>
    <cellStyle name="Comma 6 4" xfId="867" xr:uid="{DADA5B59-4093-400A-9F24-DC6E217B825C}"/>
    <cellStyle name="Comma 7" xfId="316" xr:uid="{1DBA0D4B-3EA4-4EA3-AE40-33BDDB92D39D}"/>
    <cellStyle name="Comma 7 2" xfId="317" xr:uid="{A437C7DD-649E-4EAD-B407-C916524264E8}"/>
    <cellStyle name="Comma 7 3" xfId="318" xr:uid="{D55DAF02-E18F-45AB-A02B-DFEE2D4300D0}"/>
    <cellStyle name="Comma 7 3 2" xfId="319" xr:uid="{1318ABBD-A559-4DD9-838E-0EC7A1CF027D}"/>
    <cellStyle name="Comma 7 3 2 2" xfId="927" xr:uid="{47583BF7-0EB4-4DC1-9EB2-7D08DB9E2CAC}"/>
    <cellStyle name="Comma 7 3 2 3" xfId="888" xr:uid="{31168266-8371-4F87-89E3-D18A8567411B}"/>
    <cellStyle name="Comma 7 3 3" xfId="320" xr:uid="{F5E5E1C3-9490-49ED-BAA2-B912A99B4A1E}"/>
    <cellStyle name="Comma 7 3 3 10" xfId="3253" xr:uid="{66C54052-13CD-4371-A0FE-25E18866ED34}"/>
    <cellStyle name="Comma 7 3 3 2" xfId="835" xr:uid="{D8B0F2D9-6268-41FA-88A1-8C404733F069}"/>
    <cellStyle name="Comma 7 3 3 2 2" xfId="1101" xr:uid="{87694B76-6D61-41F6-84DF-18562DAD8AE6}"/>
    <cellStyle name="Comma 7 3 3 2 2 2" xfId="1518" xr:uid="{4939A950-4EC7-4354-AD90-9E7EC4C0ED0D}"/>
    <cellStyle name="Comma 7 3 3 2 2 2 2" xfId="2687" xr:uid="{7F36A3C9-EDDE-4382-A773-AE7D0AE49CC6}"/>
    <cellStyle name="Comma 7 3 3 2 2 2 2 2" xfId="4757" xr:uid="{2EF99655-3CA0-4E34-BEE0-42BEC42E9F1C}"/>
    <cellStyle name="Comma 7 3 3 2 2 2 3" xfId="3853" xr:uid="{A5165A69-D99B-4063-BA48-7EFBF454D42B}"/>
    <cellStyle name="Comma 7 3 3 2 2 3" xfId="1924" xr:uid="{26C28731-E7D8-421C-B4DA-BC838131AC54}"/>
    <cellStyle name="Comma 7 3 3 2 2 3 2" xfId="3070" xr:uid="{F1DE3536-5D98-4B92-8039-91CD9278EE4C}"/>
    <cellStyle name="Comma 7 3 3 2 2 3 2 2" xfId="5119" xr:uid="{8C3CFCC4-8854-4DE3-8CD6-76412F28FB3D}"/>
    <cellStyle name="Comma 7 3 3 2 2 3 3" xfId="4241" xr:uid="{63281AC1-2558-4D69-B9EF-72D1498DC153}"/>
    <cellStyle name="Comma 7 3 3 2 2 4" xfId="2437" xr:uid="{84D5F62B-0D40-413A-88FB-62061950A749}"/>
    <cellStyle name="Comma 7 3 3 2 2 4 2" xfId="4538" xr:uid="{42A912F4-0D8D-4079-B44B-83FE89C26E06}"/>
    <cellStyle name="Comma 7 3 3 2 2 5" xfId="3465" xr:uid="{F344A23F-33CC-404A-8007-3CE1F5DECA72}"/>
    <cellStyle name="Comma 7 3 3 2 3" xfId="1208" xr:uid="{DFCA18E0-3EE5-481A-866F-3B31323AD1E1}"/>
    <cellStyle name="Comma 7 3 3 2 3 2" xfId="1623" xr:uid="{0B500AC8-0B84-4F3F-A705-711D92190094}"/>
    <cellStyle name="Comma 7 3 3 2 3 2 2" xfId="3175" xr:uid="{77F2F8C6-2610-4FAC-9F94-CD2C3859D4E8}"/>
    <cellStyle name="Comma 7 3 3 2 3 2 2 2" xfId="5224" xr:uid="{95E8BAF4-0947-4A74-9738-396E9D5662A8}"/>
    <cellStyle name="Comma 7 3 3 2 3 2 3" xfId="3958" xr:uid="{D941D69A-383A-4F9A-92CC-D077B66C117A}"/>
    <cellStyle name="Comma 7 3 3 2 3 3" xfId="2029" xr:uid="{D68041F6-A2A9-4425-BE37-E3F8B1EAE14B}"/>
    <cellStyle name="Comma 7 3 3 2 3 3 2" xfId="4346" xr:uid="{07AEA6CB-3FBE-4A27-A818-57A1F1F0B72B}"/>
    <cellStyle name="Comma 7 3 3 2 3 4" xfId="2579" xr:uid="{5F1BE38F-0EDE-4CA3-9765-DC60E93459C1}"/>
    <cellStyle name="Comma 7 3 3 2 3 4 2" xfId="4655" xr:uid="{6DEF3C6A-4EE1-40AB-85B4-AB7355BD73F5}"/>
    <cellStyle name="Comma 7 3 3 2 3 5" xfId="3570" xr:uid="{68BDD681-5560-48E8-9C27-C44F3A3146CE}"/>
    <cellStyle name="Comma 7 3 3 2 4" xfId="978" xr:uid="{F087957B-9794-4974-A92F-A6D092C4E546}"/>
    <cellStyle name="Comma 7 3 3 2 4 2" xfId="1413" xr:uid="{124F973F-F684-4CDF-B70A-745B18C8AEE4}"/>
    <cellStyle name="Comma 7 3 3 2 4 2 2" xfId="2855" xr:uid="{F42655C9-917B-4741-891C-C36200FD8CD9}"/>
    <cellStyle name="Comma 7 3 3 2 4 2 2 2" xfId="4911" xr:uid="{614D23B5-52F6-4312-8E6B-ED966397B5DB}"/>
    <cellStyle name="Comma 7 3 3 2 4 2 3" xfId="3748" xr:uid="{177C5438-8B4C-4523-A91A-F90E8FF5C5FF}"/>
    <cellStyle name="Comma 7 3 3 2 4 3" xfId="1819" xr:uid="{D3D9585C-6A23-4CDA-820C-0BB22CA14C28}"/>
    <cellStyle name="Comma 7 3 3 2 4 3 2" xfId="4136" xr:uid="{67582311-CB20-4A04-BE22-8A5DC86E9E43}"/>
    <cellStyle name="Comma 7 3 3 2 4 4" xfId="2609" xr:uid="{B21A59F0-3759-4034-925B-145FF220E9C6}"/>
    <cellStyle name="Comma 7 3 3 2 4 4 2" xfId="4679" xr:uid="{A921CDA5-5D4B-4AE4-B2BD-3F8CF84E3B64}"/>
    <cellStyle name="Comma 7 3 3 2 4 5" xfId="3360" xr:uid="{BBB8D48E-1C1F-4463-A57B-9DCDB1DB7329}"/>
    <cellStyle name="Comma 7 3 3 2 5" xfId="1339" xr:uid="{49366ED2-1830-45FB-9D44-A0ACC1FD837C}"/>
    <cellStyle name="Comma 7 3 3 2 5 2" xfId="2948" xr:uid="{6F94DCCC-C846-4BCA-AC0C-3F466E71FDDF}"/>
    <cellStyle name="Comma 7 3 3 2 5 2 2" xfId="5001" xr:uid="{5421CF6D-13C8-43E3-BE47-381C723EE593}"/>
    <cellStyle name="Comma 7 3 3 2 5 3" xfId="3675" xr:uid="{CDC3A325-CBE0-4CB7-9605-F8BB6E2150CB}"/>
    <cellStyle name="Comma 7 3 3 2 6" xfId="1746" xr:uid="{7AC2607D-EB82-4FD6-83FE-51252FF0BD86}"/>
    <cellStyle name="Comma 7 3 3 2 6 2" xfId="4063" xr:uid="{2CC0873A-F814-48E3-A8B7-B3EA354074C3}"/>
    <cellStyle name="Comma 7 3 3 2 7" xfId="2315" xr:uid="{EE2FEFAE-7750-46A7-A8B2-015D9C93E86C}"/>
    <cellStyle name="Comma 7 3 3 2 7 2" xfId="4466" xr:uid="{1EA8DC7F-6335-4CBB-9F93-DDA590885207}"/>
    <cellStyle name="Comma 7 3 3 2 8" xfId="3287" xr:uid="{144CEC61-C6D5-4DD8-97B4-4B6D675B5D8E}"/>
    <cellStyle name="Comma 7 3 3 3" xfId="1017" xr:uid="{C118B4DB-4ED5-4F34-8C9D-B96D08422CAE}"/>
    <cellStyle name="Comma 7 3 3 3 2" xfId="1135" xr:uid="{7A3A0CF6-37E3-47D8-8356-E43BA69ABB81}"/>
    <cellStyle name="Comma 7 3 3 3 2 2" xfId="1552" xr:uid="{2482E5FD-22E2-4A8A-88CB-D3DB982FA5E4}"/>
    <cellStyle name="Comma 7 3 3 3 2 2 2" xfId="3104" xr:uid="{21F61518-7BC1-4751-9CC6-C589167C722D}"/>
    <cellStyle name="Comma 7 3 3 3 2 2 2 2" xfId="5153" xr:uid="{B0B15BEB-DD85-413A-9B87-09DAB0BFE987}"/>
    <cellStyle name="Comma 7 3 3 3 2 2 3" xfId="3887" xr:uid="{DFDCAAA8-C4EC-4C07-B055-4AB1B1E34ED1}"/>
    <cellStyle name="Comma 7 3 3 3 2 3" xfId="1958" xr:uid="{DA30DC97-C9A7-4034-8348-6BC036CE8D2D}"/>
    <cellStyle name="Comma 7 3 3 3 2 3 2" xfId="4275" xr:uid="{8F784E63-663F-4D23-9217-7A491BD0B9DE}"/>
    <cellStyle name="Comma 7 3 3 3 2 4" xfId="2720" xr:uid="{0B75F415-5470-4C5A-A9F1-FB6C99F1133F}"/>
    <cellStyle name="Comma 7 3 3 3 2 4 2" xfId="4790" xr:uid="{75F7E2EC-FC14-4224-8F83-15E76511646E}"/>
    <cellStyle name="Comma 7 3 3 3 2 5" xfId="3499" xr:uid="{2B8C4021-9420-4922-9F16-D7E1195D0090}"/>
    <cellStyle name="Comma 7 3 3 3 3" xfId="1246" xr:uid="{1D703E3D-B18F-4722-B0AC-F20F09DBE374}"/>
    <cellStyle name="Comma 7 3 3 3 3 2" xfId="1657" xr:uid="{BE1F865C-C4A7-4ED7-A2C2-D5F97A551B36}"/>
    <cellStyle name="Comma 7 3 3 3 3 2 2" xfId="3209" xr:uid="{1EFC9A3B-1E20-4321-A314-C91D479DB0E0}"/>
    <cellStyle name="Comma 7 3 3 3 3 2 2 2" xfId="5258" xr:uid="{EC4C1053-8330-427D-BC08-02023CFF55A5}"/>
    <cellStyle name="Comma 7 3 3 3 3 2 3" xfId="3992" xr:uid="{70B863D1-E0A4-4C8D-A333-59037187B413}"/>
    <cellStyle name="Comma 7 3 3 3 3 3" xfId="2063" xr:uid="{D82F370C-1077-4EFB-BE9C-F94F97E70E89}"/>
    <cellStyle name="Comma 7 3 3 3 3 3 2" xfId="4380" xr:uid="{FEBB8DC7-0B5F-4FB2-B8F2-67DD32D747E6}"/>
    <cellStyle name="Comma 7 3 3 3 3 4" xfId="2796" xr:uid="{849AF672-9385-4EF6-BD60-0B7ACF488A65}"/>
    <cellStyle name="Comma 7 3 3 3 3 4 2" xfId="4866" xr:uid="{CD25633F-D931-44BD-9C9A-9C76873440E6}"/>
    <cellStyle name="Comma 7 3 3 3 3 5" xfId="3604" xr:uid="{3389F667-E38D-4330-A222-E2B3F714FC66}"/>
    <cellStyle name="Comma 7 3 3 3 4" xfId="1447" xr:uid="{4C22E125-5555-4E66-B1B1-4495E6BD05F7}"/>
    <cellStyle name="Comma 7 3 3 3 4 2" xfId="3000" xr:uid="{6DECF962-B1C6-4457-8DC8-697EF57A0DD0}"/>
    <cellStyle name="Comma 7 3 3 3 4 2 2" xfId="5050" xr:uid="{0D801326-044E-40E3-9087-4C3670770347}"/>
    <cellStyle name="Comma 7 3 3 3 4 3" xfId="3782" xr:uid="{F0BAFDA1-1584-44E0-A41F-7262FFED3625}"/>
    <cellStyle name="Comma 7 3 3 3 5" xfId="1853" xr:uid="{F79E4E8C-9A67-4ECC-AC8E-928F42CBB5B2}"/>
    <cellStyle name="Comma 7 3 3 3 5 2" xfId="4170" xr:uid="{DF578CB8-375E-4067-84C0-45D855E9309D}"/>
    <cellStyle name="Comma 7 3 3 3 6" xfId="2638" xr:uid="{437D07EC-47D2-41B4-BCA7-97AFAEE2C4CC}"/>
    <cellStyle name="Comma 7 3 3 3 6 2" xfId="4708" xr:uid="{23FE4434-E703-4905-8C38-B638F27978B3}"/>
    <cellStyle name="Comma 7 3 3 3 7" xfId="3394" xr:uid="{EC522881-93E3-4CD1-98CC-DCE806DBE506}"/>
    <cellStyle name="Comma 7 3 3 4" xfId="1070" xr:uid="{D1182029-2C00-4C47-9011-AF0D9D6931C5}"/>
    <cellStyle name="Comma 7 3 3 4 2" xfId="1487" xr:uid="{50FD9348-C47C-4473-BB1E-7C2E5F38E16D}"/>
    <cellStyle name="Comma 7 3 3 4 2 2" xfId="3039" xr:uid="{757F76F0-226C-4F34-AA3A-C8C912CE62C8}"/>
    <cellStyle name="Comma 7 3 3 4 2 2 2" xfId="5089" xr:uid="{FCEE775B-E1D0-44C9-8209-D24085302A13}"/>
    <cellStyle name="Comma 7 3 3 4 2 3" xfId="3822" xr:uid="{46C706D9-1984-4EAD-8A1F-ECFCB0F020CC}"/>
    <cellStyle name="Comma 7 3 3 4 3" xfId="1893" xr:uid="{AB90D12D-FAAC-4106-85F4-B01BF5CE645C}"/>
    <cellStyle name="Comma 7 3 3 4 3 2" xfId="4210" xr:uid="{B72215C6-B555-4EF2-B3E2-C05777960C46}"/>
    <cellStyle name="Comma 7 3 3 4 4" xfId="2663" xr:uid="{671D2C1C-067D-489E-BA58-4991622BCFDF}"/>
    <cellStyle name="Comma 7 3 3 4 4 2" xfId="4733" xr:uid="{22AA0CF5-4B2B-42E9-B050-6DE8F04359A7}"/>
    <cellStyle name="Comma 7 3 3 4 5" xfId="3434" xr:uid="{0378283E-B1C9-4ABC-8F4B-9C7AB18C7E58}"/>
    <cellStyle name="Comma 7 3 3 5" xfId="1176" xr:uid="{0DA8102F-6334-4A04-964B-663EEA7C2A2B}"/>
    <cellStyle name="Comma 7 3 3 5 2" xfId="1592" xr:uid="{0654BF25-F2B6-4B78-A992-4905975600E7}"/>
    <cellStyle name="Comma 7 3 3 5 2 2" xfId="3144" xr:uid="{22AF72A4-5BB7-48E9-AB97-72FFB6327C98}"/>
    <cellStyle name="Comma 7 3 3 5 2 2 2" xfId="5193" xr:uid="{4D5D5D2A-2C61-4798-B96F-377C8F7CD5D8}"/>
    <cellStyle name="Comma 7 3 3 5 2 3" xfId="3927" xr:uid="{4C6F61A7-48A5-405B-8740-698F157FA0E4}"/>
    <cellStyle name="Comma 7 3 3 5 3" xfId="1998" xr:uid="{F887C293-2EC8-49B4-8AD0-A2DEB0686BD7}"/>
    <cellStyle name="Comma 7 3 3 5 3 2" xfId="4315" xr:uid="{88AF5E5B-A150-4F56-B252-FD5DE1951943}"/>
    <cellStyle name="Comma 7 3 3 5 4" xfId="2759" xr:uid="{AE9F63DC-B2BB-4B63-BD57-4A4B6C1E1534}"/>
    <cellStyle name="Comma 7 3 3 5 4 2" xfId="4829" xr:uid="{AC4625A4-C47D-4614-BB62-C7C67010CCE5}"/>
    <cellStyle name="Comma 7 3 3 5 5" xfId="3539" xr:uid="{D9DFFBB4-D02F-4627-8262-CDFBF88DA218}"/>
    <cellStyle name="Comma 7 3 3 6" xfId="928" xr:uid="{BA95CA66-4BB6-4696-9548-A983BD51A123}"/>
    <cellStyle name="Comma 7 3 3 6 2" xfId="1381" xr:uid="{CF83A55E-229C-47BF-BA43-8C7941AB19A7}"/>
    <cellStyle name="Comma 7 3 3 6 2 2" xfId="2972" xr:uid="{53D7A104-EEBC-459D-B87F-48619F93F244}"/>
    <cellStyle name="Comma 7 3 3 6 2 2 2" xfId="5022" xr:uid="{3662C2F8-8BFB-4E87-8E4E-6C5C991011B9}"/>
    <cellStyle name="Comma 7 3 3 6 2 3" xfId="3717" xr:uid="{866DB146-0553-4E4E-9A93-28CD9031C8E2}"/>
    <cellStyle name="Comma 7 3 3 6 3" xfId="1788" xr:uid="{B03108E4-E4BE-4CE9-952C-BB77CDE42AC9}"/>
    <cellStyle name="Comma 7 3 3 6 3 2" xfId="4105" xr:uid="{58127AAB-7DBD-4AEC-BA5E-1A5A1BFDC81A}"/>
    <cellStyle name="Comma 7 3 3 6 4" xfId="2470" xr:uid="{193E9ACE-4FC6-4D75-9DD7-86B1390C4646}"/>
    <cellStyle name="Comma 7 3 3 6 4 2" xfId="4564" xr:uid="{1067272B-2077-4FFB-9775-BF21A66DE10B}"/>
    <cellStyle name="Comma 7 3 3 6 5" xfId="3329" xr:uid="{57368205-6FF7-4785-BBD0-96A08577DEC7}"/>
    <cellStyle name="Comma 7 3 3 7" xfId="1285" xr:uid="{38FF6FF0-9DED-4716-B8ED-7336A580B1AA}"/>
    <cellStyle name="Comma 7 3 3 7 2" xfId="3641" xr:uid="{CFB77FB5-4246-4A97-8147-20D03C81AB84}"/>
    <cellStyle name="Comma 7 3 3 8" xfId="1709" xr:uid="{2D50D392-714B-4AF5-8442-15BF3D2E6DB5}"/>
    <cellStyle name="Comma 7 3 3 8 2" xfId="4029" xr:uid="{266FAB76-5D47-4730-BDA6-3D06F6EB93E2}"/>
    <cellStyle name="Comma 7 3 3 9" xfId="2158" xr:uid="{8CC3CCD8-F4A8-4FD7-B1B7-B20B56059BB7}"/>
    <cellStyle name="Comma 7 3 4" xfId="321" xr:uid="{2315A45D-E505-437E-9307-98565734398A}"/>
    <cellStyle name="Comma 7 3 5" xfId="2203" xr:uid="{54B8BF03-2AC3-446C-965B-76BDBE9D59BA}"/>
    <cellStyle name="Comma 7 3 5 2" xfId="2233" xr:uid="{B8134400-BC12-41D6-93EA-C5947F99E8A2}"/>
    <cellStyle name="Comma 7 3 5 2 2" xfId="2425" xr:uid="{16524897-BBED-46CE-AFAD-8D59572486A3}"/>
    <cellStyle name="Comma 7 3 5 2 2 2" xfId="4526" xr:uid="{66526AE6-CDB0-4FFA-A44A-22EDD12A2E42}"/>
    <cellStyle name="Comma 7 3 5 2 3" xfId="2559" xr:uid="{5CFBF902-29FE-4124-A5B2-C0E8F74E4258}"/>
    <cellStyle name="Comma 7 3 5 2 3 2" xfId="4638" xr:uid="{74091D5A-85E3-41F3-A65F-F21243679CCD}"/>
    <cellStyle name="Comma 7 3 5 2 4" xfId="2924" xr:uid="{9270F3B2-7B50-4460-8C97-BDA12C4FCF1C}"/>
    <cellStyle name="Comma 7 3 5 2 4 2" xfId="4978" xr:uid="{56EBF17B-1749-431A-A9DE-C4A1D0F0131E}"/>
    <cellStyle name="Comma 7 3 5 2 5" xfId="4454" xr:uid="{65ACC022-240E-441D-A98D-10F67C038373}"/>
    <cellStyle name="Comma 7 3 5 3" xfId="2316" xr:uid="{0F53BAEF-7593-4C5C-A477-F03DE8E547B2}"/>
    <cellStyle name="Comma 7 3 5 4" xfId="2397" xr:uid="{BE36E14B-9932-4BDB-A002-D2ECBD2E6148}"/>
    <cellStyle name="Comma 7 3 5 4 2" xfId="4498" xr:uid="{F03D56FF-60E8-4612-BA24-ACA851AD137B}"/>
    <cellStyle name="Comma 7 3 5 5" xfId="2530" xr:uid="{412008D1-7812-444C-B342-12CB2C25CE05}"/>
    <cellStyle name="Comma 7 3 5 5 2" xfId="4610" xr:uid="{5D022207-05FA-482D-BB80-5B3DAAE61B7B}"/>
    <cellStyle name="Comma 7 3 5 6" xfId="2896" xr:uid="{10212134-5A84-4AEB-975E-BEE666E82805}"/>
    <cellStyle name="Comma 7 3 5 6 2" xfId="4950" xr:uid="{3626E72E-66E0-4712-B623-CE5EE0ABDCC3}"/>
    <cellStyle name="Comma 7 3 5 7" xfId="4426" xr:uid="{CD245E5B-096B-46F4-9528-2E98B79C62E4}"/>
    <cellStyle name="Comma 7 4" xfId="322" xr:uid="{14B40DBA-4ABB-458A-80E5-3C7B48ECADFF}"/>
    <cellStyle name="Comma 7 5" xfId="323" xr:uid="{FF086AF8-3780-4A4B-9ED2-A4FAF97EE546}"/>
    <cellStyle name="Comma 7 5 2" xfId="836" xr:uid="{5092EFA4-A0A1-4664-BC66-059E5D36F8B5}"/>
    <cellStyle name="Comma 7 5 2 2" xfId="2080" xr:uid="{3D111B78-C455-42CF-9CD1-6684F31BF5A5}"/>
    <cellStyle name="Comma 8" xfId="324" xr:uid="{DE5AA8C5-26D2-40B4-8A81-8FD1E5560459}"/>
    <cellStyle name="Comma 8 2" xfId="325" xr:uid="{642304D7-E96F-42CA-A60E-D3237A654956}"/>
    <cellStyle name="Comma 8 2 2" xfId="2318" xr:uid="{04809BE1-06B3-4831-AEE0-B0F38491C578}"/>
    <cellStyle name="Comma 8 2 3" xfId="2159" xr:uid="{057695CB-1CD7-456C-B2EC-163B07A8AF94}"/>
    <cellStyle name="Comma 8 3" xfId="929" xr:uid="{C53A736C-F10F-4E2E-B902-43CDF5DB9C30}"/>
    <cellStyle name="Comma 8 3 2" xfId="2479" xr:uid="{665F35D1-39E6-40C2-8932-7E99F667AB1D}"/>
    <cellStyle name="Comma 8 3 3" xfId="2160" xr:uid="{3DE285D8-7238-4141-9AFC-A251D1EA1CF4}"/>
    <cellStyle name="Comma 8 4" xfId="889" xr:uid="{2DC67C8B-E910-4A9B-A1B0-B07EC9200B58}"/>
    <cellStyle name="Comma 8 4 2" xfId="2510" xr:uid="{525DE122-B9F7-4232-B0A9-B1C9BFC60D79}"/>
    <cellStyle name="Comma 8 4 3" xfId="2317" xr:uid="{21C89A12-1295-4772-B633-D977F39EBD06}"/>
    <cellStyle name="Comma 9" xfId="326" xr:uid="{2D2E26C1-7633-4650-B962-577F6364A758}"/>
    <cellStyle name="Comma 9 2" xfId="327" xr:uid="{352C72A6-5B35-497B-AFAB-DBE61FFB87F4}"/>
    <cellStyle name="Comma 9 3" xfId="930" xr:uid="{22FFEC62-B180-469C-9DDA-A8C4A0543B66}"/>
    <cellStyle name="Comma 9 4" xfId="890" xr:uid="{E99D5CE1-E473-4C0E-822E-98D4F8B8D3C8}"/>
    <cellStyle name="Currency 2" xfId="328" xr:uid="{B02E61CF-2BAE-4A5B-B370-B11CC642868A}"/>
    <cellStyle name="Currency 2 2" xfId="329" xr:uid="{398859CE-47D3-4F35-9282-0D44DFCD9505}"/>
    <cellStyle name="Currency 2 2 2" xfId="330" xr:uid="{FC1E33A5-F7C4-44BD-8D30-E0FAE956722B}"/>
    <cellStyle name="Currency 2 2 2 2" xfId="331" xr:uid="{EF6630E9-9B4C-4F6A-80A7-5E2063101CA3}"/>
    <cellStyle name="Currency 2 2 3" xfId="332" xr:uid="{8B8D9318-CA92-4336-B4C4-19EA811BAEDF}"/>
    <cellStyle name="Currency 2 2 3 2" xfId="333" xr:uid="{1782E187-F73B-4A24-BFD8-63470B06C53C}"/>
    <cellStyle name="Currency 2 2 4" xfId="334" xr:uid="{6376CEB7-D312-43BD-9D7A-5958F3810560}"/>
    <cellStyle name="Currency 2 3" xfId="335" xr:uid="{C3EE44A3-FC3F-471F-A0D4-62720B674FB6}"/>
    <cellStyle name="Currency 2 3 2" xfId="336" xr:uid="{C8BDC382-D17E-410D-AC07-4A8617B8E3F3}"/>
    <cellStyle name="Currency 2 3 2 2" xfId="337" xr:uid="{B447429B-74A8-42CF-A65F-FC7031CB64DD}"/>
    <cellStyle name="Currency 2 3 3" xfId="338" xr:uid="{A1099C3A-E18B-43C5-A573-B2AA9ABA4C0B}"/>
    <cellStyle name="Currency 2 3 3 2" xfId="339" xr:uid="{65039F9D-03E7-429B-802C-E6E943E5AAA3}"/>
    <cellStyle name="Currency 2 3 4" xfId="340" xr:uid="{3FD272F1-9CFA-488C-99FC-F06D97DDDD53}"/>
    <cellStyle name="Currency 2 4" xfId="341" xr:uid="{03D368C9-AB60-4F09-9B92-3FA3F4B64C40}"/>
    <cellStyle name="Currency 2 5" xfId="342" xr:uid="{8A25763A-9B7F-40A4-BC4C-471DF00272AF}"/>
    <cellStyle name="Currency 2 6" xfId="343" xr:uid="{0FB85403-D59B-4161-9127-B88AADC65BAF}"/>
    <cellStyle name="Currency 2 6 2" xfId="837" xr:uid="{5A672D73-655C-4FEE-BFFB-116CDE726B90}"/>
    <cellStyle name="Currency 2 6 2 2" xfId="1136" xr:uid="{66F28778-7FAB-4561-BA2D-CE277B6BE3F6}"/>
    <cellStyle name="Currency 2 6 2 2 2" xfId="1553" xr:uid="{4FEE80CD-04EB-45B6-B86D-0E3A0B30172A}"/>
    <cellStyle name="Currency 2 6 2 2 2 2" xfId="3105" xr:uid="{223DDEB3-7E9E-45DC-AE2F-6481D957901D}"/>
    <cellStyle name="Currency 2 6 2 2 2 2 2" xfId="5154" xr:uid="{7BBDB3FC-9446-46F0-BC47-4DBA1C6B5B2B}"/>
    <cellStyle name="Currency 2 6 2 2 2 3" xfId="3888" xr:uid="{E8264A55-5724-4B23-A929-EF68659EB04D}"/>
    <cellStyle name="Currency 2 6 2 2 3" xfId="1959" xr:uid="{9BB0D825-4792-4F69-8933-5223C6BA26C3}"/>
    <cellStyle name="Currency 2 6 2 2 3 2" xfId="4276" xr:uid="{7B678DC2-5F10-4121-A9DC-8F4B582E43E5}"/>
    <cellStyle name="Currency 2 6 2 2 4" xfId="2721" xr:uid="{C90A64FC-7232-44D3-B3A0-9888C985AF55}"/>
    <cellStyle name="Currency 2 6 2 2 4 2" xfId="4791" xr:uid="{B385B0E5-3931-4258-AD75-93195D1D0E08}"/>
    <cellStyle name="Currency 2 6 2 2 5" xfId="3500" xr:uid="{0C807EC6-4F7A-4758-8ECE-9C6BB607DB43}"/>
    <cellStyle name="Currency 2 6 2 3" xfId="1247" xr:uid="{04B7566C-B89F-43CE-8CC8-E8F7B5B07533}"/>
    <cellStyle name="Currency 2 6 2 3 2" xfId="1658" xr:uid="{ED6DE81A-A2DA-4FF1-B3ED-7A6BE8D35C36}"/>
    <cellStyle name="Currency 2 6 2 3 2 2" xfId="3210" xr:uid="{64FD56A0-92F1-45F4-8B52-F098BCD6D678}"/>
    <cellStyle name="Currency 2 6 2 3 2 2 2" xfId="5259" xr:uid="{3B362393-1607-4AF7-B004-7D8E93B83B77}"/>
    <cellStyle name="Currency 2 6 2 3 2 3" xfId="3993" xr:uid="{5109F2BA-6978-482A-811F-85E0CEBF0819}"/>
    <cellStyle name="Currency 2 6 2 3 3" xfId="2064" xr:uid="{75FE6280-6DA7-48B1-B5EB-F511A05B1A25}"/>
    <cellStyle name="Currency 2 6 2 3 3 2" xfId="4381" xr:uid="{14C3209E-2FAA-456D-B8BA-0058E038BFA9}"/>
    <cellStyle name="Currency 2 6 2 3 4" xfId="2797" xr:uid="{34C01F25-2495-45D0-8073-FD482909220D}"/>
    <cellStyle name="Currency 2 6 2 3 4 2" xfId="4867" xr:uid="{70A5EE90-272E-497B-A04E-2A79F469A6B7}"/>
    <cellStyle name="Currency 2 6 2 3 5" xfId="3605" xr:uid="{FB17A540-B3C6-41E4-ABCE-44E9D12ECAFE}"/>
    <cellStyle name="Currency 2 6 2 4" xfId="1018" xr:uid="{113A5D92-5CDC-4546-95E3-3A315B559E1E}"/>
    <cellStyle name="Currency 2 6 2 4 2" xfId="1448" xr:uid="{AD1F8123-73A9-4780-8B3A-47323362DB99}"/>
    <cellStyle name="Currency 2 6 2 4 2 2" xfId="3001" xr:uid="{78589DFF-FF0C-449A-83DF-AA14BDE4D18F}"/>
    <cellStyle name="Currency 2 6 2 4 2 2 2" xfId="5051" xr:uid="{52163CDA-7D5A-4FC7-9F18-C6653B0EA68D}"/>
    <cellStyle name="Currency 2 6 2 4 2 3" xfId="3783" xr:uid="{69D0F440-7DD6-412E-919F-ED392EC25DFA}"/>
    <cellStyle name="Currency 2 6 2 4 3" xfId="1854" xr:uid="{6D997915-2C06-4FC1-A852-18A9634F5C6D}"/>
    <cellStyle name="Currency 2 6 2 4 3 2" xfId="4171" xr:uid="{C41B8942-64FD-4233-9B46-9C3322DD7AA4}"/>
    <cellStyle name="Currency 2 6 2 4 4" xfId="2639" xr:uid="{BE0DA502-5FF0-4111-8F79-FE0E05500943}"/>
    <cellStyle name="Currency 2 6 2 4 4 2" xfId="4709" xr:uid="{427801E5-17E4-4878-9A0E-C141DF228B9F}"/>
    <cellStyle name="Currency 2 6 2 4 5" xfId="3395" xr:uid="{7789094F-0067-4A30-B527-19D074A8C1BA}"/>
    <cellStyle name="Currency 2 6 2 5" xfId="1340" xr:uid="{87FBA196-AAB0-470F-B85D-13CB674EC0C7}"/>
    <cellStyle name="Currency 2 6 2 5 2" xfId="2585" xr:uid="{CDF47ECB-328A-4A47-98B1-1820B971B34E}"/>
    <cellStyle name="Currency 2 6 2 5 2 2" xfId="4657" xr:uid="{968F3875-0728-4E3F-A64A-6E22ADEAB41E}"/>
    <cellStyle name="Currency 2 6 2 5 3" xfId="3676" xr:uid="{F65D2DAD-5536-4B64-BF9F-899BC66B8494}"/>
    <cellStyle name="Currency 2 6 2 6" xfId="1747" xr:uid="{C054CC81-45A8-4D05-B047-04C9CC8E01C8}"/>
    <cellStyle name="Currency 2 6 2 6 2" xfId="2880" xr:uid="{7A5D1812-C876-4F0E-8FCA-1290C99D4818}"/>
    <cellStyle name="Currency 2 6 2 6 2 2" xfId="4934" xr:uid="{45633871-6C77-4654-B11D-A52016D24A61}"/>
    <cellStyle name="Currency 2 6 2 6 3" xfId="4064" xr:uid="{CE7E96F5-425B-4512-A28C-17520EA989B4}"/>
    <cellStyle name="Currency 2 6 2 7" xfId="2438" xr:uid="{FC189B42-3C08-4207-93F6-2C0936180C43}"/>
    <cellStyle name="Currency 2 6 2 7 2" xfId="4539" xr:uid="{58426757-0072-4592-A1D1-B14DD7BC566D}"/>
    <cellStyle name="Currency 2 6 2 8" xfId="3288" xr:uid="{236224A3-E55B-4D6F-9FD0-B6CC85DED093}"/>
    <cellStyle name="Currency 2 6 3" xfId="1102" xr:uid="{0ACD0693-8BD6-4397-B1E5-21D930A9B282}"/>
    <cellStyle name="Currency 2 6 3 2" xfId="1519" xr:uid="{CE62B5B1-0F04-483B-99EA-F683AF49FF94}"/>
    <cellStyle name="Currency 2 6 3 2 2" xfId="3071" xr:uid="{D232863D-D9CB-4EA9-9560-F5A4C0173348}"/>
    <cellStyle name="Currency 2 6 3 2 2 2" xfId="5120" xr:uid="{62F28285-3275-474F-85A2-0DC6B97CF49D}"/>
    <cellStyle name="Currency 2 6 3 2 3" xfId="3854" xr:uid="{B11735CB-32F5-421A-8FE5-3AC9D60A8024}"/>
    <cellStyle name="Currency 2 6 3 3" xfId="1925" xr:uid="{CB11EBEF-961C-4B73-A502-CEF3158DC2B6}"/>
    <cellStyle name="Currency 2 6 3 3 2" xfId="4242" xr:uid="{8028FF9E-E1A1-49FD-BBDB-655A067A5AA2}"/>
    <cellStyle name="Currency 2 6 3 4" xfId="2580" xr:uid="{736DE954-ECF2-48C5-873E-AA312F652A66}"/>
    <cellStyle name="Currency 2 6 3 4 2" xfId="4656" xr:uid="{FE2D0267-D33C-4B22-A3CA-E191B7562F86}"/>
    <cellStyle name="Currency 2 6 3 5" xfId="3466" xr:uid="{FE564C76-CEB0-49D7-A5B5-EC445775BB9B}"/>
    <cellStyle name="Currency 2 6 4" xfId="1209" xr:uid="{CFC5B5AE-EB02-4D89-90DA-72B36E864B4D}"/>
    <cellStyle name="Currency 2 6 4 2" xfId="1624" xr:uid="{096D5BF8-285E-4D3C-B08C-4245259E1A4C}"/>
    <cellStyle name="Currency 2 6 4 2 2" xfId="3176" xr:uid="{A1FE279E-1CB2-4176-83C4-6F3022DE7E03}"/>
    <cellStyle name="Currency 2 6 4 2 2 2" xfId="5225" xr:uid="{74A24710-64B3-4FFC-BA22-53947E7F41FB}"/>
    <cellStyle name="Currency 2 6 4 2 3" xfId="3959" xr:uid="{26918037-1AF5-4F0A-997E-37400C406450}"/>
    <cellStyle name="Currency 2 6 4 3" xfId="2030" xr:uid="{D2DCACF7-DFF5-473A-BCC8-92872EBE41CB}"/>
    <cellStyle name="Currency 2 6 4 3 2" xfId="4347" xr:uid="{D11B3C95-81B9-413A-93E6-12056A672D8E}"/>
    <cellStyle name="Currency 2 6 4 4" xfId="2776" xr:uid="{1FD2416A-15E8-4029-A4BD-AEA3CA8E1E2E}"/>
    <cellStyle name="Currency 2 6 4 4 2" xfId="4846" xr:uid="{5626F4FD-15D2-4F20-92FF-42ED37E7451E}"/>
    <cellStyle name="Currency 2 6 4 5" xfId="3571" xr:uid="{20D60AAA-17B8-4EA9-A405-34071EFB2A61}"/>
    <cellStyle name="Currency 2 6 5" xfId="979" xr:uid="{C60C6283-5A08-4E39-A329-9B8214B968E5}"/>
    <cellStyle name="Currency 2 6 5 2" xfId="1414" xr:uid="{AF6A01EB-8008-465D-94B5-213F42D276E9}"/>
    <cellStyle name="Currency 2 6 5 2 2" xfId="2925" xr:uid="{B4FD2544-A1C1-4372-9069-5058BBD75130}"/>
    <cellStyle name="Currency 2 6 5 2 2 2" xfId="4979" xr:uid="{21D9AD4A-98AF-4088-B779-ED439C596597}"/>
    <cellStyle name="Currency 2 6 5 2 3" xfId="3749" xr:uid="{663D92A7-355B-4838-8492-D93B5D05C074}"/>
    <cellStyle name="Currency 2 6 5 3" xfId="1820" xr:uid="{B9FE0487-BD9F-45C4-97ED-2CD4F9B0F81A}"/>
    <cellStyle name="Currency 2 6 5 3 2" xfId="4137" xr:uid="{3BE2810B-36C1-41AC-828A-5E047EAF0F08}"/>
    <cellStyle name="Currency 2 6 5 4" xfId="2610" xr:uid="{B10BC69B-AE09-46EC-834D-0BE13EB250B0}"/>
    <cellStyle name="Currency 2 6 5 4 2" xfId="4680" xr:uid="{8404992C-2233-4D64-A930-3E78CC22321E}"/>
    <cellStyle name="Currency 2 6 5 5" xfId="3361" xr:uid="{2F9D0177-62F0-4002-B358-8F4E0A11A545}"/>
    <cellStyle name="Currency 2 6 6" xfId="1286" xr:uid="{17FF3AF9-6C21-4D52-8580-44BB581A6B04}"/>
    <cellStyle name="Currency 2 6 6 2" xfId="2952" xr:uid="{74D322D4-F32B-4450-BE32-21D4D5263694}"/>
    <cellStyle name="Currency 2 6 6 2 2" xfId="5005" xr:uid="{301FF53E-2F80-49E5-A75C-A79F008DFF3E}"/>
    <cellStyle name="Currency 2 6 6 3" xfId="3642" xr:uid="{8CF44208-648C-4535-B62E-A179CA1D37E2}"/>
    <cellStyle name="Currency 2 6 7" xfId="1710" xr:uid="{3D949DA1-661A-43F3-B642-C4708F63A1AE}"/>
    <cellStyle name="Currency 2 6 7 2" xfId="4030" xr:uid="{7B652847-9993-44EF-8351-FEE752A84C7C}"/>
    <cellStyle name="Currency 2 6 8" xfId="2319" xr:uid="{15C63D7C-3965-48B7-BC0E-77CCDD399857}"/>
    <cellStyle name="Currency 2 6 8 2" xfId="4467" xr:uid="{39F3C052-DD8D-46DE-8CD6-D165EDDA6953}"/>
    <cellStyle name="Currency 2 6 9" xfId="3254" xr:uid="{9F6F3A1D-0EA5-4F3D-B05B-A98A00EE6008}"/>
    <cellStyle name="Currency 3" xfId="344" xr:uid="{B2C78351-B2DB-43F4-80D1-4866104952FB}"/>
    <cellStyle name="Currency 3 2" xfId="345" xr:uid="{B5CC0014-AF3B-4BB1-B77F-0FE8F2D13F2B}"/>
    <cellStyle name="Currency 3 2 2" xfId="346" xr:uid="{73AB3F42-D3C6-4560-A471-35B18229CECC}"/>
    <cellStyle name="Currency 3 2 2 2" xfId="347" xr:uid="{9D8F51B5-5347-4B1A-9662-7ECD5DAAB989}"/>
    <cellStyle name="Currency 3 2 3" xfId="348" xr:uid="{C3905687-CA29-4156-A52A-2FD77ECCEC15}"/>
    <cellStyle name="Currency 3 2 3 2" xfId="349" xr:uid="{D2AEE4C6-BCF2-4CBA-96A2-80834E2B2518}"/>
    <cellStyle name="Currency 3 2 4" xfId="350" xr:uid="{E6FDF0DA-DCE8-45C2-9C46-525F24827A42}"/>
    <cellStyle name="Currency 3 3" xfId="351" xr:uid="{46A60149-ED8A-461F-9014-31708C457B67}"/>
    <cellStyle name="Currency 3 3 2" xfId="352" xr:uid="{39C28A80-DCB8-471A-BB70-EC9540AE7581}"/>
    <cellStyle name="Currency 3 3 3" xfId="2320" xr:uid="{3F904AC9-4FCD-4FCF-A735-51297A727A63}"/>
    <cellStyle name="Currency 4" xfId="353" xr:uid="{C5EFA973-602C-4032-8242-C7A7146EA346}"/>
    <cellStyle name="Currency 4 2" xfId="868" xr:uid="{04C24AC5-F8FA-4D57-B119-50EB0A56C4E8}"/>
    <cellStyle name="Currency 5" xfId="354" xr:uid="{B3DEFFB1-9CD2-4C17-9924-CD51279B3C6F}"/>
    <cellStyle name="Currency 6" xfId="355" xr:uid="{3EB14767-DF44-487D-95CF-FFD3B590C86A}"/>
    <cellStyle name="Explanatory Text 2" xfId="356" xr:uid="{CFBA0F6E-5EB2-4981-A8D4-47E0356027D6}"/>
    <cellStyle name="Explanatory Text 2 2" xfId="357" xr:uid="{F2052AF8-95E8-44C3-8B36-694A3FFB0C8C}"/>
    <cellStyle name="Explanatory Text 2 3" xfId="358" xr:uid="{8DDB183A-B5A5-4767-92BE-A9BE0487E53F}"/>
    <cellStyle name="Explanatory Text 3" xfId="359" xr:uid="{36212395-159A-490A-BAB5-CF8F5B122904}"/>
    <cellStyle name="Explanatory Text 4" xfId="360" xr:uid="{7F28B1F0-720D-419B-B347-A9D9BC78872D}"/>
    <cellStyle name="Good 2" xfId="361" xr:uid="{957783C5-AE52-4764-BF3D-78A6B4212043}"/>
    <cellStyle name="Good 2 2" xfId="362" xr:uid="{0C9834AB-620F-40BA-8606-B1F15905FF05}"/>
    <cellStyle name="Good 2 3" xfId="363" xr:uid="{3A9FE6BE-557A-4AD2-A87B-CE1B0A71F132}"/>
    <cellStyle name="Good 2 4" xfId="364" xr:uid="{DF144988-2CE8-4962-86CE-2330F7508716}"/>
    <cellStyle name="Good 2 5" xfId="365" xr:uid="{3E0FA291-44DA-47A5-9F7A-A9D078D519DE}"/>
    <cellStyle name="Good 2 6" xfId="2321" xr:uid="{50A9AD73-A781-48FE-A155-13CA2DC866B5}"/>
    <cellStyle name="Good 3" xfId="366" xr:uid="{8EAAB1F3-2B62-44CD-9F9B-E27F83A8A9A6}"/>
    <cellStyle name="Good 4" xfId="367" xr:uid="{A4BA35B5-3FDA-4955-AE81-5730404B06FA}"/>
    <cellStyle name="Heading 1 2" xfId="368" xr:uid="{6633E0A3-A369-4BDF-BABB-16AC15E16644}"/>
    <cellStyle name="Heading 1 2 2" xfId="369" xr:uid="{7957AAB7-FA2F-430A-948A-798CAE3EA8F8}"/>
    <cellStyle name="Heading 1 2 3" xfId="370" xr:uid="{4507A859-C893-41C4-8750-CF5E98575C6B}"/>
    <cellStyle name="Heading 1 2 4" xfId="371" xr:uid="{DC9A3257-FCBA-4075-BF01-7FB4AA34D91D}"/>
    <cellStyle name="Heading 1 2 5" xfId="372" xr:uid="{2A3F46A3-FD4A-4E7B-9F36-50BDCC0974C2}"/>
    <cellStyle name="Heading 1 2 6" xfId="2322" xr:uid="{662FD711-14BC-4D74-BF54-C6A4B8AC401A}"/>
    <cellStyle name="Heading 1 3" xfId="373" xr:uid="{E5D9426C-2A23-40F9-A270-E897C2FA1698}"/>
    <cellStyle name="Heading 1 4" xfId="374" xr:uid="{89F4C28E-627A-44F2-B1DE-DA8B08BD51C0}"/>
    <cellStyle name="Heading 2 2" xfId="375" xr:uid="{15EFD54E-1FF0-4066-BAB4-8169AF95156F}"/>
    <cellStyle name="Heading 2 2 2" xfId="376" xr:uid="{E4A19BFC-66F2-4458-B661-82B4326341D1}"/>
    <cellStyle name="Heading 2 2 3" xfId="377" xr:uid="{A0C4E56E-3F2D-4505-B7BC-387E6146D7EC}"/>
    <cellStyle name="Heading 2 2 4" xfId="378" xr:uid="{6E04B985-84CB-4F22-BBA8-D3A2C1DFD843}"/>
    <cellStyle name="Heading 2 2 5" xfId="379" xr:uid="{1FA49F38-88C4-4746-BBC3-177DF8945C53}"/>
    <cellStyle name="Heading 2 2 6" xfId="2323" xr:uid="{71301E99-BEC5-4F25-85F8-3F4B8E35D55B}"/>
    <cellStyle name="Heading 2 3" xfId="380" xr:uid="{F188C5C6-01E4-49FC-8F44-0FAC888C8DC8}"/>
    <cellStyle name="Heading 2 4" xfId="381" xr:uid="{B41EBFDC-6BFB-4252-BE31-402EB1C572D2}"/>
    <cellStyle name="Heading 3 2" xfId="382" xr:uid="{EC214B40-71A9-4C6F-8002-239ADA88E766}"/>
    <cellStyle name="Heading 3 2 2" xfId="383" xr:uid="{89DDD7C4-429E-4AD1-B7EC-705186AF50FE}"/>
    <cellStyle name="Heading 3 2 3" xfId="384" xr:uid="{9BD14FB8-8283-4560-B6DF-87BF16A869A7}"/>
    <cellStyle name="Heading 3 2 4" xfId="385" xr:uid="{43C58D74-0D49-4A0D-B394-9EFF28297347}"/>
    <cellStyle name="Heading 3 2 5" xfId="386" xr:uid="{1C2F689A-F0E0-4E26-A9E5-7870BA0F10B5}"/>
    <cellStyle name="Heading 3 2 6" xfId="2324" xr:uid="{19E22727-78B2-4163-B624-1DEB307C458E}"/>
    <cellStyle name="Heading 3 3" xfId="387" xr:uid="{A22E41ED-4924-4E59-B01D-8D4278509E33}"/>
    <cellStyle name="Heading 3 4" xfId="388" xr:uid="{90B9E7E0-2ABE-4FA5-915B-C3201730DC61}"/>
    <cellStyle name="Heading 4 2" xfId="389" xr:uid="{4D87F9BF-E30B-48EB-8C27-944B5ED46FED}"/>
    <cellStyle name="Heading 4 2 2" xfId="390" xr:uid="{7185839F-4E74-4104-A0AD-E47570655B74}"/>
    <cellStyle name="Heading 4 2 3" xfId="391" xr:uid="{9DCB30B2-CD59-4F47-953E-6340DDB9D11B}"/>
    <cellStyle name="Heading 4 2 4" xfId="392" xr:uid="{ECC39165-45CB-48A7-95F2-521A08BC67C7}"/>
    <cellStyle name="Heading 4 2 5" xfId="393" xr:uid="{6169CD25-E8E3-44F9-AE74-B815E550E51A}"/>
    <cellStyle name="Heading 4 2 6" xfId="2325" xr:uid="{259E23E9-4727-43DE-AD65-B25E2B495E4D}"/>
    <cellStyle name="Heading 4 3" xfId="394" xr:uid="{2C95C9CF-0C4C-488A-B866-E04A77E27554}"/>
    <cellStyle name="Heading 4 4" xfId="395" xr:uid="{E47D556E-C78F-47A3-97FF-89487D83AF59}"/>
    <cellStyle name="Hyperlink" xfId="2" builtinId="8"/>
    <cellStyle name="Hyperlink 17" xfId="869" xr:uid="{A3105236-FA79-4C19-9A15-3A475FFA787C}"/>
    <cellStyle name="Hyperlink 2" xfId="15" xr:uid="{00000000-0005-0000-0000-000002000000}"/>
    <cellStyle name="Hyperlink 2 2" xfId="870" xr:uid="{8B476BA1-0C95-4322-8F5C-9AC4421283EE}"/>
    <cellStyle name="Hyperlink 2 2 2" xfId="2531" xr:uid="{ED6142BC-A3B2-4B73-A6AA-3A5E34982C0F}"/>
    <cellStyle name="Hyperlink 2 2 3" xfId="2326" xr:uid="{4A528761-C112-4A60-8324-E5A06A92AE06}"/>
    <cellStyle name="Hyperlink 3" xfId="396" xr:uid="{31004C9B-6B4E-4225-8B0D-B29D0D044BC5}"/>
    <cellStyle name="Input 2" xfId="397" xr:uid="{B54EF628-1193-4D6C-AEB3-0004E79E831F}"/>
    <cellStyle name="Input 2 2" xfId="398" xr:uid="{8FEFAB9B-1243-404F-8D24-38987E3B73B5}"/>
    <cellStyle name="Input 2 3" xfId="399" xr:uid="{F6B74C1A-20A4-46AD-ACB6-E1F4701DB659}"/>
    <cellStyle name="Input 2 4" xfId="400" xr:uid="{65BF7555-51B7-466D-BAA8-13133DB2CF67}"/>
    <cellStyle name="Input 2 5" xfId="401" xr:uid="{74ABBB53-1366-407B-9A44-A0DB508A3227}"/>
    <cellStyle name="Input 2 6" xfId="2327" xr:uid="{0690AE7E-31A1-4AC8-8C13-6038DB832C85}"/>
    <cellStyle name="Input 3" xfId="402" xr:uid="{1F1FD328-0662-4C2D-A306-EC11B134D3B3}"/>
    <cellStyle name="Input 4" xfId="403" xr:uid="{9F576BC2-A371-4992-BC57-72842D74F7E3}"/>
    <cellStyle name="Linked Cell 2" xfId="404" xr:uid="{06DDE271-7D35-49EC-B99A-26B7A51F2A04}"/>
    <cellStyle name="Linked Cell 2 2" xfId="405" xr:uid="{CF1B56D0-8CAA-4FBC-8379-5D8439D2C133}"/>
    <cellStyle name="Linked Cell 2 3" xfId="406" xr:uid="{DD25AA7A-F28E-49F9-A6DA-B2AC7DD72ECF}"/>
    <cellStyle name="Linked Cell 2 4" xfId="407" xr:uid="{9C2479AE-7347-4721-8CC9-B0FC383884E9}"/>
    <cellStyle name="Linked Cell 2 5" xfId="408" xr:uid="{285D9A6F-6DB1-48DF-A000-432D3E2676A3}"/>
    <cellStyle name="Linked Cell 2 6" xfId="2328" xr:uid="{452891AC-A1C2-4FF3-9CBA-AABB77971A38}"/>
    <cellStyle name="Linked Cell 3" xfId="409" xr:uid="{C974D054-8DEA-45D7-9962-31B44D75E6E8}"/>
    <cellStyle name="Linked Cell 4" xfId="410" xr:uid="{256558F2-52C7-426E-BBC8-94B04385713C}"/>
    <cellStyle name="Neutral 2" xfId="411" xr:uid="{FE924346-4160-4874-8A89-AEB88FD3A955}"/>
    <cellStyle name="Neutral 2 2" xfId="412" xr:uid="{1763C21E-E3EE-4BB7-9845-B2976ED1F6CE}"/>
    <cellStyle name="Neutral 2 2 2" xfId="2329" xr:uid="{5DC68CC8-A25C-4BB5-9CF1-B132E28D131B}"/>
    <cellStyle name="Neutral 2 2 3" xfId="2161" xr:uid="{FAF34F20-FB4E-471D-8760-37B0B52BABBB}"/>
    <cellStyle name="Neutral 2 3" xfId="413" xr:uid="{4A98FCCF-94E3-4C41-9AB1-B57DD233169E}"/>
    <cellStyle name="Neutral 2 3 2" xfId="2330" xr:uid="{441AECB7-77E7-43AD-823B-300D41C525F0}"/>
    <cellStyle name="Neutral 2 3 3" xfId="2162" xr:uid="{4715E26B-D8DD-4348-AF98-FB8E27651D76}"/>
    <cellStyle name="Neutral 2 4" xfId="414" xr:uid="{714EC2E4-8D30-488E-893D-098D7348E6A7}"/>
    <cellStyle name="Neutral 2 4 2" xfId="2331" xr:uid="{3B9FAF34-15F3-4F09-B520-7E3B660D9ACF}"/>
    <cellStyle name="Neutral 2 4 3" xfId="2163" xr:uid="{B315187B-7EA3-42FC-933D-EA9D367CF60F}"/>
    <cellStyle name="Neutral 2 5" xfId="415" xr:uid="{D4FB83C8-5511-4240-AB5A-6DE031406A7C}"/>
    <cellStyle name="Neutral 2 5 2" xfId="2332" xr:uid="{FD1471FB-299E-4304-B015-040CC0A88C13}"/>
    <cellStyle name="Neutral 2 5 3" xfId="2164" xr:uid="{C8E6B43E-F3F6-4846-A5C9-BDF2479C6162}"/>
    <cellStyle name="Neutral 2 6" xfId="892" xr:uid="{0D71D817-2DC2-4D5F-AE0D-6A353ED1E2E3}"/>
    <cellStyle name="Neutral 2 6 2" xfId="2333" xr:uid="{A492AD09-1EC0-476B-A704-D79B01B0A696}"/>
    <cellStyle name="Neutral 2 6 3" xfId="2512" xr:uid="{F61E94A1-8AE9-4604-BAED-C1AB2B5DA800}"/>
    <cellStyle name="Neutral 2 6 4" xfId="2204" xr:uid="{7BC7F6E6-B3C5-4127-9BB2-37B19A1302F8}"/>
    <cellStyle name="Neutral 3" xfId="416" xr:uid="{21F490DE-58BC-4F4B-A945-603AA0D4BACA}"/>
    <cellStyle name="Neutral 3 2" xfId="2334" xr:uid="{4E5FE82D-6DF0-4CF6-A247-30DDE03F136B}"/>
    <cellStyle name="Neutral 3 3" xfId="2165" xr:uid="{60C998AB-1B5E-494E-918B-676B558A49BC}"/>
    <cellStyle name="Neutral 4" xfId="417" xr:uid="{8D125A0B-A18D-469C-A6F3-CBD45B83188A}"/>
    <cellStyle name="Neutral 4 2" xfId="2335" xr:uid="{06CD9AB5-E47D-42AF-9527-93263736FCA2}"/>
    <cellStyle name="Neutral 4 3" xfId="2166" xr:uid="{6EE0343E-B65A-4AE4-8D34-CD7A9A3A8BAC}"/>
    <cellStyle name="Normal" xfId="0" builtinId="0"/>
    <cellStyle name="Normal 10" xfId="418" xr:uid="{E424803D-D156-4803-99A3-C6B2053F62C2}"/>
    <cellStyle name="Normal 10 2" xfId="419" xr:uid="{09196E2A-B90A-4603-9581-861D4F972A67}"/>
    <cellStyle name="Normal 10 2 2" xfId="420" xr:uid="{88183C58-B604-4B32-9D27-14DAA8EEDA23}"/>
    <cellStyle name="Normal 10 2 3" xfId="421" xr:uid="{2C0B2973-58EB-4351-8771-7D6836FE38AD}"/>
    <cellStyle name="Normal 10 3" xfId="422" xr:uid="{49A7F5B9-7260-4496-B56D-D65CF825AF97}"/>
    <cellStyle name="Normal 10 3 10" xfId="2167" xr:uid="{3AD913FC-87B9-47ED-9888-4529F41B4A16}"/>
    <cellStyle name="Normal 10 3 10 2" xfId="4412" xr:uid="{67CD24D5-8C2E-42C0-9255-AF5D44A4917F}"/>
    <cellStyle name="Normal 10 3 11" xfId="3255" xr:uid="{5F1744BC-0768-4F29-A05B-8004B2DEAA94}"/>
    <cellStyle name="Normal 10 3 2" xfId="423" xr:uid="{776582D7-427B-428D-A0D9-CD681223F855}"/>
    <cellStyle name="Normal 10 3 3" xfId="838" xr:uid="{962A445D-9256-4227-AA46-EBF29ABB4B2F}"/>
    <cellStyle name="Normal 10 3 3 2" xfId="1103" xr:uid="{19672AB4-7100-4F52-8E95-032105503A8D}"/>
    <cellStyle name="Normal 10 3 3 2 2" xfId="1520" xr:uid="{7A9E9DE9-9C2B-41FB-BF42-28962672964B}"/>
    <cellStyle name="Normal 10 3 3 2 2 2" xfId="2688" xr:uid="{CF7BA2F0-BE32-4108-93D1-B77B3E62FB75}"/>
    <cellStyle name="Normal 10 3 3 2 2 2 2" xfId="4758" xr:uid="{2B2A0CA7-AF91-485A-99CA-3968A722442C}"/>
    <cellStyle name="Normal 10 3 3 2 2 3" xfId="3855" xr:uid="{0B078529-8D0D-4586-B758-48B38B42AB3B}"/>
    <cellStyle name="Normal 10 3 3 2 3" xfId="1926" xr:uid="{A581F786-53BF-4844-A4E6-55FAE06C08E0}"/>
    <cellStyle name="Normal 10 3 3 2 3 2" xfId="3072" xr:uid="{22544463-7AD1-421C-8768-E66148695740}"/>
    <cellStyle name="Normal 10 3 3 2 3 2 2" xfId="5121" xr:uid="{86552320-C10C-4039-AE39-D493922452B0}"/>
    <cellStyle name="Normal 10 3 3 2 3 3" xfId="4243" xr:uid="{2F807BC6-0819-41D7-AC0B-74FC7643D67A}"/>
    <cellStyle name="Normal 10 3 3 2 4" xfId="2411" xr:uid="{EEBC7C25-146E-4049-B27A-25831E041385}"/>
    <cellStyle name="Normal 10 3 3 2 4 2" xfId="4512" xr:uid="{F1CCE636-BA98-49D4-AFDD-E718CC4B7904}"/>
    <cellStyle name="Normal 10 3 3 2 5" xfId="3467" xr:uid="{9BBC31C8-B8F4-4516-85B7-FB1116766A66}"/>
    <cellStyle name="Normal 10 3 3 3" xfId="1210" xr:uid="{F4431942-700F-4A54-BB32-3F9CB812238A}"/>
    <cellStyle name="Normal 10 3 3 3 2" xfId="1625" xr:uid="{9C2E7F3A-2559-4DB0-834A-D9764B545441}"/>
    <cellStyle name="Normal 10 3 3 3 2 2" xfId="3177" xr:uid="{CF31DA4D-F267-4CB5-AF25-3E4BEC99EAE7}"/>
    <cellStyle name="Normal 10 3 3 3 2 2 2" xfId="5226" xr:uid="{AF962A6D-775E-4FBD-AC02-116AD4F7B463}"/>
    <cellStyle name="Normal 10 3 3 3 2 3" xfId="3960" xr:uid="{270B8271-0C03-4D15-A160-8D2C6856F840}"/>
    <cellStyle name="Normal 10 3 3 3 3" xfId="2031" xr:uid="{FBD7BB62-8EE1-48B0-8D97-E69990BE9337}"/>
    <cellStyle name="Normal 10 3 3 3 3 2" xfId="4348" xr:uid="{724F07E2-BDBA-4789-8549-6E87943AF1F9}"/>
    <cellStyle name="Normal 10 3 3 3 4" xfId="2545" xr:uid="{65600160-A670-439F-A5DF-AECD39BE92AC}"/>
    <cellStyle name="Normal 10 3 3 3 4 2" xfId="4624" xr:uid="{4C278F74-0D2C-46E9-94CE-2684533A0476}"/>
    <cellStyle name="Normal 10 3 3 3 5" xfId="3572" xr:uid="{170D9DA6-C51E-4E67-9388-4246E0BBC76B}"/>
    <cellStyle name="Normal 10 3 3 4" xfId="980" xr:uid="{3C21B2BC-3565-46B8-A9CF-48B716CDDBAB}"/>
    <cellStyle name="Normal 10 3 3 4 2" xfId="1415" xr:uid="{F1E13233-7262-43A7-843A-C9A3EA743418}"/>
    <cellStyle name="Normal 10 3 3 4 2 2" xfId="2951" xr:uid="{5AEA216E-6404-47AB-BBBE-400CEF1E9840}"/>
    <cellStyle name="Normal 10 3 3 4 2 2 2" xfId="5004" xr:uid="{650FA556-E4B1-4285-99DE-575E7F0C2AB0}"/>
    <cellStyle name="Normal 10 3 3 4 2 3" xfId="3750" xr:uid="{A2F76FF2-25F3-472B-87BA-EF71525D992B}"/>
    <cellStyle name="Normal 10 3 3 4 3" xfId="1821" xr:uid="{522D9497-EDD8-48CA-86F4-04A385B76F83}"/>
    <cellStyle name="Normal 10 3 3 4 3 2" xfId="4138" xr:uid="{B3ADABC7-3624-4244-80D0-E44514A108C9}"/>
    <cellStyle name="Normal 10 3 3 4 4" xfId="2611" xr:uid="{D5094A49-B37F-47AF-8B1B-44E46818B833}"/>
    <cellStyle name="Normal 10 3 3 4 4 2" xfId="4681" xr:uid="{543DD0A9-F7A9-43DD-86B2-EDBF51F114CE}"/>
    <cellStyle name="Normal 10 3 3 4 5" xfId="3362" xr:uid="{2F3D1ADA-6C99-406A-A001-006BFE64C3DD}"/>
    <cellStyle name="Normal 10 3 3 5" xfId="1341" xr:uid="{702E002A-F5D5-4D61-ACA7-CFF8865E003B}"/>
    <cellStyle name="Normal 10 3 3 5 2" xfId="2910" xr:uid="{4CA9D5E6-EA0F-4C82-868C-50EA4A48F21F}"/>
    <cellStyle name="Normal 10 3 3 5 2 2" xfId="4964" xr:uid="{63C71AA8-899D-42E4-B648-04797CBEEA78}"/>
    <cellStyle name="Normal 10 3 3 5 3" xfId="3677" xr:uid="{14F1DA2D-61E3-456D-B7BE-FEB883EE3F6E}"/>
    <cellStyle name="Normal 10 3 3 6" xfId="1748" xr:uid="{439C2238-5EAD-4D17-8234-9559F8020FC1}"/>
    <cellStyle name="Normal 10 3 3 6 2" xfId="4065" xr:uid="{95616C23-86BF-4FEA-93BD-CCF5CC1600ED}"/>
    <cellStyle name="Normal 10 3 3 7" xfId="2219" xr:uid="{51A32A0B-634E-4693-BB45-21AAFAFC9F73}"/>
    <cellStyle name="Normal 10 3 3 7 2" xfId="4440" xr:uid="{01308D22-52F1-41A4-BD94-AF300D6A0BBA}"/>
    <cellStyle name="Normal 10 3 3 8" xfId="3289" xr:uid="{B9C9E514-F8DF-42CA-BFB5-4C240C1E4D4B}"/>
    <cellStyle name="Normal 10 3 4" xfId="1019" xr:uid="{CE0AD12E-A443-4670-81B2-1DB288C36742}"/>
    <cellStyle name="Normal 10 3 4 2" xfId="1137" xr:uid="{54F460ED-4D3D-4FF7-9465-4E1FB022D0FE}"/>
    <cellStyle name="Normal 10 3 4 2 2" xfId="1554" xr:uid="{0A8EB1C6-F76C-4C82-9359-8E1C76BB3BA6}"/>
    <cellStyle name="Normal 10 3 4 2 2 2" xfId="3106" xr:uid="{9C98D1C8-5052-4E91-B5E9-391AC10DF8C1}"/>
    <cellStyle name="Normal 10 3 4 2 2 2 2" xfId="5155" xr:uid="{862CD192-0113-42A5-B4FD-38D41C67E2EA}"/>
    <cellStyle name="Normal 10 3 4 2 2 3" xfId="3889" xr:uid="{181B41D8-A9C0-43B0-ABB8-877989DEA805}"/>
    <cellStyle name="Normal 10 3 4 2 3" xfId="1960" xr:uid="{C2E5A570-B3ED-4F96-8ED2-1C5E44DC1D0A}"/>
    <cellStyle name="Normal 10 3 4 2 3 2" xfId="4277" xr:uid="{3AAC6903-8CE4-43A6-B0E2-157F33DCF307}"/>
    <cellStyle name="Normal 10 3 4 2 4" xfId="2722" xr:uid="{C93DB2EC-F5B6-46CA-90B8-68B2FA67261F}"/>
    <cellStyle name="Normal 10 3 4 2 4 2" xfId="4792" xr:uid="{CACD8F4A-FDFF-4948-AF59-7FBA4648B74E}"/>
    <cellStyle name="Normal 10 3 4 2 5" xfId="3501" xr:uid="{9A4C3087-1E93-4AA2-A653-464D7FD3204A}"/>
    <cellStyle name="Normal 10 3 4 3" xfId="1248" xr:uid="{1A97F844-CE78-45AC-9424-CD96BF6055A2}"/>
    <cellStyle name="Normal 10 3 4 3 2" xfId="1659" xr:uid="{3F0EFF01-849D-4BFD-A5C2-B18140E2BE4E}"/>
    <cellStyle name="Normal 10 3 4 3 2 2" xfId="3211" xr:uid="{83A3545C-95CD-43C1-B093-4D1643D6AFBE}"/>
    <cellStyle name="Normal 10 3 4 3 2 2 2" xfId="5260" xr:uid="{84D15484-3418-4384-A469-D98173BDEAC2}"/>
    <cellStyle name="Normal 10 3 4 3 2 3" xfId="3994" xr:uid="{AEDD44C2-6394-409F-9E31-4C71C77DB392}"/>
    <cellStyle name="Normal 10 3 4 3 3" xfId="2065" xr:uid="{FB012780-58AB-41B9-92B7-1A13B6029077}"/>
    <cellStyle name="Normal 10 3 4 3 3 2" xfId="4382" xr:uid="{7A526BB2-2F62-491B-8543-EF514BC9DEA7}"/>
    <cellStyle name="Normal 10 3 4 3 4" xfId="2798" xr:uid="{2BBF0840-EFDD-4358-9E24-814B148B5B24}"/>
    <cellStyle name="Normal 10 3 4 3 4 2" xfId="4868" xr:uid="{F2B43515-4A9C-4597-B41B-54DA64C89879}"/>
    <cellStyle name="Normal 10 3 4 3 5" xfId="3606" xr:uid="{2859CDA2-D340-4108-B542-A6A9837AD893}"/>
    <cellStyle name="Normal 10 3 4 4" xfId="1449" xr:uid="{F5DD5AE4-C599-45A1-BCAC-136A9632855B}"/>
    <cellStyle name="Normal 10 3 4 4 2" xfId="2640" xr:uid="{1014291E-851D-4EC4-B8A6-3189E9A940CD}"/>
    <cellStyle name="Normal 10 3 4 4 2 2" xfId="4710" xr:uid="{3E2525A0-9106-42BD-AE6D-E3680206587B}"/>
    <cellStyle name="Normal 10 3 4 4 3" xfId="3784" xr:uid="{2F3B9CAB-7935-45DF-84DA-5FC241CE5480}"/>
    <cellStyle name="Normal 10 3 4 5" xfId="1855" xr:uid="{4FB3CC5B-C9D5-4F88-AE19-7897A5B3FB4E}"/>
    <cellStyle name="Normal 10 3 4 5 2" xfId="3002" xr:uid="{AAE56FF2-DC49-464C-9AA8-54B8F5CE2496}"/>
    <cellStyle name="Normal 10 3 4 5 2 2" xfId="5052" xr:uid="{62BC7A82-D705-4954-B42D-24EBECDA7621}"/>
    <cellStyle name="Normal 10 3 4 5 3" xfId="4172" xr:uid="{8070A303-F184-47EA-9A10-91B50EE63317}"/>
    <cellStyle name="Normal 10 3 4 6" xfId="2383" xr:uid="{24F7EF42-02FB-4A18-B7D8-AF4A8124091A}"/>
    <cellStyle name="Normal 10 3 4 6 2" xfId="4484" xr:uid="{C63632CB-DDEA-4F2B-A568-5DB85EB46F7A}"/>
    <cellStyle name="Normal 10 3 4 7" xfId="3396" xr:uid="{D3207773-0F1F-4866-A453-33D1533ADFCB}"/>
    <cellStyle name="Normal 10 3 5" xfId="1049" xr:uid="{63ABCD4F-F4A7-4F2B-A704-ADC606110264}"/>
    <cellStyle name="Normal 10 3 5 2" xfId="1466" xr:uid="{869ABC29-3B8C-4AAB-A82E-B93492790AC2}"/>
    <cellStyle name="Normal 10 3 5 2 2" xfId="3018" xr:uid="{718AFCFA-DEF9-481B-A56F-817425A7B62B}"/>
    <cellStyle name="Normal 10 3 5 2 2 2" xfId="5068" xr:uid="{76853FC1-DF9B-4102-A76A-9008C83CB0D5}"/>
    <cellStyle name="Normal 10 3 5 2 3" xfId="3801" xr:uid="{9CE0431D-6A18-448E-896F-5A04F28EAA07}"/>
    <cellStyle name="Normal 10 3 5 3" xfId="1872" xr:uid="{F55CF39E-275F-4569-8CF3-2B21399822E2}"/>
    <cellStyle name="Normal 10 3 5 3 2" xfId="4189" xr:uid="{6EC0A61F-E130-4DC3-ABAC-1F07FB42C2AF}"/>
    <cellStyle name="Normal 10 3 5 4" xfId="2487" xr:uid="{0D17AE51-F27F-4B3B-9B6B-5D2A3BCE7A5E}"/>
    <cellStyle name="Normal 10 3 5 4 2" xfId="4578" xr:uid="{00A15776-8A4A-4E73-814E-6EF936E2C835}"/>
    <cellStyle name="Normal 10 3 5 5" xfId="3413" xr:uid="{12DFA4A4-6EE6-4D82-AAF4-4882836EAE4E}"/>
    <cellStyle name="Normal 10 3 6" xfId="1154" xr:uid="{DCAB191C-F663-46E5-A388-F716BA06D022}"/>
    <cellStyle name="Normal 10 3 6 2" xfId="1571" xr:uid="{365BD187-B9FE-45F4-8318-CC86CDAEB295}"/>
    <cellStyle name="Normal 10 3 6 2 2" xfId="3123" xr:uid="{4E8A7D22-1C45-493A-8BB3-F037B215C456}"/>
    <cellStyle name="Normal 10 3 6 2 2 2" xfId="5172" xr:uid="{786FD64B-4674-4152-A4EA-7A5FC0B88432}"/>
    <cellStyle name="Normal 10 3 6 2 3" xfId="3906" xr:uid="{CCB49EBA-2E92-4BAE-999C-106FC125E3E2}"/>
    <cellStyle name="Normal 10 3 6 3" xfId="1977" xr:uid="{07C60889-8B09-4E8B-8125-45ECACDB9AF2}"/>
    <cellStyle name="Normal 10 3 6 3 2" xfId="4294" xr:uid="{2B8D3428-0810-43D2-B536-65D13917032F}"/>
    <cellStyle name="Normal 10 3 6 4" xfId="2739" xr:uid="{735A34A7-8CF9-484D-A016-EF6D289F8D10}"/>
    <cellStyle name="Normal 10 3 6 4 2" xfId="4809" xr:uid="{F69FBE15-C98F-4839-981F-1C394224A61E}"/>
    <cellStyle name="Normal 10 3 6 5" xfId="3518" xr:uid="{00C51AE1-49FE-43AC-85A3-E4ED036B57AE}"/>
    <cellStyle name="Normal 10 3 7" xfId="893" xr:uid="{B2AF0204-4878-4153-8FDE-96C30FEC826D}"/>
    <cellStyle name="Normal 10 3 7 2" xfId="1360" xr:uid="{696A2C10-9572-4140-8E77-5EFD1B326595}"/>
    <cellStyle name="Normal 10 3 7 2 2" xfId="2858" xr:uid="{182942CC-6ED7-4311-A17B-56DE7E598D0D}"/>
    <cellStyle name="Normal 10 3 7 2 2 2" xfId="4914" xr:uid="{B912A78D-8C07-4F05-9F21-266AC76C2902}"/>
    <cellStyle name="Normal 10 3 7 2 3" xfId="3696" xr:uid="{986F00DB-9B6D-4A38-A76B-BE27B5CAF82C}"/>
    <cellStyle name="Normal 10 3 7 3" xfId="1767" xr:uid="{90DBDD8E-0A32-432C-9083-A1B5F4159D6D}"/>
    <cellStyle name="Normal 10 3 7 3 2" xfId="4084" xr:uid="{393E79D9-D63E-46E2-8008-2BFF14E239FE}"/>
    <cellStyle name="Normal 10 3 7 4" xfId="2589" xr:uid="{126050A8-09F7-44D3-A342-2463C9D676F6}"/>
    <cellStyle name="Normal 10 3 7 4 2" xfId="4660" xr:uid="{CFC8A5EF-0D25-49D0-8E3E-06174A4D77CA}"/>
    <cellStyle name="Normal 10 3 7 5" xfId="3308" xr:uid="{06A310F0-F602-4504-8FC6-F8BBD724B7B7}"/>
    <cellStyle name="Normal 10 3 8" xfId="1287" xr:uid="{F497010B-AA1A-4D29-924F-046D83BE2826}"/>
    <cellStyle name="Normal 10 3 8 2" xfId="2865" xr:uid="{982A4989-37B0-419A-A098-083E27529F94}"/>
    <cellStyle name="Normal 10 3 8 2 2" xfId="4920" xr:uid="{7269752E-FB6B-44CC-A688-9C0EE94153E1}"/>
    <cellStyle name="Normal 10 3 8 3" xfId="3643" xr:uid="{7BC3DC77-1011-4C0E-895A-880ED9500626}"/>
    <cellStyle name="Normal 10 3 9" xfId="1712" xr:uid="{38DB6130-39BF-4CC9-824C-BFBBDA3D2D09}"/>
    <cellStyle name="Normal 10 3 9 2" xfId="4031" xr:uid="{5BBE03C8-7045-4405-8E5B-09E0EF0D3B50}"/>
    <cellStyle name="Normal 10 4" xfId="424" xr:uid="{AA6E4DCC-0849-4A3E-9B98-1881D3BBF1E6}"/>
    <cellStyle name="Normal 10 5" xfId="425" xr:uid="{E07BCA72-6E85-4E0E-9535-20BD2EAE7931}"/>
    <cellStyle name="Normal 10 5 2" xfId="839" xr:uid="{45E251EB-892E-4943-BA57-33696AA15B68}"/>
    <cellStyle name="Normal 10 5 2 2" xfId="2081" xr:uid="{C44944FA-0ECF-4CF9-8C3B-A2932866CED5}"/>
    <cellStyle name="Normal 100" xfId="2815" xr:uid="{7BD848E3-0D88-47EB-B515-EF371DB562DA}"/>
    <cellStyle name="Normal 11" xfId="426" xr:uid="{C20C6673-34E3-4E2A-954F-F559BD2B1436}"/>
    <cellStyle name="Normal 11 2" xfId="427" xr:uid="{B2E82EB8-6C76-426F-83AF-1FE6C0C8FCB5}"/>
    <cellStyle name="Normal 11 2 2" xfId="428" xr:uid="{2EFD70AB-2421-46C6-8177-2A38A2F10417}"/>
    <cellStyle name="Normal 11 2 2 2" xfId="429" xr:uid="{1F9D2A81-22CF-443D-9E7A-222BDED105A5}"/>
    <cellStyle name="Normal 11 2 3" xfId="430" xr:uid="{79806A11-B775-4A12-8C06-4BDB5AD4B6EA}"/>
    <cellStyle name="Normal 11 2 3 2" xfId="431" xr:uid="{7729C3B0-CFB5-4C6B-8662-5E29D2DFB3CA}"/>
    <cellStyle name="Normal 11 2 3 3" xfId="432" xr:uid="{8ED9AA31-D4BE-4C03-AEF1-C2F41B7ACFB3}"/>
    <cellStyle name="Normal 11 2 4" xfId="433" xr:uid="{C2A521F7-DAB6-4E88-8F42-D8AB45622940}"/>
    <cellStyle name="Normal 11 2 5" xfId="434" xr:uid="{BE580059-3A36-4A4B-B9BA-E32DE4395507}"/>
    <cellStyle name="Normal 11 2 6" xfId="435" xr:uid="{E516D50F-91AD-4379-8E04-00735394AF1B}"/>
    <cellStyle name="Normal 11 2 7" xfId="436" xr:uid="{B6C6760A-8F72-4F87-8854-F4CB0A477B3E}"/>
    <cellStyle name="Normal 11 2 7 2" xfId="840" xr:uid="{2423D6E1-AD60-4979-9465-E31868A72888}"/>
    <cellStyle name="Normal 11 2 7 2 2" xfId="2082" xr:uid="{4EC601EC-863E-49C6-BFF4-202646CE80D5}"/>
    <cellStyle name="Normal 11 2 8" xfId="2336" xr:uid="{99AB2CFE-E846-4170-A027-D823A57B2FA8}"/>
    <cellStyle name="Normal 11 3" xfId="437" xr:uid="{0B47635D-E702-400A-B283-3E03889A5F0E}"/>
    <cellStyle name="Normal 12" xfId="438" xr:uid="{65F4557E-2F2D-4AA9-8BA8-98DB29D875FB}"/>
    <cellStyle name="Normal 12 2" xfId="439" xr:uid="{3CF2534B-1F54-49FB-A8C2-8753E097A09F}"/>
    <cellStyle name="Normal 12 2 10" xfId="1713" xr:uid="{C47FE9E6-B3CA-47D6-98CE-AEE48CE603E2}"/>
    <cellStyle name="Normal 12 2 10 2" xfId="4032" xr:uid="{400733F6-D5CF-4B70-91FC-66D0EA5FDF00}"/>
    <cellStyle name="Normal 12 2 11" xfId="2168" xr:uid="{0E5459CC-2E99-4CC7-9BCF-9E86BA194964}"/>
    <cellStyle name="Normal 12 2 11 2" xfId="4413" xr:uid="{2179C94D-7BCD-49D3-A3A3-B66D204AC642}"/>
    <cellStyle name="Normal 12 2 12" xfId="3256" xr:uid="{D73F7537-7142-4FB9-8BA2-21CAF7B0A0F4}"/>
    <cellStyle name="Normal 12 2 2" xfId="440" xr:uid="{3BEBD524-5549-4DE2-B59F-08FC2A4A5DB8}"/>
    <cellStyle name="Normal 12 2 2 10" xfId="3257" xr:uid="{DE68F1BC-9B1F-4236-A717-89FCA5225870}"/>
    <cellStyle name="Normal 12 2 2 2" xfId="842" xr:uid="{9949F212-74F0-440A-B77E-F5FE43B4BE2C}"/>
    <cellStyle name="Normal 12 2 2 2 2" xfId="1105" xr:uid="{473286ED-E71E-4AA2-911C-C4733EBD6CD9}"/>
    <cellStyle name="Normal 12 2 2 2 2 2" xfId="1522" xr:uid="{9D130919-97DB-4EC1-8B21-3FA895AACF46}"/>
    <cellStyle name="Normal 12 2 2 2 2 2 2" xfId="2690" xr:uid="{75B868FD-7F76-4A0A-8196-F151368B572B}"/>
    <cellStyle name="Normal 12 2 2 2 2 2 2 2" xfId="4760" xr:uid="{D41DB0EC-F646-4399-8EE0-5D3E7AF7D84B}"/>
    <cellStyle name="Normal 12 2 2 2 2 2 3" xfId="3857" xr:uid="{4488D652-E7BF-4123-AF66-4291781A381C}"/>
    <cellStyle name="Normal 12 2 2 2 2 3" xfId="1928" xr:uid="{BD3077BF-B367-4057-8E30-B25EB00CCB7A}"/>
    <cellStyle name="Normal 12 2 2 2 2 3 2" xfId="3074" xr:uid="{5C6717E3-E3F5-4FC9-BBD9-FCC866176E5E}"/>
    <cellStyle name="Normal 12 2 2 2 2 3 2 2" xfId="5123" xr:uid="{CCE5E9C8-2AEB-453C-9C15-2F528BC1C2C4}"/>
    <cellStyle name="Normal 12 2 2 2 2 3 3" xfId="4245" xr:uid="{4C517718-3722-4876-9746-B985C13D55CD}"/>
    <cellStyle name="Normal 12 2 2 2 2 4" xfId="2413" xr:uid="{B568669D-7B49-479C-9473-795721E53503}"/>
    <cellStyle name="Normal 12 2 2 2 2 4 2" xfId="4514" xr:uid="{161191C3-ADA2-4BA6-8D20-C181029DE75E}"/>
    <cellStyle name="Normal 12 2 2 2 2 5" xfId="3469" xr:uid="{D586FFA9-538E-4F9A-A5D9-C0A475D04345}"/>
    <cellStyle name="Normal 12 2 2 2 3" xfId="1212" xr:uid="{E265C02C-D617-4F3C-8042-302F67ECBE03}"/>
    <cellStyle name="Normal 12 2 2 2 3 2" xfId="1627" xr:uid="{068084AA-6B2E-4B86-BF65-39CCC85482E1}"/>
    <cellStyle name="Normal 12 2 2 2 3 2 2" xfId="3179" xr:uid="{A706D0E5-3CFC-4B33-B435-5ADC415043DE}"/>
    <cellStyle name="Normal 12 2 2 2 3 2 2 2" xfId="5228" xr:uid="{9138564B-4D34-4DC4-98BE-90C01F1A9A62}"/>
    <cellStyle name="Normal 12 2 2 2 3 2 3" xfId="3962" xr:uid="{22AA5BFA-C368-4644-8CE0-3C82AAE3285F}"/>
    <cellStyle name="Normal 12 2 2 2 3 3" xfId="2033" xr:uid="{F1256BEB-76E5-42F3-91EC-882B7B9B0DBE}"/>
    <cellStyle name="Normal 12 2 2 2 3 3 2" xfId="4350" xr:uid="{AB742E6F-FA9B-429D-9D06-DD94BA8F7FB7}"/>
    <cellStyle name="Normal 12 2 2 2 3 4" xfId="2547" xr:uid="{93C39F21-5AB2-4A8A-AB7B-5BABF931D449}"/>
    <cellStyle name="Normal 12 2 2 2 3 4 2" xfId="4626" xr:uid="{DD300BB8-05E4-4998-BC0E-FABE2800FD22}"/>
    <cellStyle name="Normal 12 2 2 2 3 5" xfId="3574" xr:uid="{C21E976F-0F0D-4D98-8E9C-CFBE1D5FC74C}"/>
    <cellStyle name="Normal 12 2 2 2 4" xfId="982" xr:uid="{CEAB4F7B-9CBF-4D67-A431-6CDE6EEA9B42}"/>
    <cellStyle name="Normal 12 2 2 2 4 2" xfId="1417" xr:uid="{073EE812-87FE-4969-A008-C2DE8EF618AF}"/>
    <cellStyle name="Normal 12 2 2 2 4 2 2" xfId="2851" xr:uid="{6AAC33E7-A456-4EB7-8D73-39E683B4D53D}"/>
    <cellStyle name="Normal 12 2 2 2 4 2 2 2" xfId="4908" xr:uid="{432C3B03-A589-428F-9A84-D8CC71F264D7}"/>
    <cellStyle name="Normal 12 2 2 2 4 2 3" xfId="3752" xr:uid="{B58123B8-DE5A-4D44-910B-2BBC96B4C622}"/>
    <cellStyle name="Normal 12 2 2 2 4 3" xfId="1823" xr:uid="{D9A1D01D-0E65-4267-A0D8-7A5578DAA12A}"/>
    <cellStyle name="Normal 12 2 2 2 4 3 2" xfId="4140" xr:uid="{A32A5704-608C-4E06-9972-8706B525EEFB}"/>
    <cellStyle name="Normal 12 2 2 2 4 4" xfId="2613" xr:uid="{B9881F3F-ED83-46B7-83C5-745CCFA03B61}"/>
    <cellStyle name="Normal 12 2 2 2 4 4 2" xfId="4683" xr:uid="{C3156988-446E-4980-910F-E98AAE1D66F7}"/>
    <cellStyle name="Normal 12 2 2 2 4 5" xfId="3364" xr:uid="{97381646-ADD4-406B-81A8-8DD30F4703FD}"/>
    <cellStyle name="Normal 12 2 2 2 5" xfId="1343" xr:uid="{8D8A2051-83DC-4951-A4A6-72BEE452D813}"/>
    <cellStyle name="Normal 12 2 2 2 5 2" xfId="2912" xr:uid="{DA52039B-9449-4B94-9C9E-692E6E7D8E41}"/>
    <cellStyle name="Normal 12 2 2 2 5 2 2" xfId="4966" xr:uid="{4AFE4B0B-F158-4165-B763-57D5B2A68113}"/>
    <cellStyle name="Normal 12 2 2 2 5 3" xfId="3679" xr:uid="{27C4D6F9-7586-46B6-A911-4E7C71E0575F}"/>
    <cellStyle name="Normal 12 2 2 2 6" xfId="1750" xr:uid="{B65055DC-CAC4-4C8B-A7A5-4978C12E8059}"/>
    <cellStyle name="Normal 12 2 2 2 6 2" xfId="4067" xr:uid="{C5B5F83F-ED02-482D-BCCE-464694FCE58C}"/>
    <cellStyle name="Normal 12 2 2 2 7" xfId="2221" xr:uid="{5AE4CDBE-E702-461D-A834-6C487C53AD88}"/>
    <cellStyle name="Normal 12 2 2 2 7 2" xfId="4442" xr:uid="{35E0906B-166C-4385-8B4E-F8D36B19C234}"/>
    <cellStyle name="Normal 12 2 2 2 8" xfId="3291" xr:uid="{2225CBF7-D7C5-4A66-A820-E49E55A59F92}"/>
    <cellStyle name="Normal 12 2 2 3" xfId="1021" xr:uid="{0B230432-3576-44DC-9543-96085837C6A9}"/>
    <cellStyle name="Normal 12 2 2 3 2" xfId="1139" xr:uid="{BEF904F9-E4FD-4BE9-AF00-C71470A9256A}"/>
    <cellStyle name="Normal 12 2 2 3 2 2" xfId="1556" xr:uid="{09E0D7A0-0069-4357-A058-3207CB338E42}"/>
    <cellStyle name="Normal 12 2 2 3 2 2 2" xfId="3108" xr:uid="{1B5C8C8B-41E4-452B-B21F-99234F1B151E}"/>
    <cellStyle name="Normal 12 2 2 3 2 2 2 2" xfId="5157" xr:uid="{2122A4FF-8626-4E18-934F-DEDA7E6852CC}"/>
    <cellStyle name="Normal 12 2 2 3 2 2 3" xfId="3891" xr:uid="{A4D51FD3-C6B5-482D-9565-369AAF514F18}"/>
    <cellStyle name="Normal 12 2 2 3 2 3" xfId="1962" xr:uid="{80771F59-DB99-478A-B642-6B3F914AF2E1}"/>
    <cellStyle name="Normal 12 2 2 3 2 3 2" xfId="4279" xr:uid="{561ED98C-1223-4A7B-9299-422D217E6368}"/>
    <cellStyle name="Normal 12 2 2 3 2 4" xfId="2724" xr:uid="{CFA4C7EF-DF96-4302-9D17-7504C47B8EC1}"/>
    <cellStyle name="Normal 12 2 2 3 2 4 2" xfId="4794" xr:uid="{707FB5EB-2B85-4305-898D-42335F6CE3FB}"/>
    <cellStyle name="Normal 12 2 2 3 2 5" xfId="3503" xr:uid="{AA71343D-45DD-4F52-83F9-082EBE9BF528}"/>
    <cellStyle name="Normal 12 2 2 3 3" xfId="1250" xr:uid="{FB203FF0-10D2-4736-BDFE-5A41822A795D}"/>
    <cellStyle name="Normal 12 2 2 3 3 2" xfId="1661" xr:uid="{AC5AA1AE-BD6A-4AF4-AA29-29C805888E66}"/>
    <cellStyle name="Normal 12 2 2 3 3 2 2" xfId="3213" xr:uid="{E1F787BE-2C97-4D23-8331-1DEEB23FA2ED}"/>
    <cellStyle name="Normal 12 2 2 3 3 2 2 2" xfId="5262" xr:uid="{6BAC9C57-24B4-42BE-9F83-F97488617732}"/>
    <cellStyle name="Normal 12 2 2 3 3 2 3" xfId="3996" xr:uid="{E84888A6-7A08-49C7-9443-5FF154F0BC1E}"/>
    <cellStyle name="Normal 12 2 2 3 3 3" xfId="2067" xr:uid="{E0DCF0B8-2D37-4225-8E46-E9D6232B6EFE}"/>
    <cellStyle name="Normal 12 2 2 3 3 3 2" xfId="4384" xr:uid="{C688BB15-9B5D-4658-A50A-818552BB2693}"/>
    <cellStyle name="Normal 12 2 2 3 3 4" xfId="2800" xr:uid="{6F27243B-B963-4B05-A908-FA6AB941A87B}"/>
    <cellStyle name="Normal 12 2 2 3 3 4 2" xfId="4870" xr:uid="{6A6220F1-DDD0-4C1F-B4F0-D5C41C3855EB}"/>
    <cellStyle name="Normal 12 2 2 3 3 5" xfId="3608" xr:uid="{B52C7237-174C-4550-BE43-C60AAC2B4511}"/>
    <cellStyle name="Normal 12 2 2 3 4" xfId="1451" xr:uid="{53CC0675-20DE-43CF-9E67-8691883560FA}"/>
    <cellStyle name="Normal 12 2 2 3 4 2" xfId="2642" xr:uid="{A72769CB-5563-4279-BFFC-ACA91D76C596}"/>
    <cellStyle name="Normal 12 2 2 3 4 2 2" xfId="4712" xr:uid="{F35B2F81-D343-421D-8970-7BE8D3461906}"/>
    <cellStyle name="Normal 12 2 2 3 4 3" xfId="3786" xr:uid="{0DD1164A-0E70-4D13-B89D-144AD1FCB46C}"/>
    <cellStyle name="Normal 12 2 2 3 5" xfId="1857" xr:uid="{0FD38FE4-2985-464F-AF79-8FB07BC48BDA}"/>
    <cellStyle name="Normal 12 2 2 3 5 2" xfId="3004" xr:uid="{CE832750-D584-490A-8210-0F60583A76A9}"/>
    <cellStyle name="Normal 12 2 2 3 5 2 2" xfId="5054" xr:uid="{8002CB77-858A-4BAC-96C5-519A96B0A5A8}"/>
    <cellStyle name="Normal 12 2 2 3 5 3" xfId="4174" xr:uid="{CA02F338-989F-4444-8184-40911D6EFD63}"/>
    <cellStyle name="Normal 12 2 2 3 6" xfId="2385" xr:uid="{7AE8D1A8-2B5C-4602-8CB7-6B023D6F901F}"/>
    <cellStyle name="Normal 12 2 2 3 6 2" xfId="4486" xr:uid="{9DD3FFB1-5A9F-40E9-84B9-625B18C2E3ED}"/>
    <cellStyle name="Normal 12 2 2 3 7" xfId="3398" xr:uid="{699B95B9-D185-4D2A-8315-C4043CD093FE}"/>
    <cellStyle name="Normal 12 2 2 4" xfId="1071" xr:uid="{A8523CA8-2697-41F2-90EE-8A35200551D3}"/>
    <cellStyle name="Normal 12 2 2 4 2" xfId="1488" xr:uid="{CD417D1A-0369-4171-A304-D598900549C6}"/>
    <cellStyle name="Normal 12 2 2 4 2 2" xfId="3040" xr:uid="{106E40C3-F035-439D-9397-068B42C279C9}"/>
    <cellStyle name="Normal 12 2 2 4 2 2 2" xfId="5090" xr:uid="{584B38D2-D4ED-4414-948E-E9C80D3F9982}"/>
    <cellStyle name="Normal 12 2 2 4 2 3" xfId="3823" xr:uid="{840889D8-FF18-4286-8356-3716F4A06AF3}"/>
    <cellStyle name="Normal 12 2 2 4 3" xfId="1894" xr:uid="{DCDD7288-D8AB-4301-98FF-DE44C434ED70}"/>
    <cellStyle name="Normal 12 2 2 4 3 2" xfId="4211" xr:uid="{CA98D93E-0DBB-4D44-AA61-811450A1FEFB}"/>
    <cellStyle name="Normal 12 2 2 4 4" xfId="2489" xr:uid="{C4F2FD06-EADA-499A-B70E-70028CB818BF}"/>
    <cellStyle name="Normal 12 2 2 4 4 2" xfId="4580" xr:uid="{1F9A7D3C-2977-4131-A561-AC21C9511A28}"/>
    <cellStyle name="Normal 12 2 2 4 5" xfId="3435" xr:uid="{EBEE678C-DA02-44E3-A693-F4A9509B773C}"/>
    <cellStyle name="Normal 12 2 2 5" xfId="1177" xr:uid="{F11D7E2B-D65F-4097-BC67-04013C29F325}"/>
    <cellStyle name="Normal 12 2 2 5 2" xfId="1593" xr:uid="{9207502E-0643-4ABA-B88F-0900B250633C}"/>
    <cellStyle name="Normal 12 2 2 5 2 2" xfId="3145" xr:uid="{A815FF2A-C6B5-4348-946A-111B881C744C}"/>
    <cellStyle name="Normal 12 2 2 5 2 2 2" xfId="5194" xr:uid="{1E72AF93-DC38-4720-A645-15AB0E41410D}"/>
    <cellStyle name="Normal 12 2 2 5 2 3" xfId="3928" xr:uid="{DE3CFED5-0F95-427A-8ADC-376E94088CF6}"/>
    <cellStyle name="Normal 12 2 2 5 3" xfId="1999" xr:uid="{23D55A1F-54E2-42C3-B4F0-07C872B74BEC}"/>
    <cellStyle name="Normal 12 2 2 5 3 2" xfId="4316" xr:uid="{73C073A0-5A97-4793-A86F-B7395BB61D4E}"/>
    <cellStyle name="Normal 12 2 2 5 4" xfId="2760" xr:uid="{1D88E3A4-D7C5-43A7-AAEA-35AC1B94455A}"/>
    <cellStyle name="Normal 12 2 2 5 4 2" xfId="4830" xr:uid="{3DDCB5D8-85B4-48F9-B83C-827DD1BF5FE0}"/>
    <cellStyle name="Normal 12 2 2 5 5" xfId="3540" xr:uid="{AFE5D34A-798F-4D50-A7C2-BD5CEC70AA8E}"/>
    <cellStyle name="Normal 12 2 2 6" xfId="931" xr:uid="{69CF493F-C2FF-40CA-873B-EABAA774A022}"/>
    <cellStyle name="Normal 12 2 2 6 2" xfId="1382" xr:uid="{EEF5F702-4A8F-40F0-A8A7-1378838798BB}"/>
    <cellStyle name="Normal 12 2 2 6 2 2" xfId="2862" xr:uid="{D6EAD85B-E659-4C1B-A1B3-5CFE65488470}"/>
    <cellStyle name="Normal 12 2 2 6 2 2 2" xfId="4918" xr:uid="{4F30B10A-6CDB-4A95-9B5A-3F64B15C20ED}"/>
    <cellStyle name="Normal 12 2 2 6 2 3" xfId="3718" xr:uid="{88C4CBCA-B020-4876-AEA7-4A49FBC8B5C2}"/>
    <cellStyle name="Normal 12 2 2 6 3" xfId="1789" xr:uid="{E4530E8E-369A-40E5-8EF3-FF8E9E2657C4}"/>
    <cellStyle name="Normal 12 2 2 6 3 2" xfId="4106" xr:uid="{C972D5E0-384B-4DCB-9928-C02CC7C6C85A}"/>
    <cellStyle name="Normal 12 2 2 6 4" xfId="2471" xr:uid="{EDA72142-C8A4-4A4A-87A3-20FA57363774}"/>
    <cellStyle name="Normal 12 2 2 6 4 2" xfId="4565" xr:uid="{7274962F-597E-4677-B011-E1C059BC4C33}"/>
    <cellStyle name="Normal 12 2 2 6 5" xfId="3330" xr:uid="{C600DB2D-8C91-471A-B3FF-FA2B7EBE16C8}"/>
    <cellStyle name="Normal 12 2 2 7" xfId="1289" xr:uid="{1C6F38CB-2C4F-43D9-99A6-A0F46549BF36}"/>
    <cellStyle name="Normal 12 2 2 7 2" xfId="2867" xr:uid="{04B26408-C288-4258-B062-AABF4957DA3F}"/>
    <cellStyle name="Normal 12 2 2 7 2 2" xfId="4922" xr:uid="{5C00EB36-BAD6-4E41-BC1B-D641ABD3AD2A}"/>
    <cellStyle name="Normal 12 2 2 7 3" xfId="3645" xr:uid="{45837417-8708-46FC-9DD7-1C248B0623E0}"/>
    <cellStyle name="Normal 12 2 2 8" xfId="1714" xr:uid="{052AD5B7-613E-47B3-806F-6E4C33935CBD}"/>
    <cellStyle name="Normal 12 2 2 8 2" xfId="4033" xr:uid="{964522B2-3B65-41B2-8A72-46BE4E6C46FA}"/>
    <cellStyle name="Normal 12 2 2 9" xfId="2169" xr:uid="{81665D78-EAF5-4600-9287-DB54E2E006EB}"/>
    <cellStyle name="Normal 12 2 2 9 2" xfId="4414" xr:uid="{7E7615A0-4F7B-4F30-BC11-264044097A0F}"/>
    <cellStyle name="Normal 12 2 3" xfId="441" xr:uid="{64EAB891-B842-47E3-9608-78AE2D9EA6C9}"/>
    <cellStyle name="Normal 12 2 4" xfId="841" xr:uid="{A6ADE875-6258-4890-8207-EB22EE8B7F0A}"/>
    <cellStyle name="Normal 12 2 4 2" xfId="1104" xr:uid="{C7AEB33D-0C11-45DB-96FF-E3404C67AE25}"/>
    <cellStyle name="Normal 12 2 4 2 2" xfId="1521" xr:uid="{A688C3A5-738F-49A4-B556-5F5D60328127}"/>
    <cellStyle name="Normal 12 2 4 2 2 2" xfId="2689" xr:uid="{933FCFFB-992B-49B5-B9EA-C908C9E11EF4}"/>
    <cellStyle name="Normal 12 2 4 2 2 2 2" xfId="4759" xr:uid="{CBBBEFDA-EBFB-4A42-B3B9-92278D0FC525}"/>
    <cellStyle name="Normal 12 2 4 2 2 3" xfId="3856" xr:uid="{7EC8B5D7-715B-4B04-BADB-01320ED90235}"/>
    <cellStyle name="Normal 12 2 4 2 3" xfId="1927" xr:uid="{6875873B-6364-4D93-B98D-3B35EBB48233}"/>
    <cellStyle name="Normal 12 2 4 2 3 2" xfId="3073" xr:uid="{9535380B-0FC1-40D9-8054-B3D5D7B936AC}"/>
    <cellStyle name="Normal 12 2 4 2 3 2 2" xfId="5122" xr:uid="{BBB4A3F4-2889-4D09-AF66-B1A6C348CD34}"/>
    <cellStyle name="Normal 12 2 4 2 3 3" xfId="4244" xr:uid="{23B6E766-FB94-43B0-B9B4-741914B774C3}"/>
    <cellStyle name="Normal 12 2 4 2 4" xfId="2412" xr:uid="{4AB7DDA3-7A48-48BD-82FD-3C63D309D6ED}"/>
    <cellStyle name="Normal 12 2 4 2 4 2" xfId="4513" xr:uid="{0598055A-CFE5-4CD2-96C8-F9AAB57E7125}"/>
    <cellStyle name="Normal 12 2 4 2 5" xfId="3468" xr:uid="{CBD21B4D-36CC-4697-B52E-753D3D2D5039}"/>
    <cellStyle name="Normal 12 2 4 3" xfId="1211" xr:uid="{1ED632AC-D247-494A-9FC9-D5548A43D199}"/>
    <cellStyle name="Normal 12 2 4 3 2" xfId="1626" xr:uid="{7F9F91D2-9C8D-49A4-B094-4A456B4344EE}"/>
    <cellStyle name="Normal 12 2 4 3 2 2" xfId="3178" xr:uid="{8FC7DB03-749F-4C50-9798-43BC86AB2E1D}"/>
    <cellStyle name="Normal 12 2 4 3 2 2 2" xfId="5227" xr:uid="{D47A0E16-3B35-4F02-9193-8C5C43838D7A}"/>
    <cellStyle name="Normal 12 2 4 3 2 3" xfId="3961" xr:uid="{BD58C24E-9815-443F-8471-A10E1B4C7BEE}"/>
    <cellStyle name="Normal 12 2 4 3 3" xfId="2032" xr:uid="{6850DF14-C1D6-4F76-8EFD-E1C1EA40D9CF}"/>
    <cellStyle name="Normal 12 2 4 3 3 2" xfId="4349" xr:uid="{6EF93B2B-6385-474E-9261-331AC5132273}"/>
    <cellStyle name="Normal 12 2 4 3 4" xfId="2546" xr:uid="{24C78414-8CAA-4CFF-9BB2-A188675AA8B9}"/>
    <cellStyle name="Normal 12 2 4 3 4 2" xfId="4625" xr:uid="{6C75238C-78C5-46EF-BD85-8DB43DC18B33}"/>
    <cellStyle name="Normal 12 2 4 3 5" xfId="3573" xr:uid="{EFC0E103-C368-4266-85D5-7946C4CD2717}"/>
    <cellStyle name="Normal 12 2 4 4" xfId="981" xr:uid="{A68F0BA6-4590-4856-9F18-9206CF2D9B37}"/>
    <cellStyle name="Normal 12 2 4 4 2" xfId="1416" xr:uid="{64556426-39AB-45E8-8DD8-1CF104C6FB44}"/>
    <cellStyle name="Normal 12 2 4 4 2 2" xfId="2888" xr:uid="{5A2FDDD1-2B67-46A7-9CFF-3836F660DF2B}"/>
    <cellStyle name="Normal 12 2 4 4 2 2 2" xfId="4942" xr:uid="{4463EB30-2F97-4068-BB61-87DC8FF75054}"/>
    <cellStyle name="Normal 12 2 4 4 2 3" xfId="3751" xr:uid="{5D2D0540-C385-4DF5-AB0C-9E02A9E53F06}"/>
    <cellStyle name="Normal 12 2 4 4 3" xfId="1822" xr:uid="{53CC391C-3CD5-4598-BFAA-E29C69424DA9}"/>
    <cellStyle name="Normal 12 2 4 4 3 2" xfId="4139" xr:uid="{DDF050CD-FC88-472A-8CF4-F4FD9A11167A}"/>
    <cellStyle name="Normal 12 2 4 4 4" xfId="2612" xr:uid="{9DAB86C1-8BFA-43F1-88D0-37CB5201C5FA}"/>
    <cellStyle name="Normal 12 2 4 4 4 2" xfId="4682" xr:uid="{4A34ED13-44DA-4455-9D5B-B89E4560DDB2}"/>
    <cellStyle name="Normal 12 2 4 4 5" xfId="3363" xr:uid="{3274465A-5EDB-498E-A1F5-FFB2EF8C73EC}"/>
    <cellStyle name="Normal 12 2 4 5" xfId="1342" xr:uid="{92492E22-E8EF-489C-9A73-A76A8747E0E4}"/>
    <cellStyle name="Normal 12 2 4 5 2" xfId="2911" xr:uid="{F2813F80-4467-45C2-A4A8-47A55CC60A39}"/>
    <cellStyle name="Normal 12 2 4 5 2 2" xfId="4965" xr:uid="{662422A9-0662-4447-BEE5-37488571512B}"/>
    <cellStyle name="Normal 12 2 4 5 3" xfId="3678" xr:uid="{B95EFC13-BE9F-4B1F-B2B0-57100800DAAC}"/>
    <cellStyle name="Normal 12 2 4 6" xfId="1749" xr:uid="{F171339F-14F2-4BE3-A0B7-1F5BF88197FD}"/>
    <cellStyle name="Normal 12 2 4 6 2" xfId="4066" xr:uid="{6AC36A10-CB7C-40FD-94D7-70303A4F8AF5}"/>
    <cellStyle name="Normal 12 2 4 7" xfId="2220" xr:uid="{FA1146F2-C35C-4C8A-9D5B-5E30C0205116}"/>
    <cellStyle name="Normal 12 2 4 7 2" xfId="4441" xr:uid="{AF7A0CA7-1A0C-4C0F-9877-A1FEFF7E6C39}"/>
    <cellStyle name="Normal 12 2 4 8" xfId="3290" xr:uid="{34B35AE8-D70C-435C-B249-A3F9AB61CB4E}"/>
    <cellStyle name="Normal 12 2 5" xfId="1020" xr:uid="{D78903B7-7841-4901-8A74-4C1BF685878A}"/>
    <cellStyle name="Normal 12 2 5 2" xfId="1138" xr:uid="{1BA9EFB9-FB2E-403F-923C-82EDD40F2ABA}"/>
    <cellStyle name="Normal 12 2 5 2 2" xfId="1555" xr:uid="{19548440-2D73-46D7-A8B2-734CFD8DF52C}"/>
    <cellStyle name="Normal 12 2 5 2 2 2" xfId="3107" xr:uid="{A0B9D5B1-97E9-4CE2-9A44-380E3113307C}"/>
    <cellStyle name="Normal 12 2 5 2 2 2 2" xfId="5156" xr:uid="{AA9ED9D1-8370-41C1-9BE4-34793FB447EF}"/>
    <cellStyle name="Normal 12 2 5 2 2 3" xfId="3890" xr:uid="{5B74EBDA-E15D-418A-8ABE-D1CC39227F2E}"/>
    <cellStyle name="Normal 12 2 5 2 3" xfId="1961" xr:uid="{5A8BA142-9610-47DC-B643-91B18F48ABF5}"/>
    <cellStyle name="Normal 12 2 5 2 3 2" xfId="4278" xr:uid="{F5813C11-2BEA-4C4C-9D10-283B30B86674}"/>
    <cellStyle name="Normal 12 2 5 2 4" xfId="2723" xr:uid="{CF7543F0-4020-44E1-9A97-816A4E10EA54}"/>
    <cellStyle name="Normal 12 2 5 2 4 2" xfId="4793" xr:uid="{7891C2E6-E17A-4D5E-9CCF-82FBB6208D47}"/>
    <cellStyle name="Normal 12 2 5 2 5" xfId="3502" xr:uid="{35C22BA1-E71E-45C4-9DC4-6250140FDCA6}"/>
    <cellStyle name="Normal 12 2 5 3" xfId="1249" xr:uid="{CA125050-70E0-4114-8A6B-5070D0657582}"/>
    <cellStyle name="Normal 12 2 5 3 2" xfId="1660" xr:uid="{BDAA5944-FF78-4FDE-A3E7-52A6F56D7FB6}"/>
    <cellStyle name="Normal 12 2 5 3 2 2" xfId="3212" xr:uid="{63CE2782-F481-4631-B93B-804C6D78F2B8}"/>
    <cellStyle name="Normal 12 2 5 3 2 2 2" xfId="5261" xr:uid="{AAAB847B-F539-4A01-B8E3-EF7740BFEC22}"/>
    <cellStyle name="Normal 12 2 5 3 2 3" xfId="3995" xr:uid="{9464E36F-A708-4AAE-8737-5D1254DBA5E0}"/>
    <cellStyle name="Normal 12 2 5 3 3" xfId="2066" xr:uid="{89B885C2-C921-42E4-8592-7434901AAF18}"/>
    <cellStyle name="Normal 12 2 5 3 3 2" xfId="4383" xr:uid="{8566481B-ED70-4350-B50E-0A6C6AF0B8CB}"/>
    <cellStyle name="Normal 12 2 5 3 4" xfId="2799" xr:uid="{E74D85BB-617A-438C-85A7-37026C375BD1}"/>
    <cellStyle name="Normal 12 2 5 3 4 2" xfId="4869" xr:uid="{6CB11FC3-794A-4D84-BC1F-0B0B46B3AE62}"/>
    <cellStyle name="Normal 12 2 5 3 5" xfId="3607" xr:uid="{CB1F17DD-CDC8-49C1-B027-352008366737}"/>
    <cellStyle name="Normal 12 2 5 4" xfId="1450" xr:uid="{49C2BF6A-9C58-4870-8759-A24105D7C10A}"/>
    <cellStyle name="Normal 12 2 5 4 2" xfId="2641" xr:uid="{B9CD79AD-5BDD-4684-9733-3E2141F1FCB0}"/>
    <cellStyle name="Normal 12 2 5 4 2 2" xfId="4711" xr:uid="{B650557C-8615-44E3-95C5-EA5ECAE695E6}"/>
    <cellStyle name="Normal 12 2 5 4 3" xfId="3785" xr:uid="{EF0A2FB7-B7BE-4E00-9E56-0991027423AA}"/>
    <cellStyle name="Normal 12 2 5 5" xfId="1856" xr:uid="{D496BAE4-F113-4968-BBFB-BBE2287B6050}"/>
    <cellStyle name="Normal 12 2 5 5 2" xfId="3003" xr:uid="{A4767864-74C7-45F7-96C4-3645AC964B9B}"/>
    <cellStyle name="Normal 12 2 5 5 2 2" xfId="5053" xr:uid="{638D399C-C9DB-40EF-A47E-2271A07EAC9C}"/>
    <cellStyle name="Normal 12 2 5 5 3" xfId="4173" xr:uid="{FF9A0481-E65B-41A0-A3CA-94CA7931D414}"/>
    <cellStyle name="Normal 12 2 5 6" xfId="2384" xr:uid="{8C18A149-ED80-46B8-932B-E2C54403D82D}"/>
    <cellStyle name="Normal 12 2 5 6 2" xfId="4485" xr:uid="{8C2B16CE-68CA-48A1-9E7B-C509EB67482D}"/>
    <cellStyle name="Normal 12 2 5 7" xfId="3397" xr:uid="{9EC10828-14B5-482A-8001-4E67495DCDBA}"/>
    <cellStyle name="Normal 12 2 6" xfId="1050" xr:uid="{E41D9BC8-97FB-4153-A22F-42764755994F}"/>
    <cellStyle name="Normal 12 2 6 2" xfId="1467" xr:uid="{82BBB46B-2FB4-4FC9-B226-127909CFBB71}"/>
    <cellStyle name="Normal 12 2 6 2 2" xfId="3019" xr:uid="{0E0F346D-0641-4C91-87C8-75258300311B}"/>
    <cellStyle name="Normal 12 2 6 2 2 2" xfId="5069" xr:uid="{986D2DD3-BBF4-4E1D-A341-B962EBD2476A}"/>
    <cellStyle name="Normal 12 2 6 2 3" xfId="3802" xr:uid="{2825E885-9FA4-4764-B4CE-708CE1F1E5CA}"/>
    <cellStyle name="Normal 12 2 6 3" xfId="1873" xr:uid="{2C07143E-4496-4043-9AEC-F33DBF06CB70}"/>
    <cellStyle name="Normal 12 2 6 3 2" xfId="4190" xr:uid="{8537E05E-4986-4C8A-BA11-FE9176C9C3BD}"/>
    <cellStyle name="Normal 12 2 6 4" xfId="2488" xr:uid="{2716ADD4-1C64-4AAB-8F44-F08E100B92AE}"/>
    <cellStyle name="Normal 12 2 6 4 2" xfId="4579" xr:uid="{313A46C3-2F6A-4725-9760-496CE63B45AC}"/>
    <cellStyle name="Normal 12 2 6 5" xfId="3414" xr:uid="{D6C956C4-73D3-477A-8386-6F56BE5F22AA}"/>
    <cellStyle name="Normal 12 2 7" xfId="1155" xr:uid="{378E505A-3A99-49F4-B610-C1EA8174471F}"/>
    <cellStyle name="Normal 12 2 7 2" xfId="1572" xr:uid="{B611CF75-6924-4FD9-AA0B-F765A09D044C}"/>
    <cellStyle name="Normal 12 2 7 2 2" xfId="3124" xr:uid="{A0537C9D-CD27-4AE8-99AD-36D00E70C575}"/>
    <cellStyle name="Normal 12 2 7 2 2 2" xfId="5173" xr:uid="{ED0E2D17-8044-4E9D-8620-FDE59144723A}"/>
    <cellStyle name="Normal 12 2 7 2 3" xfId="3907" xr:uid="{D9F3C5D0-C73C-4A76-B0C1-85DC67F945E7}"/>
    <cellStyle name="Normal 12 2 7 3" xfId="1978" xr:uid="{21D901A5-2846-4941-8346-73B494D39E61}"/>
    <cellStyle name="Normal 12 2 7 3 2" xfId="4295" xr:uid="{19A338F9-DD38-44C6-B69E-44E04F0331BC}"/>
    <cellStyle name="Normal 12 2 7 4" xfId="2740" xr:uid="{B9191CAB-38A2-4456-B0D8-2DFD8CFF60C5}"/>
    <cellStyle name="Normal 12 2 7 4 2" xfId="4810" xr:uid="{0DB68F3B-E401-4FA0-889B-53B674E26AC7}"/>
    <cellStyle name="Normal 12 2 7 5" xfId="3519" xr:uid="{78090187-9EAC-4B90-B5F7-237FD2E9FA51}"/>
    <cellStyle name="Normal 12 2 8" xfId="894" xr:uid="{72D14D21-8159-4C14-997A-C1FD7BFDB87E}"/>
    <cellStyle name="Normal 12 2 8 2" xfId="1361" xr:uid="{F4260A5C-540B-4F81-B5AD-F850D50ABBFB}"/>
    <cellStyle name="Normal 12 2 8 2 2" xfId="2941" xr:uid="{2E524907-0F14-4F2F-A115-AEE886617491}"/>
    <cellStyle name="Normal 12 2 8 2 2 2" xfId="4994" xr:uid="{407716DD-C387-4010-9E8E-609EC73D114C}"/>
    <cellStyle name="Normal 12 2 8 2 3" xfId="3697" xr:uid="{D23ACE23-2423-4703-BD07-C89D3777BDB5}"/>
    <cellStyle name="Normal 12 2 8 3" xfId="1768" xr:uid="{88DCBF0E-F17C-4BAC-A39B-704C93F01828}"/>
    <cellStyle name="Normal 12 2 8 3 2" xfId="4085" xr:uid="{538953E7-03D8-42BD-BBDF-02980E86FB57}"/>
    <cellStyle name="Normal 12 2 8 4" xfId="2590" xr:uid="{30C5A8BE-4633-42EF-830D-94EFD14B2EF3}"/>
    <cellStyle name="Normal 12 2 8 4 2" xfId="4661" xr:uid="{9CB6158F-AD42-4A05-B7CB-9EA20A37D628}"/>
    <cellStyle name="Normal 12 2 8 5" xfId="3309" xr:uid="{540648AA-2D8C-4E09-84F4-D9EFA6E5B8A1}"/>
    <cellStyle name="Normal 12 2 9" xfId="1288" xr:uid="{3DCAEF4F-8E77-46AD-855C-DFA821F1D25F}"/>
    <cellStyle name="Normal 12 2 9 2" xfId="2866" xr:uid="{0651C4B9-3A2E-4612-9E6B-BC6E8E777597}"/>
    <cellStyle name="Normal 12 2 9 2 2" xfId="4921" xr:uid="{CCFA54E5-5FAA-421E-B1C5-E4A01FDB1336}"/>
    <cellStyle name="Normal 12 2 9 3" xfId="3644" xr:uid="{02AB91AC-4BAB-4218-A31C-9C204E067883}"/>
    <cellStyle name="Normal 12 3" xfId="442" xr:uid="{796BA617-219D-49BC-91E2-AC29DBBF215A}"/>
    <cellStyle name="Normal 13" xfId="443" xr:uid="{F9FE2FE0-27C9-4C03-A564-7CE659B8B551}"/>
    <cellStyle name="Normal 13 2" xfId="444" xr:uid="{E54995DC-F8CD-4491-9695-349816883B3E}"/>
    <cellStyle name="Normal 13 3" xfId="445" xr:uid="{B761E6A1-56A6-47EF-99FB-3EAE6B753742}"/>
    <cellStyle name="Normal 14" xfId="446" xr:uid="{777393D2-B6AE-4CFD-936F-5AA7949E0FF3}"/>
    <cellStyle name="Normal 14 2" xfId="447" xr:uid="{4B4DF034-4118-4CA4-85AA-E72A2AE68888}"/>
    <cellStyle name="Normal 14 2 2" xfId="448" xr:uid="{258C1A1D-87B1-44B5-A5A9-4CEAE8789F77}"/>
    <cellStyle name="Normal 14 2 3" xfId="2337" xr:uid="{8DFE813D-ED21-4E25-B4D0-C38479EFE96D}"/>
    <cellStyle name="Normal 14 3" xfId="449" xr:uid="{0AD58C6C-CD53-49FE-91E4-9CAF84B5C567}"/>
    <cellStyle name="Normal 15" xfId="450" xr:uid="{CB7B30AD-F857-417A-9459-BF7DD7169449}"/>
    <cellStyle name="Normal 15 2" xfId="451" xr:uid="{FEB475A7-D8A1-4D77-B76D-DDC730F9297D}"/>
    <cellStyle name="Normal 16" xfId="452" xr:uid="{82708FBB-0380-4FA4-AAC0-E217BF9A7CF5}"/>
    <cellStyle name="Normal 16 2" xfId="453" xr:uid="{DE02F845-83AD-4BE8-B7CB-BE8DFDB77D07}"/>
    <cellStyle name="Normal 16 2 2" xfId="454" xr:uid="{53D28382-9295-401F-BDF4-4F55CE4058B7}"/>
    <cellStyle name="Normal 16 2 2 10" xfId="3258" xr:uid="{45E1D408-0C3C-4CBC-9333-A7294E77C670}"/>
    <cellStyle name="Normal 16 2 2 2" xfId="843" xr:uid="{4EB72298-8BD1-4AC4-91A8-EBF2B989116A}"/>
    <cellStyle name="Normal 16 2 2 2 2" xfId="1106" xr:uid="{A4B7AC15-D78B-4779-AB14-8D53D4D956FB}"/>
    <cellStyle name="Normal 16 2 2 2 2 2" xfId="1523" xr:uid="{2C0CBF86-21D5-44CF-8505-3FAAAB1DC13A}"/>
    <cellStyle name="Normal 16 2 2 2 2 2 2" xfId="3075" xr:uid="{007C42FE-4796-419B-8C6E-562F7FECE2A6}"/>
    <cellStyle name="Normal 16 2 2 2 2 2 2 2" xfId="5124" xr:uid="{8A74ECC5-5C8D-4F1E-97F0-84827D9DE9A9}"/>
    <cellStyle name="Normal 16 2 2 2 2 2 3" xfId="3858" xr:uid="{3A1D8D6D-651F-40A0-894E-B8096F3C5A27}"/>
    <cellStyle name="Normal 16 2 2 2 2 3" xfId="1929" xr:uid="{3A028CF7-802C-4146-9DD7-78F80F9BA867}"/>
    <cellStyle name="Normal 16 2 2 2 2 3 2" xfId="4246" xr:uid="{94CF0140-E108-4615-8ACA-BFA9F63F3332}"/>
    <cellStyle name="Normal 16 2 2 2 2 4" xfId="2691" xr:uid="{71CFF651-5560-4CD1-9BE0-3CEEAD342D0B}"/>
    <cellStyle name="Normal 16 2 2 2 2 4 2" xfId="4761" xr:uid="{5DAA283E-B6C3-4167-A496-4B09AE0DB734}"/>
    <cellStyle name="Normal 16 2 2 2 2 5" xfId="3470" xr:uid="{FC5AE2FC-1B72-4E4D-B0F4-8639FB3536AC}"/>
    <cellStyle name="Normal 16 2 2 2 3" xfId="1213" xr:uid="{3130165C-7BB9-4C37-B65C-B81950E2F39A}"/>
    <cellStyle name="Normal 16 2 2 2 3 2" xfId="1628" xr:uid="{3D0EF0D1-44FD-482E-92E7-769CC37F8DDE}"/>
    <cellStyle name="Normal 16 2 2 2 3 2 2" xfId="3180" xr:uid="{8118B00D-58EB-4BA7-A340-076398065D15}"/>
    <cellStyle name="Normal 16 2 2 2 3 2 2 2" xfId="5229" xr:uid="{FE04E0F3-B861-42F0-B0AD-26CF80BBE9E1}"/>
    <cellStyle name="Normal 16 2 2 2 3 2 3" xfId="3963" xr:uid="{8F797433-6E71-4C8C-8B9D-4C4DCA0DC449}"/>
    <cellStyle name="Normal 16 2 2 2 3 3" xfId="2034" xr:uid="{3D40876F-4A51-486B-9328-D49B9C2BE2FB}"/>
    <cellStyle name="Normal 16 2 2 2 3 3 2" xfId="4351" xr:uid="{4C3C93DE-3470-49AF-A9C9-C8083C455DAE}"/>
    <cellStyle name="Normal 16 2 2 2 3 4" xfId="2777" xr:uid="{2D277EE0-94A8-4D62-A5E3-23FB5E63B2F3}"/>
    <cellStyle name="Normal 16 2 2 2 3 4 2" xfId="4847" xr:uid="{856375C3-77D2-4F8E-A39A-48343DFD5982}"/>
    <cellStyle name="Normal 16 2 2 2 3 5" xfId="3575" xr:uid="{0DD6857F-AC3D-49D8-B5EF-0EB727B1F9CD}"/>
    <cellStyle name="Normal 16 2 2 2 4" xfId="983" xr:uid="{E80C3CF0-1B7D-4696-8ADA-FAF668239AAF}"/>
    <cellStyle name="Normal 16 2 2 2 4 2" xfId="1418" xr:uid="{3F7FFEE6-E9DA-4341-879F-F989105BA1B2}"/>
    <cellStyle name="Normal 16 2 2 2 4 2 2" xfId="2974" xr:uid="{BF5F5710-FF68-4240-9D29-CE59F04209D7}"/>
    <cellStyle name="Normal 16 2 2 2 4 2 2 2" xfId="5024" xr:uid="{E9EE6AEF-5B0D-4D03-BFD6-E3EBC988F268}"/>
    <cellStyle name="Normal 16 2 2 2 4 2 3" xfId="3753" xr:uid="{5ACE7A1D-7011-49B7-B91A-85E874F6EACF}"/>
    <cellStyle name="Normal 16 2 2 2 4 3" xfId="1824" xr:uid="{F04237B4-FA71-43F7-80C3-4A03CC8A55FE}"/>
    <cellStyle name="Normal 16 2 2 2 4 3 2" xfId="4141" xr:uid="{EF583A4B-881B-4EF9-BAB8-60F118DE8720}"/>
    <cellStyle name="Normal 16 2 2 2 4 4" xfId="2614" xr:uid="{723D383B-EA4D-4C70-8B2B-970B109F3EC5}"/>
    <cellStyle name="Normal 16 2 2 2 4 4 2" xfId="4684" xr:uid="{EDC72F9C-7714-4C3B-82DF-C3A3B5644200}"/>
    <cellStyle name="Normal 16 2 2 2 4 5" xfId="3365" xr:uid="{9A1EF3D2-3B26-4169-8654-041E18B96DC6}"/>
    <cellStyle name="Normal 16 2 2 2 5" xfId="1344" xr:uid="{E1EDE31F-5D42-4959-8B03-80783342872B}"/>
    <cellStyle name="Normal 16 2 2 2 5 2" xfId="2442" xr:uid="{2B3CF4EC-D503-4D6B-A001-8FA5A5F9CE9B}"/>
    <cellStyle name="Normal 16 2 2 2 5 2 2" xfId="4543" xr:uid="{87F0D36D-3B42-4960-B141-DEF52A6F046B}"/>
    <cellStyle name="Normal 16 2 2 2 5 3" xfId="3680" xr:uid="{57259948-4234-4B43-8634-05AA26AF89C9}"/>
    <cellStyle name="Normal 16 2 2 2 6" xfId="1751" xr:uid="{0F41CA25-FE04-49FA-81EE-E0F9A465B272}"/>
    <cellStyle name="Normal 16 2 2 2 6 2" xfId="2891" xr:uid="{D3ED1E30-F0CC-4474-A08A-5109C793DDBB}"/>
    <cellStyle name="Normal 16 2 2 2 6 2 2" xfId="4945" xr:uid="{6AE00A28-55C1-4D28-964A-F52728492B18}"/>
    <cellStyle name="Normal 16 2 2 2 6 3" xfId="4068" xr:uid="{D5C54EB7-9A64-4C58-9DDB-59C730D7CDFD}"/>
    <cellStyle name="Normal 16 2 2 2 7" xfId="2414" xr:uid="{FA195006-F659-4F7B-8CD1-CC247A3297FA}"/>
    <cellStyle name="Normal 16 2 2 2 7 2" xfId="4515" xr:uid="{AE3EB66A-1D60-4B3B-9CC1-1D4530967C4F}"/>
    <cellStyle name="Normal 16 2 2 2 8" xfId="3292" xr:uid="{AB1E8888-CCC1-4C71-8E36-ED92C0C940D8}"/>
    <cellStyle name="Normal 16 2 2 3" xfId="1022" xr:uid="{1053C709-5D57-402E-9F8A-B99D7BF9766E}"/>
    <cellStyle name="Normal 16 2 2 3 2" xfId="1140" xr:uid="{AB0E9843-2B3C-4B7E-A209-CC68AAADEA52}"/>
    <cellStyle name="Normal 16 2 2 3 2 2" xfId="1557" xr:uid="{0A97F53E-5810-4CD2-ABB3-E501C42EE07A}"/>
    <cellStyle name="Normal 16 2 2 3 2 2 2" xfId="3109" xr:uid="{8621CA89-5AC0-4EA1-B865-313ECA4F5134}"/>
    <cellStyle name="Normal 16 2 2 3 2 2 2 2" xfId="5158" xr:uid="{A04C4547-C9BC-491B-BC94-B9CD6D43B248}"/>
    <cellStyle name="Normal 16 2 2 3 2 2 3" xfId="3892" xr:uid="{AFF988F9-3615-4AC1-BEDD-A6C88F8CF19F}"/>
    <cellStyle name="Normal 16 2 2 3 2 3" xfId="1963" xr:uid="{17224582-04AC-4D88-A17F-C537EBB5A66B}"/>
    <cellStyle name="Normal 16 2 2 3 2 3 2" xfId="4280" xr:uid="{85660ECA-1875-4057-861C-A3181A4C8ED9}"/>
    <cellStyle name="Normal 16 2 2 3 2 4" xfId="2725" xr:uid="{EB854DA4-6F0E-42F8-8AFC-884189FD8C1E}"/>
    <cellStyle name="Normal 16 2 2 3 2 4 2" xfId="4795" xr:uid="{72A7F402-B1C0-4D0A-84CE-6BF4870A7A46}"/>
    <cellStyle name="Normal 16 2 2 3 2 5" xfId="3504" xr:uid="{6748EF68-E94E-41A0-93B4-AA6954A0D7F3}"/>
    <cellStyle name="Normal 16 2 2 3 3" xfId="1251" xr:uid="{8D64B8DA-3F5A-4F60-A1A1-C7DAC2430D2D}"/>
    <cellStyle name="Normal 16 2 2 3 3 2" xfId="1662" xr:uid="{7E258532-BE93-4EB1-AA35-29EF1F79446D}"/>
    <cellStyle name="Normal 16 2 2 3 3 2 2" xfId="3214" xr:uid="{B0088789-CE3C-4D4D-87DB-A828CA7C2985}"/>
    <cellStyle name="Normal 16 2 2 3 3 2 2 2" xfId="5263" xr:uid="{2E297C5D-9689-426E-B055-F951BDDCA894}"/>
    <cellStyle name="Normal 16 2 2 3 3 2 3" xfId="3997" xr:uid="{2304D849-7093-4C27-B52C-E400A1B6738C}"/>
    <cellStyle name="Normal 16 2 2 3 3 3" xfId="2068" xr:uid="{8E990200-588A-4AD2-9B86-CA472195F00E}"/>
    <cellStyle name="Normal 16 2 2 3 3 3 2" xfId="4385" xr:uid="{4B17C48A-CD2C-41E7-8C86-2477E2DDA6FB}"/>
    <cellStyle name="Normal 16 2 2 3 3 4" xfId="2801" xr:uid="{178872C8-9A2D-4DEF-823A-D336EFBCB3F4}"/>
    <cellStyle name="Normal 16 2 2 3 3 4 2" xfId="4871" xr:uid="{88BF2D75-AE03-42B9-9677-52984867E701}"/>
    <cellStyle name="Normal 16 2 2 3 3 5" xfId="3609" xr:uid="{F0F91DE2-79D9-47E5-ADBB-A296F49EB5AF}"/>
    <cellStyle name="Normal 16 2 2 3 4" xfId="1452" xr:uid="{D73B0E5E-698B-487A-B38C-7306F3258300}"/>
    <cellStyle name="Normal 16 2 2 3 4 2" xfId="3005" xr:uid="{9D1E3A97-D1D5-48BB-AA30-00C6F6FDBAB8}"/>
    <cellStyle name="Normal 16 2 2 3 4 2 2" xfId="5055" xr:uid="{8AC75046-94E6-405B-B143-EEF6146739EF}"/>
    <cellStyle name="Normal 16 2 2 3 4 3" xfId="3787" xr:uid="{C5D12C43-5D61-4E7D-B65E-9FC60E732A57}"/>
    <cellStyle name="Normal 16 2 2 3 5" xfId="1858" xr:uid="{004008F1-5072-4906-B77B-4677705B3F93}"/>
    <cellStyle name="Normal 16 2 2 3 5 2" xfId="4175" xr:uid="{DB38646F-E853-4C3D-BDB3-A435E16220A9}"/>
    <cellStyle name="Normal 16 2 2 3 6" xfId="2548" xr:uid="{563E603B-F701-4355-A555-FF8D79601A98}"/>
    <cellStyle name="Normal 16 2 2 3 6 2" xfId="4627" xr:uid="{624D6630-4DCD-41C7-ADF2-912D13740333}"/>
    <cellStyle name="Normal 16 2 2 3 7" xfId="3399" xr:uid="{F959EFA5-D638-4202-9551-E0A4B4D2F6CF}"/>
    <cellStyle name="Normal 16 2 2 4" xfId="1072" xr:uid="{1AB90C69-E54C-41D3-955F-0F4C2DF03878}"/>
    <cellStyle name="Normal 16 2 2 4 2" xfId="1489" xr:uid="{9BD7F232-6DAA-4BED-91E0-81895E3D2976}"/>
    <cellStyle name="Normal 16 2 2 4 2 2" xfId="3041" xr:uid="{AEE18FA5-0D04-4B32-ADC5-92C4EE55E1D0}"/>
    <cellStyle name="Normal 16 2 2 4 2 2 2" xfId="5091" xr:uid="{33E448AF-1835-425C-9E92-FA2A377FC135}"/>
    <cellStyle name="Normal 16 2 2 4 2 3" xfId="3824" xr:uid="{91C29513-7C9E-4F12-86D8-F80DAFDECE1A}"/>
    <cellStyle name="Normal 16 2 2 4 3" xfId="1895" xr:uid="{A7C5277F-E7DA-4259-B919-4E9A3373DABE}"/>
    <cellStyle name="Normal 16 2 2 4 3 2" xfId="4212" xr:uid="{FC12FD93-87D7-478F-8C09-852B3962607A}"/>
    <cellStyle name="Normal 16 2 2 4 4" xfId="2664" xr:uid="{86FF9BA4-DC1B-493E-9666-C6AC27FE3605}"/>
    <cellStyle name="Normal 16 2 2 4 4 2" xfId="4734" xr:uid="{39B33668-1FA4-48E3-8657-FB6010392703}"/>
    <cellStyle name="Normal 16 2 2 4 5" xfId="3436" xr:uid="{A54B4081-464B-4191-AD2D-F1E6CC9E8BC3}"/>
    <cellStyle name="Normal 16 2 2 5" xfId="1178" xr:uid="{147E5CF6-3E2D-4D98-A64B-D4E282A0A63A}"/>
    <cellStyle name="Normal 16 2 2 5 2" xfId="1594" xr:uid="{0A452F8B-724C-416D-B774-497A506445C0}"/>
    <cellStyle name="Normal 16 2 2 5 2 2" xfId="3146" xr:uid="{32941EA0-E616-43E8-8EC6-BB1B97A824A3}"/>
    <cellStyle name="Normal 16 2 2 5 2 2 2" xfId="5195" xr:uid="{6F326C33-50B7-4948-A0AD-37D4EC786B0A}"/>
    <cellStyle name="Normal 16 2 2 5 2 3" xfId="3929" xr:uid="{84ECBA61-A8A4-4B1A-A59E-EB073C5897D4}"/>
    <cellStyle name="Normal 16 2 2 5 3" xfId="2000" xr:uid="{1F65D7DE-5C32-4C4F-A790-FA084AC09B3F}"/>
    <cellStyle name="Normal 16 2 2 5 3 2" xfId="4317" xr:uid="{D4CB3C29-7292-4094-B7EA-A698DD2E39FC}"/>
    <cellStyle name="Normal 16 2 2 5 4" xfId="2761" xr:uid="{4D9A2836-D082-49ED-8748-DA116FB70DCE}"/>
    <cellStyle name="Normal 16 2 2 5 4 2" xfId="4831" xr:uid="{3E637A67-6F02-41FE-B57B-7A2EFA808EAB}"/>
    <cellStyle name="Normal 16 2 2 5 5" xfId="3541" xr:uid="{B6D24B46-CF0F-482C-8916-4258837C681B}"/>
    <cellStyle name="Normal 16 2 2 6" xfId="932" xr:uid="{EDDED941-65A2-4A97-8B74-C6E815560334}"/>
    <cellStyle name="Normal 16 2 2 6 2" xfId="1383" xr:uid="{DF276A4B-CD1F-47DB-8ACA-B1FB1CD5368C}"/>
    <cellStyle name="Normal 16 2 2 6 2 2" xfId="2884" xr:uid="{8BA84234-A252-4328-AD5D-FB758FCD9AD6}"/>
    <cellStyle name="Normal 16 2 2 6 2 2 2" xfId="4938" xr:uid="{1BF1F22E-4260-4717-B643-FB777A0E0928}"/>
    <cellStyle name="Normal 16 2 2 6 2 3" xfId="3719" xr:uid="{9E88E01B-2E2D-4B34-BE7D-02DD55A6CAA1}"/>
    <cellStyle name="Normal 16 2 2 6 3" xfId="1790" xr:uid="{3D94C2BF-E1B2-4ADF-8956-1CCEB5C53420}"/>
    <cellStyle name="Normal 16 2 2 6 3 2" xfId="4107" xr:uid="{0D8A24DC-18C9-4DAF-AAED-FBF6D211A42C}"/>
    <cellStyle name="Normal 16 2 2 6 4" xfId="2520" xr:uid="{A2502C18-297C-4325-B58B-4E3FD6B22413}"/>
    <cellStyle name="Normal 16 2 2 6 4 2" xfId="4601" xr:uid="{15E83ED3-BB57-420A-B473-FE98782FF3AD}"/>
    <cellStyle name="Normal 16 2 2 6 5" xfId="3331" xr:uid="{DC97144F-92FF-4A5F-A17C-2F35981B2B62}"/>
    <cellStyle name="Normal 16 2 2 7" xfId="1290" xr:uid="{EB17E0BD-DAAB-485C-87FC-9ACCE3A714BF}"/>
    <cellStyle name="Normal 16 2 2 7 2" xfId="2913" xr:uid="{17D07011-9296-42FE-9E9E-9D80530CA848}"/>
    <cellStyle name="Normal 16 2 2 7 2 2" xfId="4967" xr:uid="{6461AABE-0975-45CE-85A7-E2BD3FBA5479}"/>
    <cellStyle name="Normal 16 2 2 7 3" xfId="3646" xr:uid="{AD242985-FABF-4F15-8F60-56740BF4DAE1}"/>
    <cellStyle name="Normal 16 2 2 8" xfId="1716" xr:uid="{89EF2BC5-DD9B-48D8-B05C-29F12C384A0B}"/>
    <cellStyle name="Normal 16 2 2 8 2" xfId="4034" xr:uid="{71E52879-2EC0-4354-89B3-8C046FD95EF3}"/>
    <cellStyle name="Normal 16 2 2 9" xfId="2222" xr:uid="{41875ACB-81BB-4839-906C-18EE634D6002}"/>
    <cellStyle name="Normal 16 2 2 9 2" xfId="4443" xr:uid="{8F7B7F46-7744-4F9B-9191-BB6920353C3C}"/>
    <cellStyle name="Normal 16 2 3" xfId="2338" xr:uid="{CD67504F-E473-48A5-849A-F61D43BDADA7}"/>
    <cellStyle name="Normal 16 2 4" xfId="2386" xr:uid="{BD12A7E5-0BF6-4851-98EA-25CA8974A947}"/>
    <cellStyle name="Normal 16 2 4 2" xfId="4487" xr:uid="{7B510B64-04FA-482D-8ECE-C6FD79AA9D81}"/>
    <cellStyle name="Normal 16 2 5" xfId="2490" xr:uid="{EAC9099A-1587-4237-AA7D-932C45FA5FC3}"/>
    <cellStyle name="Normal 16 2 5 2" xfId="4581" xr:uid="{71875438-D184-4E04-86CC-D6C96990A2AE}"/>
    <cellStyle name="Normal 16 2 6" xfId="2868" xr:uid="{F3778602-BFBA-4B3B-9B4A-ED22D9812B58}"/>
    <cellStyle name="Normal 16 2 6 2" xfId="4923" xr:uid="{43DA78A5-58F1-4D71-899F-864B19D2AFA3}"/>
    <cellStyle name="Normal 16 2 7" xfId="2170" xr:uid="{DF9476CD-BEC0-4511-964E-88FB26880995}"/>
    <cellStyle name="Normal 16 2 7 2" xfId="4415" xr:uid="{587B0C1E-7E2E-4174-900D-81EC8E131F40}"/>
    <cellStyle name="Normal 16 3" xfId="455" xr:uid="{73CB8086-FD4D-4368-B89F-83170B3ADD27}"/>
    <cellStyle name="Normal 16 4" xfId="456" xr:uid="{6C6B3D97-37C1-41C6-BD42-93EF1322A4E0}"/>
    <cellStyle name="Normal 16 4 10" xfId="3259" xr:uid="{234F621D-662D-4F67-8578-EFB12236974B}"/>
    <cellStyle name="Normal 16 4 2" xfId="844" xr:uid="{1AEE3CB3-CCE3-4A79-8F03-A12CA4073B65}"/>
    <cellStyle name="Normal 16 4 2 2" xfId="1107" xr:uid="{2184EA4A-BDC5-45B2-9B16-E98E808FF621}"/>
    <cellStyle name="Normal 16 4 2 2 2" xfId="1524" xr:uid="{DD0AC866-2A0A-418B-A94F-7E6FBF0833A2}"/>
    <cellStyle name="Normal 16 4 2 2 2 2" xfId="2692" xr:uid="{D3E3C023-4308-4839-90BC-112060045E41}"/>
    <cellStyle name="Normal 16 4 2 2 2 2 2" xfId="4762" xr:uid="{69F085EB-625F-4B56-A10D-B550AE06CF18}"/>
    <cellStyle name="Normal 16 4 2 2 2 3" xfId="3859" xr:uid="{E23E4B27-DAF1-4B9E-8D5E-D5682B1654E9}"/>
    <cellStyle name="Normal 16 4 2 2 3" xfId="1930" xr:uid="{2058215E-0C7B-41F7-AE97-D948C7FE4BC9}"/>
    <cellStyle name="Normal 16 4 2 2 3 2" xfId="3076" xr:uid="{901593EC-315B-4367-86A2-C1BBE8EF862D}"/>
    <cellStyle name="Normal 16 4 2 2 3 2 2" xfId="5125" xr:uid="{19CF9D4D-5253-42DC-AF84-F8818189B9F6}"/>
    <cellStyle name="Normal 16 4 2 2 3 3" xfId="4247" xr:uid="{F8C038DC-D3E8-4864-8FAE-5CEBC84426C2}"/>
    <cellStyle name="Normal 16 4 2 2 4" xfId="2415" xr:uid="{2F35B058-90E3-43F5-8D35-7E906EB2F331}"/>
    <cellStyle name="Normal 16 4 2 2 4 2" xfId="4516" xr:uid="{CA2A4388-FCD0-421F-8B6F-D696B20C3182}"/>
    <cellStyle name="Normal 16 4 2 2 5" xfId="3471" xr:uid="{EA0BC7BB-E281-4A25-BFCB-7C170F555E06}"/>
    <cellStyle name="Normal 16 4 2 3" xfId="1214" xr:uid="{FF2FAD79-D864-4075-9180-46DC97715200}"/>
    <cellStyle name="Normal 16 4 2 3 2" xfId="1629" xr:uid="{DDC1D6C2-EA76-4213-A69B-1926FCF5265C}"/>
    <cellStyle name="Normal 16 4 2 3 2 2" xfId="3181" xr:uid="{86C118A8-0FF0-43E2-835F-1978498443C8}"/>
    <cellStyle name="Normal 16 4 2 3 2 2 2" xfId="5230" xr:uid="{C6594442-CB18-48D3-B8DB-63DA67D11FAB}"/>
    <cellStyle name="Normal 16 4 2 3 2 3" xfId="3964" xr:uid="{1BDCC377-D8FD-44E5-999C-3CA6FCFEB027}"/>
    <cellStyle name="Normal 16 4 2 3 3" xfId="2035" xr:uid="{D842EB91-B69E-456A-B97A-347CB67004BC}"/>
    <cellStyle name="Normal 16 4 2 3 3 2" xfId="4352" xr:uid="{B0436826-EDFD-4D50-BEB6-5FA232B13D1B}"/>
    <cellStyle name="Normal 16 4 2 3 4" xfId="2549" xr:uid="{8E55BAA8-1665-4227-AB48-A8CBE7A9D7AF}"/>
    <cellStyle name="Normal 16 4 2 3 4 2" xfId="4628" xr:uid="{7B80C77C-D68A-4B18-B118-08251A17CD82}"/>
    <cellStyle name="Normal 16 4 2 3 5" xfId="3576" xr:uid="{4B02B12F-251B-412D-A31D-14F4F2682BC9}"/>
    <cellStyle name="Normal 16 4 2 4" xfId="984" xr:uid="{015F7D8D-2A42-4769-BB07-D88F7E97F37E}"/>
    <cellStyle name="Normal 16 4 2 4 2" xfId="1419" xr:uid="{03D35003-5FF0-40FB-B3ED-5689A3FF3D23}"/>
    <cellStyle name="Normal 16 4 2 4 2 2" xfId="2975" xr:uid="{D58613A9-F68B-488A-814B-8D22B428B095}"/>
    <cellStyle name="Normal 16 4 2 4 2 2 2" xfId="5025" xr:uid="{60886C7D-DA73-4F3D-95F7-ECB8B58F54DA}"/>
    <cellStyle name="Normal 16 4 2 4 2 3" xfId="3754" xr:uid="{156F5142-5ABD-484B-92AE-2E399D496CB7}"/>
    <cellStyle name="Normal 16 4 2 4 3" xfId="1825" xr:uid="{E59F76F5-3DA3-4FCB-BBDB-3D8EC3656632}"/>
    <cellStyle name="Normal 16 4 2 4 3 2" xfId="4142" xr:uid="{9C06A796-2693-4148-8352-06490907650B}"/>
    <cellStyle name="Normal 16 4 2 4 4" xfId="2615" xr:uid="{A3CBFCC4-670C-410F-9F88-65C6B9E1ED73}"/>
    <cellStyle name="Normal 16 4 2 4 4 2" xfId="4685" xr:uid="{5A4B2B0A-6526-42E2-9409-923D64358E94}"/>
    <cellStyle name="Normal 16 4 2 4 5" xfId="3366" xr:uid="{D75DF4FF-E0AA-4BF3-98FA-667C75CB8D60}"/>
    <cellStyle name="Normal 16 4 2 5" xfId="1345" xr:uid="{273ED0FC-0031-421D-87D8-690C89971CA4}"/>
    <cellStyle name="Normal 16 4 2 5 2" xfId="2914" xr:uid="{B622A8E2-F9E3-45C9-84A8-33B623A7EECC}"/>
    <cellStyle name="Normal 16 4 2 5 2 2" xfId="4968" xr:uid="{792DC35D-1D75-416B-95CC-6C6E4363D2BD}"/>
    <cellStyle name="Normal 16 4 2 5 3" xfId="3681" xr:uid="{4D545A71-779D-4CC8-92F6-0C0C53718424}"/>
    <cellStyle name="Normal 16 4 2 6" xfId="1752" xr:uid="{2E6F4A56-DFE0-40E8-AC3A-0CA42807639E}"/>
    <cellStyle name="Normal 16 4 2 6 2" xfId="4069" xr:uid="{77833633-1214-4677-B52F-0B433C0C8DAE}"/>
    <cellStyle name="Normal 16 4 2 7" xfId="2223" xr:uid="{D1A84AFE-7441-4F4E-BD8B-B2DF120CBC93}"/>
    <cellStyle name="Normal 16 4 2 7 2" xfId="4444" xr:uid="{0C1464C0-98EE-423F-9549-D7BC70A041F0}"/>
    <cellStyle name="Normal 16 4 2 8" xfId="3293" xr:uid="{715923C1-5CDB-4FFD-97BB-258F4CECC44B}"/>
    <cellStyle name="Normal 16 4 3" xfId="1023" xr:uid="{48301013-94B9-4B13-81CB-5F50113F6166}"/>
    <cellStyle name="Normal 16 4 3 2" xfId="1141" xr:uid="{98FEFF8E-87BD-4782-A451-5467C7E4C3F1}"/>
    <cellStyle name="Normal 16 4 3 2 2" xfId="1558" xr:uid="{C336478D-2776-46BE-8508-AFE5A36A158A}"/>
    <cellStyle name="Normal 16 4 3 2 2 2" xfId="3110" xr:uid="{F6D981AF-C32C-4905-9D15-9221AFBE82B3}"/>
    <cellStyle name="Normal 16 4 3 2 2 2 2" xfId="5159" xr:uid="{35EA4EF2-082A-4325-9E13-8079617F1C0D}"/>
    <cellStyle name="Normal 16 4 3 2 2 3" xfId="3893" xr:uid="{DD0CFBE1-58D3-4597-8565-1D9C9DF39BE1}"/>
    <cellStyle name="Normal 16 4 3 2 3" xfId="1964" xr:uid="{08D4BB27-7BFD-4EF7-83D4-F55C7FB22487}"/>
    <cellStyle name="Normal 16 4 3 2 3 2" xfId="4281" xr:uid="{B2E21C1B-1400-4457-BF93-95F4764E3708}"/>
    <cellStyle name="Normal 16 4 3 2 4" xfId="2726" xr:uid="{9C852C93-65C6-4BDF-85EA-32EDDC4582C4}"/>
    <cellStyle name="Normal 16 4 3 2 4 2" xfId="4796" xr:uid="{F22BA8C8-6B6C-438A-93B1-0C25598E9121}"/>
    <cellStyle name="Normal 16 4 3 2 5" xfId="3505" xr:uid="{27C0F78F-8C71-426A-87FE-CC1E29E0F4FB}"/>
    <cellStyle name="Normal 16 4 3 3" xfId="1252" xr:uid="{507E7570-DEE2-4CE5-8286-D95324AC49B3}"/>
    <cellStyle name="Normal 16 4 3 3 2" xfId="1663" xr:uid="{2ED0A16F-63CB-4789-B751-8801E7A82C18}"/>
    <cellStyle name="Normal 16 4 3 3 2 2" xfId="3215" xr:uid="{09F598B1-8A05-42EF-AC19-14689B657DED}"/>
    <cellStyle name="Normal 16 4 3 3 2 2 2" xfId="5264" xr:uid="{10612495-BAD0-442B-9719-4A85A5B22325}"/>
    <cellStyle name="Normal 16 4 3 3 2 3" xfId="3998" xr:uid="{A62763A9-6EAB-4409-A03B-87A4D4A03CD7}"/>
    <cellStyle name="Normal 16 4 3 3 3" xfId="2069" xr:uid="{DBBC2537-47E5-4275-A35B-0152A43D3130}"/>
    <cellStyle name="Normal 16 4 3 3 3 2" xfId="4386" xr:uid="{A4A3392B-B7FF-4720-8DF4-DBBBB8321C64}"/>
    <cellStyle name="Normal 16 4 3 3 4" xfId="2802" xr:uid="{2B3C1A2D-E9D1-4185-8EBB-815D01D530C3}"/>
    <cellStyle name="Normal 16 4 3 3 4 2" xfId="4872" xr:uid="{4FDFA729-49F8-4462-B928-4C6BE9482146}"/>
    <cellStyle name="Normal 16 4 3 3 5" xfId="3610" xr:uid="{053A9BAD-79A5-4D24-8EDE-DCA154D7A2D5}"/>
    <cellStyle name="Normal 16 4 3 4" xfId="1453" xr:uid="{BE2F70B2-1DB2-4507-99F1-9CA90ADB9898}"/>
    <cellStyle name="Normal 16 4 3 4 2" xfId="2643" xr:uid="{4C5C735E-BBF4-4D36-ABDF-C349CFA38008}"/>
    <cellStyle name="Normal 16 4 3 4 2 2" xfId="4713" xr:uid="{261D7EC5-0F3C-49DF-9198-B25D93F957A3}"/>
    <cellStyle name="Normal 16 4 3 4 3" xfId="3788" xr:uid="{28DC147D-3B67-4D0C-8AF8-85C9A19E72BE}"/>
    <cellStyle name="Normal 16 4 3 5" xfId="1859" xr:uid="{504650C0-1995-4852-B39A-C8CDE9C80074}"/>
    <cellStyle name="Normal 16 4 3 5 2" xfId="3006" xr:uid="{8CD8CB9D-EE12-47A6-8E5B-1EDBE86F61BE}"/>
    <cellStyle name="Normal 16 4 3 5 2 2" xfId="5056" xr:uid="{A8598073-2B95-4606-BBCB-38BCDA977595}"/>
    <cellStyle name="Normal 16 4 3 5 3" xfId="4176" xr:uid="{9450D379-0203-46D4-B47F-C911C3FC69FD}"/>
    <cellStyle name="Normal 16 4 3 6" xfId="2387" xr:uid="{64E820C9-CA6C-45F9-8108-9044AD089DE6}"/>
    <cellStyle name="Normal 16 4 3 6 2" xfId="4488" xr:uid="{914C4F34-67AA-4D21-9D0B-232069746CF1}"/>
    <cellStyle name="Normal 16 4 3 7" xfId="3400" xr:uid="{2DDB21E3-9FDE-4A5E-8817-C7B3A3476657}"/>
    <cellStyle name="Normal 16 4 4" xfId="1073" xr:uid="{2ADFF8ED-8963-4551-A254-D4636A8FDA6C}"/>
    <cellStyle name="Normal 16 4 4 2" xfId="1490" xr:uid="{158BACFD-E3A1-4ABA-8C60-32C6ADFC482D}"/>
    <cellStyle name="Normal 16 4 4 2 2" xfId="3042" xr:uid="{FF2A015F-F1D9-4CA6-A161-DFA15F4D34AA}"/>
    <cellStyle name="Normal 16 4 4 2 2 2" xfId="5092" xr:uid="{F5D2A326-372C-4EA8-A605-0B0978B04D8D}"/>
    <cellStyle name="Normal 16 4 4 2 3" xfId="3825" xr:uid="{E1FD4106-F6C6-41FE-850D-D8262130A888}"/>
    <cellStyle name="Normal 16 4 4 3" xfId="1896" xr:uid="{2EEC4912-E692-400E-98A6-E5AF384C42CA}"/>
    <cellStyle name="Normal 16 4 4 3 2" xfId="4213" xr:uid="{EE2F00A1-258D-49FD-B0AF-61C19D2CA46D}"/>
    <cellStyle name="Normal 16 4 4 4" xfId="2491" xr:uid="{E68F9E70-C0F0-4296-8EA2-FFEA74E1513B}"/>
    <cellStyle name="Normal 16 4 4 4 2" xfId="4582" xr:uid="{CDB7CB0C-EC18-4B62-AAE7-1059B18DA837}"/>
    <cellStyle name="Normal 16 4 4 5" xfId="3437" xr:uid="{E901C55C-10F3-4AE5-84D4-B4B6445551B6}"/>
    <cellStyle name="Normal 16 4 5" xfId="1179" xr:uid="{0B6CF125-0B48-4131-9EFA-22766104CB55}"/>
    <cellStyle name="Normal 16 4 5 2" xfId="1595" xr:uid="{E3A5D016-C4C6-4F24-9FD7-6586CFB4FC13}"/>
    <cellStyle name="Normal 16 4 5 2 2" xfId="3147" xr:uid="{791779D8-4B59-4B73-974A-0322139D17B9}"/>
    <cellStyle name="Normal 16 4 5 2 2 2" xfId="5196" xr:uid="{6ADAB1E0-E2BD-4B81-B781-D87E478DE105}"/>
    <cellStyle name="Normal 16 4 5 2 3" xfId="3930" xr:uid="{6F6860C1-8FB9-4F50-96B2-B7B6DC0848BC}"/>
    <cellStyle name="Normal 16 4 5 3" xfId="2001" xr:uid="{30F18157-643A-4710-9257-7DC317CEF8B4}"/>
    <cellStyle name="Normal 16 4 5 3 2" xfId="4318" xr:uid="{1323FB64-2E99-4851-B0EF-C20334176D1D}"/>
    <cellStyle name="Normal 16 4 5 4" xfId="2762" xr:uid="{FD34019F-E735-4226-9116-46A89B87713E}"/>
    <cellStyle name="Normal 16 4 5 4 2" xfId="4832" xr:uid="{DB27C87E-0308-47B0-B874-65DCCEF317E5}"/>
    <cellStyle name="Normal 16 4 5 5" xfId="3542" xr:uid="{A23F770D-C096-4010-82C2-EAA25BE67367}"/>
    <cellStyle name="Normal 16 4 6" xfId="933" xr:uid="{2AC6B791-5698-4528-A2E6-552994AAB2B2}"/>
    <cellStyle name="Normal 16 4 6 2" xfId="1384" xr:uid="{A9F4EBE0-5698-41BE-A070-C5D45324701A}"/>
    <cellStyle name="Normal 16 4 6 2 2" xfId="2966" xr:uid="{12AB225B-6FC8-40B1-9D90-A9AA48A724E4}"/>
    <cellStyle name="Normal 16 4 6 2 2 2" xfId="5017" xr:uid="{E7FA35F0-0D4D-41E1-930E-97406D6E12F5}"/>
    <cellStyle name="Normal 16 4 6 2 3" xfId="3720" xr:uid="{9EA3CD7D-2F7B-4802-9160-71D69F410F98}"/>
    <cellStyle name="Normal 16 4 6 3" xfId="1791" xr:uid="{28FAF13F-C7A5-4D55-90B1-83C4518079F7}"/>
    <cellStyle name="Normal 16 4 6 3 2" xfId="4108" xr:uid="{FCF22893-5219-4CAF-9D42-FA00CD24C957}"/>
    <cellStyle name="Normal 16 4 6 4" xfId="2521" xr:uid="{D47F97E7-BBBE-4B1C-82C2-20F03E13F5BF}"/>
    <cellStyle name="Normal 16 4 6 4 2" xfId="4602" xr:uid="{F113D8A2-E7F3-47AE-BDCE-CCE279A81287}"/>
    <cellStyle name="Normal 16 4 6 5" xfId="3332" xr:uid="{DF83E3F9-B500-4454-B818-5079128EDEB1}"/>
    <cellStyle name="Normal 16 4 7" xfId="1291" xr:uid="{CCD44070-E75F-43F0-A704-D7A3A4AC484B}"/>
    <cellStyle name="Normal 16 4 7 2" xfId="2869" xr:uid="{B3F56658-349F-4173-BFB7-AD8F96BE6214}"/>
    <cellStyle name="Normal 16 4 7 2 2" xfId="4924" xr:uid="{C361CE4A-7AC5-4E86-B7E4-EA2ACB3DB729}"/>
    <cellStyle name="Normal 16 4 7 3" xfId="3647" xr:uid="{4A063A2E-FD9B-4876-92DE-EFCD2F64F3B8}"/>
    <cellStyle name="Normal 16 4 8" xfId="1717" xr:uid="{337EA202-ED6D-4CDF-9B8E-1B0B8D80A71F}"/>
    <cellStyle name="Normal 16 4 8 2" xfId="4035" xr:uid="{A76ECEEC-23F0-4BC9-A8A5-7144CD3F3462}"/>
    <cellStyle name="Normal 16 4 9" xfId="2171" xr:uid="{C6A25E8F-1D47-49EE-9855-D099D34D8248}"/>
    <cellStyle name="Normal 16 4 9 2" xfId="4416" xr:uid="{A12CDAB0-7F30-4093-B219-1FF87B289A06}"/>
    <cellStyle name="Normal 17" xfId="457" xr:uid="{96D70CB5-DBFF-46FA-8ADD-B2A731BBC666}"/>
    <cellStyle name="Normal 17 2" xfId="458" xr:uid="{DEB4A837-FBB5-4645-9AB1-5A63289A7360}"/>
    <cellStyle name="Normal 17 3" xfId="459" xr:uid="{FE5D9376-6208-47A6-8D27-00D98ADDE810}"/>
    <cellStyle name="Normal 18" xfId="460" xr:uid="{7FFA1B09-F45A-48D1-8EE4-06FC4FB6D983}"/>
    <cellStyle name="Normal 18 2" xfId="461" xr:uid="{685733A4-0C69-4C72-AEF4-7C525EE86F92}"/>
    <cellStyle name="Normal 19" xfId="462" xr:uid="{D01CFF82-2FE6-49F1-91F6-622C8243C649}"/>
    <cellStyle name="Normal 19 2" xfId="463" xr:uid="{A1889F1E-CEA2-4A95-B5D6-9CC18ACC9C4C}"/>
    <cellStyle name="Normal 2" xfId="3" xr:uid="{00000000-0005-0000-0000-000004000000}"/>
    <cellStyle name="Normal 2 10" xfId="465" xr:uid="{011E784D-07C5-4510-BAB9-F337561101B7}"/>
    <cellStyle name="Normal 2 10 2" xfId="845" xr:uid="{36DCBA80-93FF-4D59-83E9-4856C13FD633}"/>
    <cellStyle name="Normal 2 10 2 2" xfId="2083" xr:uid="{65B72CA2-50B4-4382-8C43-338E2A3E344A}"/>
    <cellStyle name="Normal 2 11" xfId="464" xr:uid="{209847E1-1F25-444B-8F84-5CCB0CB8A005}"/>
    <cellStyle name="Normal 2 12" xfId="1312" xr:uid="{8E21BF65-082A-4D6A-9F68-4A53276739A5}"/>
    <cellStyle name="Normal 2 2" xfId="466" xr:uid="{F8001B52-E594-43BB-8F36-7352E414CB97}"/>
    <cellStyle name="Normal 2 2 2" xfId="467" xr:uid="{A1B52BFA-11F4-4BC9-88E6-50357B3B06C2}"/>
    <cellStyle name="Normal 2 2 2 2" xfId="468" xr:uid="{4A2D0BA4-2A80-4F03-94AC-06D0E95629DF}"/>
    <cellStyle name="Normal 2 2 2 2 2" xfId="469" xr:uid="{29E431ED-D4ED-4711-A3A1-71D3CC1AA255}"/>
    <cellStyle name="Normal 2 2 2 2 2 2" xfId="470" xr:uid="{0CB804EE-08DB-45AF-8E73-66DEB5065040}"/>
    <cellStyle name="Normal 2 2 2 2 3" xfId="471" xr:uid="{1E8A3BCB-D306-480C-AD59-9F697C85A5D3}"/>
    <cellStyle name="Normal 2 2 2 2 3 2" xfId="472" xr:uid="{64F8BECF-6654-4C32-9F13-FBE57CE72971}"/>
    <cellStyle name="Normal 2 2 2 2 3 2 2" xfId="473" xr:uid="{1C9DCD3B-6B5C-4980-BB4F-BB2B8881A6A5}"/>
    <cellStyle name="Normal 2 2 2 2 3 3" xfId="474" xr:uid="{AC490815-E725-4741-8CDE-C5BB93D8EC8D}"/>
    <cellStyle name="Normal 2 2 2 2 4" xfId="475" xr:uid="{2BDD7989-04C2-4553-87E1-FEFE20DD5F2B}"/>
    <cellStyle name="Normal 2 2 2 2 4 2" xfId="476" xr:uid="{79619C96-D148-4DD9-B42E-C943D7691206}"/>
    <cellStyle name="Normal 2 2 2 2 5" xfId="477" xr:uid="{926249B8-6527-4158-9336-DB0555CA05C2}"/>
    <cellStyle name="Normal 2 2 2 2 5 2" xfId="478" xr:uid="{439C2C2D-A3E8-4789-9144-A2A56739567F}"/>
    <cellStyle name="Normal 2 2 2 2 5 2 2" xfId="479" xr:uid="{81329AB0-75CD-4255-81E7-9D9A1AFA5901}"/>
    <cellStyle name="Normal 2 2 2 2 5 3" xfId="480" xr:uid="{3B473B32-E5C8-483B-B830-95290EEB9D68}"/>
    <cellStyle name="Normal 2 2 2 2 5 3 2" xfId="846" xr:uid="{1DAF8FE1-1732-4DD0-AF17-392BE70B6802}"/>
    <cellStyle name="Normal 2 2 2 2 5 3 2 2" xfId="2084" xr:uid="{EAF13685-9333-40DD-9B32-55BC7A5E9AC8}"/>
    <cellStyle name="Normal 2 2 2 2 6" xfId="481" xr:uid="{A6C0CD64-A3C1-43A4-B0AF-86739B087158}"/>
    <cellStyle name="Normal 2 2 2 3" xfId="482" xr:uid="{191CE2F4-6ADA-4D88-BA8A-DB639BF73F36}"/>
    <cellStyle name="Normal 2 2 2 3 2" xfId="483" xr:uid="{3638A343-3527-4777-AC0E-42899E0E1638}"/>
    <cellStyle name="Normal 2 2 2 4" xfId="484" xr:uid="{21C7D7AF-43DD-4B80-A661-3D5787C4192A}"/>
    <cellStyle name="Normal 2 2 2 4 2" xfId="485" xr:uid="{424598F9-608C-4627-9EAC-02838140D569}"/>
    <cellStyle name="Normal 2 2 2 5" xfId="486" xr:uid="{5D00C42D-BC03-46D2-BF7D-F64BDC4727E7}"/>
    <cellStyle name="Normal 2 2 2 5 2" xfId="487" xr:uid="{A7F083D6-BC97-43C6-A1BC-3CC6D855E011}"/>
    <cellStyle name="Normal 2 2 2 5 2 2" xfId="488" xr:uid="{83CD7463-929B-4379-9756-BC8939623CEB}"/>
    <cellStyle name="Normal 2 2 2 5 3" xfId="489" xr:uid="{DD38C33D-01B0-43A6-B591-E7D0141E39F2}"/>
    <cellStyle name="Normal 2 2 2 5 4" xfId="490" xr:uid="{0C9CABF2-B2AD-4838-BA85-FD4B290E81EC}"/>
    <cellStyle name="Normal 2 2 2 5 5" xfId="491" xr:uid="{66F2B0E9-76A1-4CE5-8E29-C9AEEC1C7EF0}"/>
    <cellStyle name="Normal 2 2 2 5 5 2" xfId="847" xr:uid="{4F5F3F24-6EAB-43CB-8740-9FAC0756BFFE}"/>
    <cellStyle name="Normal 2 2 2 5 5 2 2" xfId="2085" xr:uid="{745DB967-D192-4E2F-84BB-084407B52BFA}"/>
    <cellStyle name="Normal 2 2 2 6" xfId="492" xr:uid="{70609A35-DCD0-40AE-B07C-DE4334A9E34C}"/>
    <cellStyle name="Normal 2 2 2 6 2" xfId="493" xr:uid="{85C0A3D5-092C-46D3-8E2B-FD8BC2E5654A}"/>
    <cellStyle name="Normal 2 2 2 7" xfId="895" xr:uid="{D488CC24-F082-434C-9926-C27CE13749FA}"/>
    <cellStyle name="Normal 2 2 3" xfId="494" xr:uid="{EE6CE370-D2F6-4871-AA8B-261C50247C21}"/>
    <cellStyle name="Normal 2 2 3 2" xfId="495" xr:uid="{2EB55A87-7058-43CA-A76E-94599F45C4A0}"/>
    <cellStyle name="Normal 2 2 3 2 2" xfId="496" xr:uid="{E330D653-F251-4FB8-A843-17346ABCA0D6}"/>
    <cellStyle name="Normal 2 2 3 3" xfId="497" xr:uid="{8B2703B3-1E7F-492F-AD09-26003FAA0D31}"/>
    <cellStyle name="Normal 2 2 3 3 2" xfId="498" xr:uid="{41548C69-6F9C-49E1-8B55-C1AEEADEF828}"/>
    <cellStyle name="Normal 2 2 3 4" xfId="499" xr:uid="{C70CDCD4-E312-4290-BC5E-1136292E13EB}"/>
    <cellStyle name="Normal 2 2 3 5" xfId="500" xr:uid="{D6B5029A-6155-4A3D-8FB3-E9149B59949A}"/>
    <cellStyle name="Normal 2 2 3 5 2" xfId="501" xr:uid="{65C2B245-5E83-4F4A-9DB1-C642D552DB12}"/>
    <cellStyle name="Normal 2 2 3 5 3" xfId="934" xr:uid="{FC97AE35-4943-4B30-97B9-B4DCF2F5624F}"/>
    <cellStyle name="Normal 2 2 3 5 4" xfId="896" xr:uid="{85F6B00C-71DB-4E89-B56C-AED7FAC1747D}"/>
    <cellStyle name="Normal 2 2 3 6" xfId="502" xr:uid="{481A04DA-D350-40FB-BB01-A70B0AD415B1}"/>
    <cellStyle name="Normal 2 2 3 7" xfId="503" xr:uid="{791344C2-86B8-4366-92AB-2BCBA1B91011}"/>
    <cellStyle name="Normal 2 2 4" xfId="504" xr:uid="{4B1DB0F7-B05E-4D5B-A9F1-176ADA2E1DB5}"/>
    <cellStyle name="Normal 2 2 4 2" xfId="505" xr:uid="{D34273D2-C689-44E9-B13D-37780990CD3F}"/>
    <cellStyle name="Normal 2 2 5" xfId="506" xr:uid="{925D08EB-5ADC-4BA3-B387-5181F0FD164F}"/>
    <cellStyle name="Normal 2 2 5 2" xfId="507" xr:uid="{60B8F70A-C034-408A-AD16-01FB89F94FEB}"/>
    <cellStyle name="Normal 2 2 6" xfId="508" xr:uid="{D151AF82-28B1-4F20-89C1-6B56F4448BF1}"/>
    <cellStyle name="Normal 2 2 7" xfId="509" xr:uid="{965CAF8B-FDB0-4618-84C4-1E67EA25566C}"/>
    <cellStyle name="Normal 2 3" xfId="510" xr:uid="{1B603292-785E-4DDE-AEB6-369D75025B2D}"/>
    <cellStyle name="Normal 2 3 2" xfId="511" xr:uid="{F0703A24-F7C4-4D63-8C9D-0FA5B5A233CF}"/>
    <cellStyle name="Normal 2 3 2 2" xfId="512" xr:uid="{1CD51A0C-CB12-4517-958B-D206A44A19FB}"/>
    <cellStyle name="Normal 2 3 2 3" xfId="513" xr:uid="{F0FAA517-04F8-4459-8BDE-EA7C182031CE}"/>
    <cellStyle name="Normal 2 3 2 4" xfId="897" xr:uid="{629CC2C9-9204-40FB-AAFC-417E47BD002F}"/>
    <cellStyle name="Normal 2 3 3" xfId="514" xr:uid="{4C3257AF-20A2-4790-AFA6-6E51DB4DBA5A}"/>
    <cellStyle name="Normal 2 3 3 2" xfId="515" xr:uid="{5096C9C3-3491-436E-A216-688BB06077B1}"/>
    <cellStyle name="Normal 2 3 3 3" xfId="516" xr:uid="{41B032AE-43E9-4F94-88D4-38FE449357A1}"/>
    <cellStyle name="Normal 2 3 4" xfId="517" xr:uid="{7104C9C3-1771-4094-8B96-F47B512B7835}"/>
    <cellStyle name="Normal 2 3 4 2" xfId="518" xr:uid="{B26A1E94-528D-487D-8CD0-3B373A5A6188}"/>
    <cellStyle name="Normal 2 3 4 3" xfId="519" xr:uid="{90BFD19C-B6F5-4E54-A896-5EB70C86B54C}"/>
    <cellStyle name="Normal 2 3 5" xfId="520" xr:uid="{789474FB-9564-4C13-9DFC-E26BC3EA85CA}"/>
    <cellStyle name="Normal 2 3 5 2" xfId="521" xr:uid="{23427182-550C-4201-94FF-BA15E084831B}"/>
    <cellStyle name="Normal 2 3 5 3" xfId="522" xr:uid="{7C5CEEF7-B9A7-4D66-8CA1-BD2DF18D824A}"/>
    <cellStyle name="Normal 2 3 6" xfId="523" xr:uid="{54BCB045-5968-4F1F-BC31-274A9D7491F3}"/>
    <cellStyle name="Normal 2 4" xfId="524" xr:uid="{E44C82AB-D40F-45A0-BAA9-220638BE420E}"/>
    <cellStyle name="Normal 2 4 2" xfId="525" xr:uid="{07F6E2A9-3A06-4802-8A29-1837F84ACE81}"/>
    <cellStyle name="Normal 2 4 2 2" xfId="526" xr:uid="{0D7C9E1F-064A-4936-BFDE-A43581A8C962}"/>
    <cellStyle name="Normal 2 4 2 3" xfId="527" xr:uid="{7786E8CD-A3F5-49C8-9200-7569895C78D8}"/>
    <cellStyle name="Normal 2 4 3" xfId="528" xr:uid="{AAC1E310-8369-4F47-83F8-B59301168C1E}"/>
    <cellStyle name="Normal 2 4 3 2" xfId="529" xr:uid="{50E18786-938E-4669-9E67-08F8D4BF4ED5}"/>
    <cellStyle name="Normal 2 4 4" xfId="530" xr:uid="{BD3B1C7A-BC36-4947-8945-D1E3BB3F5070}"/>
    <cellStyle name="Normal 2 4 4 2" xfId="531" xr:uid="{5A47A8F0-90C9-4E2E-9A30-BA8C9045EE87}"/>
    <cellStyle name="Normal 2 4 4 2 2" xfId="2339" xr:uid="{676821F0-3CE8-4046-9469-B92D26A9E6DE}"/>
    <cellStyle name="Normal 2 4 4 2 3" xfId="2172" xr:uid="{0CAD99DE-4F0E-43F7-B8D4-E2E34DFBFB6A}"/>
    <cellStyle name="Normal 2 4 4 3" xfId="2173" xr:uid="{290474C4-3CA8-4951-8276-E1D8379EFE55}"/>
    <cellStyle name="Normal 2 4 4 4" xfId="2853" xr:uid="{5EFFAC44-8E15-4F9A-9230-F83F28215A95}"/>
    <cellStyle name="Normal 2 4 5" xfId="532" xr:uid="{45AE1B28-C12B-4444-8701-9364252C7B88}"/>
    <cellStyle name="Normal 2 4 5 2" xfId="935" xr:uid="{67D6573B-C734-454B-A14A-5325AB93CFEC}"/>
    <cellStyle name="Normal 2 4 5 3" xfId="898" xr:uid="{F988DAB9-927C-447F-A83C-606677E4A5D2}"/>
    <cellStyle name="Normal 2 5" xfId="533" xr:uid="{BD447670-FC8F-4036-B524-364264E2156C}"/>
    <cellStyle name="Normal 2 5 2" xfId="534" xr:uid="{B58F9402-367A-48EA-9140-EF822E85D930}"/>
    <cellStyle name="Normal 2 5 2 2" xfId="535" xr:uid="{321BBB2D-AB84-4CB1-8647-7CDFF335DABE}"/>
    <cellStyle name="Normal 2 5 3" xfId="536" xr:uid="{A4758023-71BC-42B8-9C6C-428A4704D462}"/>
    <cellStyle name="Normal 2 5 4" xfId="537" xr:uid="{335FAAFC-4B04-480D-840C-49ADFFA1A650}"/>
    <cellStyle name="Normal 2 5 5" xfId="538" xr:uid="{4436333F-A638-438C-981F-85A2719B6A13}"/>
    <cellStyle name="Normal 2 5 6" xfId="539" xr:uid="{4D8113D3-DD06-4AE1-B3A4-E90A5DE44E03}"/>
    <cellStyle name="Normal 2 5 6 2" xfId="848" xr:uid="{42BAA5A6-E94E-40C1-BC67-E829CC9DB747}"/>
    <cellStyle name="Normal 2 5 6 2 2" xfId="2086" xr:uid="{9D728F01-0E0B-4E33-9385-D90CBDD9D7A3}"/>
    <cellStyle name="Normal 2 6" xfId="540" xr:uid="{109CE449-B9B1-48FA-A69C-5967EF867AF9}"/>
    <cellStyle name="Normal 2 6 10" xfId="899" xr:uid="{F22F835E-34A7-4FEF-9EB9-BA70589EEAC6}"/>
    <cellStyle name="Normal 2 6 10 2" xfId="1362" xr:uid="{8B4B699B-8CD1-4824-84F9-9C6B31F8E8CF}"/>
    <cellStyle name="Normal 2 6 10 2 2" xfId="2936" xr:uid="{487B3B1C-6F39-4ACC-AC90-31A97C9F7505}"/>
    <cellStyle name="Normal 2 6 10 2 2 2" xfId="4990" xr:uid="{9B0C1ED9-7105-497B-BE1A-1FE8E7E71D8B}"/>
    <cellStyle name="Normal 2 6 10 2 3" xfId="3698" xr:uid="{63CB5232-834E-464E-A5FF-B7D932449542}"/>
    <cellStyle name="Normal 2 6 10 3" xfId="1769" xr:uid="{69091B2A-F357-4CD6-9F58-5C5D731ACEAF}"/>
    <cellStyle name="Normal 2 6 10 3 2" xfId="4086" xr:uid="{7AC79012-295A-4541-B314-C2B28E081727}"/>
    <cellStyle name="Normal 2 6 10 4" xfId="2477" xr:uid="{B386A010-6910-4E00-B6F6-EF914FCB5E56}"/>
    <cellStyle name="Normal 2 6 10 4 2" xfId="4571" xr:uid="{33B6233D-54B2-4402-A24A-9176CCD5B50F}"/>
    <cellStyle name="Normal 2 6 10 5" xfId="3310" xr:uid="{B527999F-A864-42A6-B52D-A27DAA0BDDD0}"/>
    <cellStyle name="Normal 2 6 11" xfId="1292" xr:uid="{B559B272-1BE6-4896-8ED1-4E563105E9A0}"/>
    <cellStyle name="Normal 2 6 11 2" xfId="2874" xr:uid="{C918856D-6219-4E3C-A4B0-9312612A96E8}"/>
    <cellStyle name="Normal 2 6 11 2 2" xfId="4928" xr:uid="{7F03B8E1-79B2-4C40-8819-DFEF11BFA20E}"/>
    <cellStyle name="Normal 2 6 11 3" xfId="3648" xr:uid="{FB803771-928A-421C-A3A6-2FC3B0351A44}"/>
    <cellStyle name="Normal 2 6 12" xfId="1718" xr:uid="{8F75D139-3E4D-46D2-8ADC-685DB8D91A45}"/>
    <cellStyle name="Normal 2 6 12 2" xfId="4036" xr:uid="{56A05826-D859-42F2-BFE2-44CD1FE2D320}"/>
    <cellStyle name="Normal 2 6 13" xfId="2174" xr:uid="{8EC6DB2B-1444-4221-83BB-6FFD24244150}"/>
    <cellStyle name="Normal 2 6 13 2" xfId="4417" xr:uid="{EC91F23B-5C7D-4E7F-B23F-75A97B798C49}"/>
    <cellStyle name="Normal 2 6 14" xfId="3260" xr:uid="{C1096443-0DDB-4208-A4A6-980EFABAA987}"/>
    <cellStyle name="Normal 2 6 2" xfId="541" xr:uid="{07159B61-5A78-42A4-8C32-96FD140ED81B}"/>
    <cellStyle name="Normal 2 6 2 10" xfId="3261" xr:uid="{EF2EB4AF-6D4B-4321-8D3C-6C6608A434DF}"/>
    <cellStyle name="Normal 2 6 2 2" xfId="850" xr:uid="{58D308B4-EE5B-42D8-85EF-443D998B5A0F}"/>
    <cellStyle name="Normal 2 6 2 2 2" xfId="1109" xr:uid="{F2902C15-38BB-4D6C-B200-9F306B1DD5DC}"/>
    <cellStyle name="Normal 2 6 2 2 2 2" xfId="1526" xr:uid="{11009F81-F7A7-4394-8548-3BD8DD5214A4}"/>
    <cellStyle name="Normal 2 6 2 2 2 2 2" xfId="2694" xr:uid="{1EDB1181-06E6-48EE-B4B0-3AD1AF2B881D}"/>
    <cellStyle name="Normal 2 6 2 2 2 2 2 2" xfId="4764" xr:uid="{14BAFF95-0702-46AE-AC48-482E3E34A7DF}"/>
    <cellStyle name="Normal 2 6 2 2 2 2 3" xfId="3861" xr:uid="{D6FDCE6F-E36A-4FB3-B5E0-6E165415CFAA}"/>
    <cellStyle name="Normal 2 6 2 2 2 3" xfId="1932" xr:uid="{1FA7B6A9-1041-496B-86AD-5851C1A7653F}"/>
    <cellStyle name="Normal 2 6 2 2 2 3 2" xfId="3078" xr:uid="{6307B017-9671-4757-946D-2F54574D5A0C}"/>
    <cellStyle name="Normal 2 6 2 2 2 3 2 2" xfId="5127" xr:uid="{60B73883-F5EE-410E-90EA-4F62B84E9EDC}"/>
    <cellStyle name="Normal 2 6 2 2 2 3 3" xfId="4249" xr:uid="{7B12BCBE-E41F-45F5-B83E-FF2B6FDC9C18}"/>
    <cellStyle name="Normal 2 6 2 2 2 4" xfId="2417" xr:uid="{85D9D3B2-CEB9-4646-A7E5-70BA2D6B0A07}"/>
    <cellStyle name="Normal 2 6 2 2 2 4 2" xfId="4518" xr:uid="{18AE9072-6491-49FA-BA3E-56B1FF9A4A7F}"/>
    <cellStyle name="Normal 2 6 2 2 2 5" xfId="3473" xr:uid="{34EB54DA-61D7-4BE7-9C15-46289016BD3E}"/>
    <cellStyle name="Normal 2 6 2 2 3" xfId="1216" xr:uid="{84607528-D754-4708-9B71-758D2092F806}"/>
    <cellStyle name="Normal 2 6 2 2 3 2" xfId="1631" xr:uid="{7BBE042E-3049-43F2-AC56-4F48E1E4D7F6}"/>
    <cellStyle name="Normal 2 6 2 2 3 2 2" xfId="3183" xr:uid="{F8280877-7F8A-4684-805F-473C873A107F}"/>
    <cellStyle name="Normal 2 6 2 2 3 2 2 2" xfId="5232" xr:uid="{527CF3C0-7F71-4705-A6AF-8B186852787D}"/>
    <cellStyle name="Normal 2 6 2 2 3 2 3" xfId="3966" xr:uid="{3AD788F1-8300-4ED1-B467-9A41379F66B4}"/>
    <cellStyle name="Normal 2 6 2 2 3 3" xfId="2037" xr:uid="{5E8AC680-50B7-4517-9A96-4934A30D5062}"/>
    <cellStyle name="Normal 2 6 2 2 3 3 2" xfId="4354" xr:uid="{4EAE0348-2C45-42FB-B706-4D1CE8DD3071}"/>
    <cellStyle name="Normal 2 6 2 2 3 4" xfId="2551" xr:uid="{D5BD2365-7209-4B57-9139-CF3CA700C57E}"/>
    <cellStyle name="Normal 2 6 2 2 3 4 2" xfId="4630" xr:uid="{6EBE9F83-7DBA-4E58-84E9-7103DC3114B9}"/>
    <cellStyle name="Normal 2 6 2 2 3 5" xfId="3578" xr:uid="{8A04D3B3-4949-47A5-B191-CDEFB52F101C}"/>
    <cellStyle name="Normal 2 6 2 2 4" xfId="986" xr:uid="{B8DFC8E6-A9AB-47C4-A9B0-825C547DD898}"/>
    <cellStyle name="Normal 2 6 2 2 4 2" xfId="1421" xr:uid="{6C7011A6-8155-44DD-B7C5-EBC30B5A7ED0}"/>
    <cellStyle name="Normal 2 6 2 2 4 2 2" xfId="2977" xr:uid="{AD9850FE-80EE-41F3-BF29-A54406F006BF}"/>
    <cellStyle name="Normal 2 6 2 2 4 2 2 2" xfId="5027" xr:uid="{967670FE-16EE-404C-B47A-A09E18D25754}"/>
    <cellStyle name="Normal 2 6 2 2 4 2 3" xfId="3756" xr:uid="{7A0677E6-12D0-4E46-A71E-1D1B79FA02EB}"/>
    <cellStyle name="Normal 2 6 2 2 4 3" xfId="1827" xr:uid="{04EFFC27-408C-4D23-9BE6-74093F0504F3}"/>
    <cellStyle name="Normal 2 6 2 2 4 3 2" xfId="4144" xr:uid="{11A90EE3-3D82-47DF-B956-47FBF3E39D65}"/>
    <cellStyle name="Normal 2 6 2 2 4 4" xfId="2617" xr:uid="{1B8D3EC1-ED07-44B8-A14A-8BF3AF9EFF1F}"/>
    <cellStyle name="Normal 2 6 2 2 4 4 2" xfId="4687" xr:uid="{91361E02-31CD-4ABD-AF9A-AF09B8A883B8}"/>
    <cellStyle name="Normal 2 6 2 2 4 5" xfId="3368" xr:uid="{F47475B5-0BC7-4902-A6FD-5EE0D9B569BE}"/>
    <cellStyle name="Normal 2 6 2 2 5" xfId="1347" xr:uid="{737285B5-4E0A-47E9-9DBF-3F1CE38C654E}"/>
    <cellStyle name="Normal 2 6 2 2 5 2" xfId="2916" xr:uid="{6E0B4E8C-68E2-41A2-B2F9-080EEF09B627}"/>
    <cellStyle name="Normal 2 6 2 2 5 2 2" xfId="4970" xr:uid="{9508729A-7A75-47B9-925F-E9DEC481B9C1}"/>
    <cellStyle name="Normal 2 6 2 2 5 3" xfId="3683" xr:uid="{D919FDB2-FCB3-41E5-B3E5-9C436B59F58E}"/>
    <cellStyle name="Normal 2 6 2 2 6" xfId="1754" xr:uid="{B1A6335E-D79E-4DAC-9022-D399BFA9295E}"/>
    <cellStyle name="Normal 2 6 2 2 6 2" xfId="4071" xr:uid="{1F8560A9-5175-4043-97DC-C8E5BED1C188}"/>
    <cellStyle name="Normal 2 6 2 2 7" xfId="2225" xr:uid="{8FE48C37-0043-46CF-96ED-BAB57AB5084A}"/>
    <cellStyle name="Normal 2 6 2 2 7 2" xfId="4446" xr:uid="{C79A34ED-1D70-4795-A5C9-456F25272E4D}"/>
    <cellStyle name="Normal 2 6 2 2 8" xfId="3295" xr:uid="{3C571FB4-099E-4B3C-B7AB-42717B8CE593}"/>
    <cellStyle name="Normal 2 6 2 3" xfId="1025" xr:uid="{3E37747D-9DB3-4C92-9975-1C42FE35D2A2}"/>
    <cellStyle name="Normal 2 6 2 3 2" xfId="1143" xr:uid="{75FA1852-DE9D-42FE-9517-CBE500A92934}"/>
    <cellStyle name="Normal 2 6 2 3 2 2" xfId="1560" xr:uid="{49D24809-242D-40EE-8676-0F614D2FFA99}"/>
    <cellStyle name="Normal 2 6 2 3 2 2 2" xfId="3112" xr:uid="{C6E154FC-4E0B-4A85-9F1D-168554F33225}"/>
    <cellStyle name="Normal 2 6 2 3 2 2 2 2" xfId="5161" xr:uid="{3724EB1C-8B76-4629-98FF-325276BB8B87}"/>
    <cellStyle name="Normal 2 6 2 3 2 2 3" xfId="3895" xr:uid="{56524E3D-F326-4391-B280-06EE101D6E7B}"/>
    <cellStyle name="Normal 2 6 2 3 2 3" xfId="1966" xr:uid="{2533AE9D-7EBB-4A9A-8B0F-D29840F34A21}"/>
    <cellStyle name="Normal 2 6 2 3 2 3 2" xfId="4283" xr:uid="{C3E9EFE3-759B-4BA0-8851-64C69475EBA0}"/>
    <cellStyle name="Normal 2 6 2 3 2 4" xfId="2728" xr:uid="{D956BDFD-E722-4DE9-B447-85A3ABF92613}"/>
    <cellStyle name="Normal 2 6 2 3 2 4 2" xfId="4798" xr:uid="{BF4F0570-6683-4D83-B909-2BC5688482EE}"/>
    <cellStyle name="Normal 2 6 2 3 2 5" xfId="3507" xr:uid="{46330403-08F2-46BD-9C79-5F6F9CF0FFDC}"/>
    <cellStyle name="Normal 2 6 2 3 3" xfId="1254" xr:uid="{187E2844-26D0-48E6-931F-B52A526D8B54}"/>
    <cellStyle name="Normal 2 6 2 3 3 2" xfId="1665" xr:uid="{C6201F7A-4B9B-40E7-AD70-E5BE68CE89D0}"/>
    <cellStyle name="Normal 2 6 2 3 3 2 2" xfId="3217" xr:uid="{9D9669CB-922A-45E1-A60A-2B960764003E}"/>
    <cellStyle name="Normal 2 6 2 3 3 2 2 2" xfId="5266" xr:uid="{19AFEA94-1F4B-48E5-B970-4EEE8B310AE7}"/>
    <cellStyle name="Normal 2 6 2 3 3 2 3" xfId="4000" xr:uid="{8C8B9A54-0D2C-45EE-B950-C4BE7066B966}"/>
    <cellStyle name="Normal 2 6 2 3 3 3" xfId="2071" xr:uid="{BBDDBB54-061F-41C2-99E5-D082424A0731}"/>
    <cellStyle name="Normal 2 6 2 3 3 3 2" xfId="4388" xr:uid="{F691F4E1-EC46-4211-9092-59CBC8E85DCD}"/>
    <cellStyle name="Normal 2 6 2 3 3 4" xfId="2804" xr:uid="{3AD80842-5D9D-42DB-B416-029EBC0D37ED}"/>
    <cellStyle name="Normal 2 6 2 3 3 4 2" xfId="4874" xr:uid="{E0FBF7E2-355E-4BD6-AB50-21F5537EE25F}"/>
    <cellStyle name="Normal 2 6 2 3 3 5" xfId="3612" xr:uid="{A29EBC72-0A27-4F28-BD8C-97006C64334E}"/>
    <cellStyle name="Normal 2 6 2 3 4" xfId="1455" xr:uid="{12A60A53-D206-468C-8B2C-51C2F78FA52F}"/>
    <cellStyle name="Normal 2 6 2 3 4 2" xfId="2645" xr:uid="{41F51003-6166-49D7-A691-A2D39E9D733A}"/>
    <cellStyle name="Normal 2 6 2 3 4 2 2" xfId="4715" xr:uid="{5B71F99E-EB71-4B91-9902-899B53A5E4BE}"/>
    <cellStyle name="Normal 2 6 2 3 4 3" xfId="3790" xr:uid="{8721BAE8-B423-4271-9561-F7ADF26F43AB}"/>
    <cellStyle name="Normal 2 6 2 3 5" xfId="1861" xr:uid="{1D75A11C-5A57-4761-9534-BC78B5B921AC}"/>
    <cellStyle name="Normal 2 6 2 3 5 2" xfId="3008" xr:uid="{29770FA9-FE32-4EB7-AB7E-0D4737828FA8}"/>
    <cellStyle name="Normal 2 6 2 3 5 2 2" xfId="5058" xr:uid="{C19DA585-9ACE-4B1E-8242-2A58808608AB}"/>
    <cellStyle name="Normal 2 6 2 3 5 3" xfId="4178" xr:uid="{C1C3B2F4-9950-42B3-BAAF-ED7435B72000}"/>
    <cellStyle name="Normal 2 6 2 3 6" xfId="2389" xr:uid="{A84CF15F-2E2A-41E1-93FE-1172C128B4A5}"/>
    <cellStyle name="Normal 2 6 2 3 6 2" xfId="4490" xr:uid="{460CE180-8808-46A2-9BA3-2AE1501AE831}"/>
    <cellStyle name="Normal 2 6 2 3 7" xfId="3402" xr:uid="{3D63B0D8-4B29-4446-9007-CE6ABDC1BCBD}"/>
    <cellStyle name="Normal 2 6 2 4" xfId="1074" xr:uid="{6A791157-03FA-439F-82F9-389F51A4E00F}"/>
    <cellStyle name="Normal 2 6 2 4 2" xfId="1491" xr:uid="{268FFDEF-D0C3-4D86-88A8-F813A498F7FF}"/>
    <cellStyle name="Normal 2 6 2 4 2 2" xfId="3043" xr:uid="{F167F8BA-76C9-473F-A400-3A6CE65D421D}"/>
    <cellStyle name="Normal 2 6 2 4 2 2 2" xfId="5093" xr:uid="{8E0BA163-ADAD-48CA-90CB-990E1C198EFB}"/>
    <cellStyle name="Normal 2 6 2 4 2 3" xfId="3826" xr:uid="{C2A27157-0C62-487C-96B9-45B948045002}"/>
    <cellStyle name="Normal 2 6 2 4 3" xfId="1897" xr:uid="{D1CA60F8-DE69-47DF-A37D-52AB5EA9EBE6}"/>
    <cellStyle name="Normal 2 6 2 4 3 2" xfId="4214" xr:uid="{8EFE5C96-4A60-4430-8C33-5B9A76C6F251}"/>
    <cellStyle name="Normal 2 6 2 4 4" xfId="2494" xr:uid="{A128FEB6-807D-43B8-867C-5BECB2264CF8}"/>
    <cellStyle name="Normal 2 6 2 4 4 2" xfId="4584" xr:uid="{02D04E16-0CEC-4A08-8B80-3D735FDA6B56}"/>
    <cellStyle name="Normal 2 6 2 4 5" xfId="3438" xr:uid="{9E4611E2-4E70-494C-96C0-A0AE05B37A5E}"/>
    <cellStyle name="Normal 2 6 2 5" xfId="1180" xr:uid="{67222ED4-E333-49AB-9670-4AC170A94561}"/>
    <cellStyle name="Normal 2 6 2 5 2" xfId="1596" xr:uid="{C95D8604-53E2-4510-9D01-4C325A2E209C}"/>
    <cellStyle name="Normal 2 6 2 5 2 2" xfId="3148" xr:uid="{2E0C6A87-EA82-423F-989B-C1888EF0B21B}"/>
    <cellStyle name="Normal 2 6 2 5 2 2 2" xfId="5197" xr:uid="{380DEB9A-655D-4183-81F4-9DDD86C90B1C}"/>
    <cellStyle name="Normal 2 6 2 5 2 3" xfId="3931" xr:uid="{C4DC19DD-07C7-4FE1-973A-8D32141E03BF}"/>
    <cellStyle name="Normal 2 6 2 5 3" xfId="2002" xr:uid="{B1D1B892-3776-40A9-B8CB-8FF7E6B9C07A}"/>
    <cellStyle name="Normal 2 6 2 5 3 2" xfId="4319" xr:uid="{DD17FC6C-2275-4915-A811-7CE86982AA33}"/>
    <cellStyle name="Normal 2 6 2 5 4" xfId="2763" xr:uid="{BA65A431-4806-4B54-984D-90FCC5E848FC}"/>
    <cellStyle name="Normal 2 6 2 5 4 2" xfId="4833" xr:uid="{39D60439-52DB-4D5D-80ED-05F37F528DE3}"/>
    <cellStyle name="Normal 2 6 2 5 5" xfId="3543" xr:uid="{49CE2492-1EB7-42C9-A829-9F608DE3A728}"/>
    <cellStyle name="Normal 2 6 2 6" xfId="936" xr:uid="{57DED7CC-9345-49B4-8682-C3AC8980FF15}"/>
    <cellStyle name="Normal 2 6 2 6 2" xfId="1385" xr:uid="{717DE538-4D10-4141-B0CE-1D85DE05E987}"/>
    <cellStyle name="Normal 2 6 2 6 2 2" xfId="2962" xr:uid="{BD5EDBB7-69D8-4891-8E7C-0FA023076E30}"/>
    <cellStyle name="Normal 2 6 2 6 2 2 2" xfId="5013" xr:uid="{B260443E-FD3B-4235-BD0E-D4FAFE1F505B}"/>
    <cellStyle name="Normal 2 6 2 6 2 3" xfId="3721" xr:uid="{3E1BEC36-8BA4-48CA-AAA9-E5131A03E2E4}"/>
    <cellStyle name="Normal 2 6 2 6 3" xfId="1792" xr:uid="{3F29A71E-CE73-45EB-8AD6-7F0F8A6AF8A7}"/>
    <cellStyle name="Normal 2 6 2 6 3 2" xfId="4109" xr:uid="{8F47530C-DF24-47BA-B6A3-0EA970F2935C}"/>
    <cellStyle name="Normal 2 6 2 6 4" xfId="2472" xr:uid="{6B1D5095-AC47-4918-A1FD-625A20AD9162}"/>
    <cellStyle name="Normal 2 6 2 6 4 2" xfId="4566" xr:uid="{AB31D3B9-09EC-4FA2-BFBD-D7B236CFD596}"/>
    <cellStyle name="Normal 2 6 2 6 5" xfId="3333" xr:uid="{10D5AB1F-0D86-4933-8A37-87CA5311FF32}"/>
    <cellStyle name="Normal 2 6 2 7" xfId="1293" xr:uid="{9B01C0FA-2033-4024-8B89-0F0015B660DF}"/>
    <cellStyle name="Normal 2 6 2 7 2" xfId="2875" xr:uid="{376371C9-6E9A-421B-B7B3-041233735720}"/>
    <cellStyle name="Normal 2 6 2 7 2 2" xfId="4929" xr:uid="{85E8DDA6-73FC-4398-80F8-FFFC57083435}"/>
    <cellStyle name="Normal 2 6 2 7 3" xfId="3649" xr:uid="{23B7CCA4-98DA-4DDD-82BA-0C3FD3D4245A}"/>
    <cellStyle name="Normal 2 6 2 8" xfId="1719" xr:uid="{58C57CDD-4523-4529-82F2-8A59284D2DDB}"/>
    <cellStyle name="Normal 2 6 2 8 2" xfId="4037" xr:uid="{CAC88FDF-E1A7-4D5B-93D6-AC3B6481CFCD}"/>
    <cellStyle name="Normal 2 6 2 9" xfId="2175" xr:uid="{C2764F7E-43BE-49CA-8B42-8D2B5B3DA982}"/>
    <cellStyle name="Normal 2 6 2 9 2" xfId="4418" xr:uid="{54AE83AF-7999-4AF4-AD41-131BDEC0A86D}"/>
    <cellStyle name="Normal 2 6 3" xfId="542" xr:uid="{D84858E8-276A-41B1-BA14-17D43D1B75EB}"/>
    <cellStyle name="Normal 2 6 3 2" xfId="543" xr:uid="{E1949FE2-90C6-401F-9DBF-2F1F9EAE5A61}"/>
    <cellStyle name="Normal 2 6 3 2 2" xfId="544" xr:uid="{10C86FE0-DF5D-4507-AAC6-01DE1C6AD4C1}"/>
    <cellStyle name="Normal 2 6 4" xfId="545" xr:uid="{919D5455-6D57-482E-861E-1DD7513BE8DC}"/>
    <cellStyle name="Normal 2 6 4 2" xfId="546" xr:uid="{3402AF60-F38C-422E-BDBA-7946069D295D}"/>
    <cellStyle name="Normal 2 6 4 3" xfId="547" xr:uid="{0F5D2246-8930-4916-9F93-4719BC86EA8B}"/>
    <cellStyle name="Normal 2 6 5" xfId="548" xr:uid="{3F30CE2A-5291-4492-B7E8-323A4C2FD227}"/>
    <cellStyle name="Normal 2 6 6" xfId="849" xr:uid="{0BCCB7E5-54B0-4CAB-B769-ACD38E2D13C7}"/>
    <cellStyle name="Normal 2 6 6 2" xfId="1108" xr:uid="{F09830DF-820A-419E-8A92-99E180F88E9C}"/>
    <cellStyle name="Normal 2 6 6 2 2" xfId="1525" xr:uid="{12257DC6-4629-40A6-842A-1625FC79A979}"/>
    <cellStyle name="Normal 2 6 6 2 2 2" xfId="2693" xr:uid="{B702B482-2FC0-4F32-ABF6-48D3C302B5B8}"/>
    <cellStyle name="Normal 2 6 6 2 2 2 2" xfId="4763" xr:uid="{9BC37402-CA9F-4F6B-8890-BA0592E38B4A}"/>
    <cellStyle name="Normal 2 6 6 2 2 3" xfId="3860" xr:uid="{A12A9077-7868-4814-9F6D-D202D987A730}"/>
    <cellStyle name="Normal 2 6 6 2 3" xfId="1931" xr:uid="{9078C2AE-A271-4F8F-A4BE-4082AA5CE966}"/>
    <cellStyle name="Normal 2 6 6 2 3 2" xfId="3077" xr:uid="{835EC8A8-7287-40D4-957D-96886FCB7286}"/>
    <cellStyle name="Normal 2 6 6 2 3 2 2" xfId="5126" xr:uid="{FA996CFD-49A7-4A4F-9CF7-38527F100E80}"/>
    <cellStyle name="Normal 2 6 6 2 3 3" xfId="4248" xr:uid="{BC547F8F-A8DD-40F8-9254-D369C4AA74D4}"/>
    <cellStyle name="Normal 2 6 6 2 4" xfId="2416" xr:uid="{AC6D80CF-62DC-4F47-835F-BBCB61609677}"/>
    <cellStyle name="Normal 2 6 6 2 4 2" xfId="4517" xr:uid="{C69B524E-1AAD-4684-891C-98F7A90F7C46}"/>
    <cellStyle name="Normal 2 6 6 2 5" xfId="3472" xr:uid="{172AEEB2-3FA1-4ECB-9F54-96A75B3E515F}"/>
    <cellStyle name="Normal 2 6 6 3" xfId="1215" xr:uid="{D7918A95-BEB9-4FA7-8EA8-1444D61AD363}"/>
    <cellStyle name="Normal 2 6 6 3 2" xfId="1630" xr:uid="{F362515B-427F-49FC-BECA-B8974A7920D5}"/>
    <cellStyle name="Normal 2 6 6 3 2 2" xfId="3182" xr:uid="{F01E357F-3A97-4A63-B781-16E40C11386D}"/>
    <cellStyle name="Normal 2 6 6 3 2 2 2" xfId="5231" xr:uid="{2D108123-20C7-41C5-85BF-B1C2BA2042FF}"/>
    <cellStyle name="Normal 2 6 6 3 2 3" xfId="3965" xr:uid="{C2BE781D-215C-4AC7-BD04-87131D13FD78}"/>
    <cellStyle name="Normal 2 6 6 3 3" xfId="2036" xr:uid="{91D11F9A-7739-4F8F-A297-17F73E98FCB7}"/>
    <cellStyle name="Normal 2 6 6 3 3 2" xfId="4353" xr:uid="{8EEE03F2-2DCA-4440-B3D2-AE6DE9E69C42}"/>
    <cellStyle name="Normal 2 6 6 3 4" xfId="2550" xr:uid="{D23E6322-B16D-4778-97E4-A30F9518FB09}"/>
    <cellStyle name="Normal 2 6 6 3 4 2" xfId="4629" xr:uid="{4DBDE992-9186-4A8F-BB21-06AD0F4B8697}"/>
    <cellStyle name="Normal 2 6 6 3 5" xfId="3577" xr:uid="{154497B8-5F4B-4538-BE27-74E3B1D77C74}"/>
    <cellStyle name="Normal 2 6 6 4" xfId="985" xr:uid="{400403C5-F286-435A-BADB-E46BCE060A1A}"/>
    <cellStyle name="Normal 2 6 6 4 2" xfId="1420" xr:uid="{77E3CBDC-25C9-4CF3-A0AA-396FDA4345EF}"/>
    <cellStyle name="Normal 2 6 6 4 2 2" xfId="2976" xr:uid="{444AC1F2-5819-4A0C-8484-679B07B02F2B}"/>
    <cellStyle name="Normal 2 6 6 4 2 2 2" xfId="5026" xr:uid="{A19C0755-AF68-4CD9-9E7E-373BCB319D14}"/>
    <cellStyle name="Normal 2 6 6 4 2 3" xfId="3755" xr:uid="{EE1D4025-A956-4F56-80C0-F16D91E9B954}"/>
    <cellStyle name="Normal 2 6 6 4 3" xfId="1826" xr:uid="{D345B19A-4028-41EE-8849-8E88E4398D7C}"/>
    <cellStyle name="Normal 2 6 6 4 3 2" xfId="4143" xr:uid="{46AB6D9F-9AF7-4C6A-8B25-4A18C0B795A1}"/>
    <cellStyle name="Normal 2 6 6 4 4" xfId="2616" xr:uid="{EFF20D1F-1742-46C0-A718-F27DB1025C8A}"/>
    <cellStyle name="Normal 2 6 6 4 4 2" xfId="4686" xr:uid="{0D740021-D185-4E24-BC67-F1C470AE1CE1}"/>
    <cellStyle name="Normal 2 6 6 4 5" xfId="3367" xr:uid="{96CBDEB2-1298-46AD-BD92-1F0B84815C67}"/>
    <cellStyle name="Normal 2 6 6 5" xfId="1346" xr:uid="{F3878755-CE96-4A11-A310-1986B57D9B4D}"/>
    <cellStyle name="Normal 2 6 6 5 2" xfId="2915" xr:uid="{E2AC4FB6-5C08-42F7-81CD-870238F7D962}"/>
    <cellStyle name="Normal 2 6 6 5 2 2" xfId="4969" xr:uid="{7B40C833-07CC-4110-A8F3-4641C790BF8F}"/>
    <cellStyle name="Normal 2 6 6 5 3" xfId="3682" xr:uid="{55802911-29F2-4D20-8DFD-FF94E40DBBB9}"/>
    <cellStyle name="Normal 2 6 6 6" xfId="1753" xr:uid="{CF0586E0-96A7-4824-A8B3-A86A514CAC67}"/>
    <cellStyle name="Normal 2 6 6 6 2" xfId="4070" xr:uid="{1B4B5E32-D160-47D5-AA26-5C198F26D29D}"/>
    <cellStyle name="Normal 2 6 6 7" xfId="2224" xr:uid="{C1E24F27-6044-40A7-9E6A-3FBEEED13339}"/>
    <cellStyle name="Normal 2 6 6 7 2" xfId="4445" xr:uid="{45C3D0B5-A166-484E-9038-A0FD52B778CA}"/>
    <cellStyle name="Normal 2 6 6 8" xfId="3294" xr:uid="{ED2852B9-BA33-44D2-B1B2-AD57EEB54989}"/>
    <cellStyle name="Normal 2 6 7" xfId="1024" xr:uid="{0B2B328B-0BCA-484F-97DD-CF5B70026D90}"/>
    <cellStyle name="Normal 2 6 7 2" xfId="1142" xr:uid="{130A4499-F751-4D80-812E-28217C36491A}"/>
    <cellStyle name="Normal 2 6 7 2 2" xfId="1559" xr:uid="{56FEA8F1-F184-43D7-848E-E563947CEA5A}"/>
    <cellStyle name="Normal 2 6 7 2 2 2" xfId="3111" xr:uid="{1C0EAB92-715C-4C24-A7C5-625C14DC6CA8}"/>
    <cellStyle name="Normal 2 6 7 2 2 2 2" xfId="5160" xr:uid="{47907BF5-4DC5-4A91-A768-9D1B258D02B6}"/>
    <cellStyle name="Normal 2 6 7 2 2 3" xfId="3894" xr:uid="{A58A0A66-CD5A-4F3E-A1F5-9FFA37F5F6E0}"/>
    <cellStyle name="Normal 2 6 7 2 3" xfId="1965" xr:uid="{2525E925-59FC-4339-A8FD-5A7409F662FE}"/>
    <cellStyle name="Normal 2 6 7 2 3 2" xfId="4282" xr:uid="{77D237E6-64C4-43A9-AF01-3FCD7C2BD63E}"/>
    <cellStyle name="Normal 2 6 7 2 4" xfId="2727" xr:uid="{652025BD-CCF4-402F-A052-2E2972F2709B}"/>
    <cellStyle name="Normal 2 6 7 2 4 2" xfId="4797" xr:uid="{6E3EF69A-2DDD-4BBC-94AC-732ACBBB76F1}"/>
    <cellStyle name="Normal 2 6 7 2 5" xfId="3506" xr:uid="{EFB091D2-2D52-499F-9E16-B6B7CEEFF9A5}"/>
    <cellStyle name="Normal 2 6 7 3" xfId="1253" xr:uid="{DEAF13F6-9C99-4823-9FCA-02AB05202FFD}"/>
    <cellStyle name="Normal 2 6 7 3 2" xfId="1664" xr:uid="{86BF25AD-5BA9-4184-88CA-721B45BF7D69}"/>
    <cellStyle name="Normal 2 6 7 3 2 2" xfId="3216" xr:uid="{B8F47E7F-C9E2-46BB-8456-84F9372AC179}"/>
    <cellStyle name="Normal 2 6 7 3 2 2 2" xfId="5265" xr:uid="{F27C4EE3-02D8-4343-8872-468D59EC0591}"/>
    <cellStyle name="Normal 2 6 7 3 2 3" xfId="3999" xr:uid="{C16F2F25-4BD9-4613-A983-97D50F548127}"/>
    <cellStyle name="Normal 2 6 7 3 3" xfId="2070" xr:uid="{D2B17EE5-2378-44CA-8A7B-DFE0AF431C7F}"/>
    <cellStyle name="Normal 2 6 7 3 3 2" xfId="4387" xr:uid="{7AD1D138-810B-44B7-9B0B-848014AA812E}"/>
    <cellStyle name="Normal 2 6 7 3 4" xfId="2803" xr:uid="{7AA2D449-BAEC-4157-9C63-617F8612AE12}"/>
    <cellStyle name="Normal 2 6 7 3 4 2" xfId="4873" xr:uid="{9F78AC90-18FF-4E41-9BFC-76EA3C5D8678}"/>
    <cellStyle name="Normal 2 6 7 3 5" xfId="3611" xr:uid="{7C377DD0-BC43-422D-95D4-D5D6CA3D61B9}"/>
    <cellStyle name="Normal 2 6 7 4" xfId="1454" xr:uid="{C1A7EACD-2890-4863-A824-813BCC074B6B}"/>
    <cellStyle name="Normal 2 6 7 4 2" xfId="2644" xr:uid="{54E89F6B-4718-4C9F-83B0-4C6B47982F69}"/>
    <cellStyle name="Normal 2 6 7 4 2 2" xfId="4714" xr:uid="{22E71357-6007-4B19-AD6A-CDF409CF63D9}"/>
    <cellStyle name="Normal 2 6 7 4 3" xfId="3789" xr:uid="{82E5973A-68FA-4E76-93C4-126B9FB148A9}"/>
    <cellStyle name="Normal 2 6 7 5" xfId="1860" xr:uid="{26AD178B-CBB4-4200-AB8D-3D5A1E25AFE2}"/>
    <cellStyle name="Normal 2 6 7 5 2" xfId="3007" xr:uid="{784ABB29-0E68-4644-888F-46D8331814C4}"/>
    <cellStyle name="Normal 2 6 7 5 2 2" xfId="5057" xr:uid="{159F85F4-BBC3-42EC-8899-891D99767F74}"/>
    <cellStyle name="Normal 2 6 7 5 3" xfId="4177" xr:uid="{49D0444E-A45E-4B64-893D-FEE88A8A88F8}"/>
    <cellStyle name="Normal 2 6 7 6" xfId="2388" xr:uid="{2585D202-A28E-4069-BB5C-6E470ECE74FE}"/>
    <cellStyle name="Normal 2 6 7 6 2" xfId="4489" xr:uid="{AC6EDFFC-F59F-4897-997E-F2F991089EB1}"/>
    <cellStyle name="Normal 2 6 7 7" xfId="3401" xr:uid="{01716D1C-22CA-48C8-B576-4BAB707DAA79}"/>
    <cellStyle name="Normal 2 6 8" xfId="1051" xr:uid="{38B54A6F-5D3C-42DD-B093-499FD27F6554}"/>
    <cellStyle name="Normal 2 6 8 2" xfId="1468" xr:uid="{8CB811FE-5FB7-4587-A476-48CEC6A5C9E9}"/>
    <cellStyle name="Normal 2 6 8 2 2" xfId="3020" xr:uid="{2CB28B70-EAC2-4D22-8E7F-2495341BA9FA}"/>
    <cellStyle name="Normal 2 6 8 2 2 2" xfId="5070" xr:uid="{3AF5AC57-9E9F-491A-A2FF-DDB94CABD259}"/>
    <cellStyle name="Normal 2 6 8 2 3" xfId="3803" xr:uid="{33EDF0A0-A05F-48BC-95B3-12F0CF9D24A0}"/>
    <cellStyle name="Normal 2 6 8 3" xfId="1874" xr:uid="{43912F44-1998-4FD8-88BF-CD7429862DE9}"/>
    <cellStyle name="Normal 2 6 8 3 2" xfId="4191" xr:uid="{E2B11AC8-8796-45B2-9535-428AF5C2AA3B}"/>
    <cellStyle name="Normal 2 6 8 4" xfId="2493" xr:uid="{77BD680E-0A8A-44BB-8A3B-C536DD139DA9}"/>
    <cellStyle name="Normal 2 6 8 4 2" xfId="4583" xr:uid="{3D1F094C-FF90-427F-B844-CB6A55E6C14F}"/>
    <cellStyle name="Normal 2 6 8 5" xfId="3415" xr:uid="{C356488C-01FC-4EA3-820C-E331D10E8A52}"/>
    <cellStyle name="Normal 2 6 9" xfId="1156" xr:uid="{6F13E7A2-2EAC-4BA7-92D2-532361DD80E7}"/>
    <cellStyle name="Normal 2 6 9 2" xfId="1573" xr:uid="{707668A1-A0B0-4C2A-9E3B-073D7602914B}"/>
    <cellStyle name="Normal 2 6 9 2 2" xfId="3125" xr:uid="{2578479D-1752-49C5-B724-6F3C7E13628D}"/>
    <cellStyle name="Normal 2 6 9 2 2 2" xfId="5174" xr:uid="{FC811EB1-E97D-4101-BA97-6F6C6E054F90}"/>
    <cellStyle name="Normal 2 6 9 2 3" xfId="3908" xr:uid="{7844D940-AED5-4B23-8767-DB268BE5BD06}"/>
    <cellStyle name="Normal 2 6 9 3" xfId="1979" xr:uid="{64E3D9B7-CBDF-454B-864D-F6569C2D6EB7}"/>
    <cellStyle name="Normal 2 6 9 3 2" xfId="4296" xr:uid="{3ED4F177-FEE0-480D-BE62-FB883643E56A}"/>
    <cellStyle name="Normal 2 6 9 4" xfId="2741" xr:uid="{D01675FF-651C-4B09-95D4-B4BDB6BC8DDF}"/>
    <cellStyle name="Normal 2 6 9 4 2" xfId="4811" xr:uid="{CCFC71A2-65C4-4DED-8947-4023E06A36D8}"/>
    <cellStyle name="Normal 2 6 9 5" xfId="3520" xr:uid="{41AB0595-4815-47B7-91EE-2F42E059F4FF}"/>
    <cellStyle name="Normal 2 7" xfId="549" xr:uid="{E3CF9DA5-D829-4943-9FDD-04CD41444F11}"/>
    <cellStyle name="Normal 2 7 2" xfId="550" xr:uid="{B2DA1F42-DECD-4ADE-BB95-BAF1A08ED22A}"/>
    <cellStyle name="Normal 2 7 2 2" xfId="938" xr:uid="{779CB9A1-0BF8-4883-A949-CC8E801FD5B2}"/>
    <cellStyle name="Normal 2 7 2 3" xfId="901" xr:uid="{FEDD5012-C367-419F-B3C0-771E5E987F7B}"/>
    <cellStyle name="Normal 2 7 3" xfId="551" xr:uid="{0DFEBE60-6434-4B22-B03B-2C54560F9775}"/>
    <cellStyle name="Normal 2 7 4" xfId="937" xr:uid="{C9965A06-9A6E-408F-ADDC-A1C5B8ABD4C8}"/>
    <cellStyle name="Normal 2 7 5" xfId="900" xr:uid="{B2E55E21-F9C9-434E-BAC9-E27A2E61927F}"/>
    <cellStyle name="Normal 2 7 6" xfId="2970" xr:uid="{D60C938D-7337-4A6F-AC8C-B1D23B6B1ED8}"/>
    <cellStyle name="Normal 2 8" xfId="552" xr:uid="{EFF783F5-274B-4FAD-B5E1-9574ADC5C8BA}"/>
    <cellStyle name="Normal 2 8 2" xfId="553" xr:uid="{F8C56083-1922-4033-BBC0-9575AD9A4F58}"/>
    <cellStyle name="Normal 2 8 3" xfId="554" xr:uid="{F9E14987-386D-4C18-997A-50DBDACD84EE}"/>
    <cellStyle name="Normal 2 9" xfId="555" xr:uid="{328AEE6E-03EC-4FF0-902B-195CA3CC922F}"/>
    <cellStyle name="Normal 2 9 2" xfId="556" xr:uid="{0DA03433-B206-4A78-9B1C-6800F47544FA}"/>
    <cellStyle name="Normal 2_Sheet2" xfId="871" xr:uid="{785C2BDC-8F91-401E-82A7-C01E23D4BA07}"/>
    <cellStyle name="Normal 20" xfId="557" xr:uid="{69BF392A-2C0A-481E-B342-E84E827FB2DB}"/>
    <cellStyle name="Normal 20 2" xfId="558" xr:uid="{5237EEBE-7794-41BA-AD3E-5F0E9BD80A70}"/>
    <cellStyle name="Normal 21" xfId="559" xr:uid="{C42E13BA-7D99-463B-8A98-A76272070160}"/>
    <cellStyle name="Normal 21 2" xfId="560" xr:uid="{6E6484A1-95E7-4E91-874D-932A527AC1EB}"/>
    <cellStyle name="Normal 22" xfId="561" xr:uid="{D334CD31-53F1-4EF0-91A4-10A4F5EE551B}"/>
    <cellStyle name="Normal 22 2" xfId="562" xr:uid="{70A23DC2-6092-4227-836A-A4AC48A19D3A}"/>
    <cellStyle name="Normal 23" xfId="563" xr:uid="{837B57D0-9482-4AE0-B463-517D5E822F14}"/>
    <cellStyle name="Normal 23 2" xfId="564" xr:uid="{8729AE7F-AEFC-4175-A307-21DF7EB593B1}"/>
    <cellStyle name="Normal 24" xfId="565" xr:uid="{AA1D4CA8-8C33-4099-AB77-94E70C3C4363}"/>
    <cellStyle name="Normal 24 2" xfId="566" xr:uid="{25FF82C6-FE07-4BBF-A6E0-B0AB0A2759FA}"/>
    <cellStyle name="Normal 25" xfId="567" xr:uid="{B68236AD-EDAE-47C7-88BC-5F1BEBF5E7E2}"/>
    <cellStyle name="Normal 25 2" xfId="568" xr:uid="{70DE891A-6F2A-4DB2-B601-CE290A59FA17}"/>
    <cellStyle name="Normal 26" xfId="569" xr:uid="{36114326-A425-4BFF-8019-1BC6F7B1C1ED}"/>
    <cellStyle name="Normal 26 2" xfId="570" xr:uid="{ED99E1AF-3B0A-4D4B-816D-37E57839F6D4}"/>
    <cellStyle name="Normal 27" xfId="571" xr:uid="{7567C359-EBEF-432A-818E-89F9EF8D35DB}"/>
    <cellStyle name="Normal 27 2" xfId="572" xr:uid="{F4FB4577-E996-4D2A-9716-3376EA1D6611}"/>
    <cellStyle name="Normal 28" xfId="573" xr:uid="{E1F923FD-50D9-4CF3-8D54-2CB6E80AC59C}"/>
    <cellStyle name="Normal 28 2" xfId="574" xr:uid="{700D7701-2AFC-44A5-A21F-9071E7A5C466}"/>
    <cellStyle name="Normal 29" xfId="575" xr:uid="{0280BCDB-15C0-45BA-B3FC-E4915B3FBE50}"/>
    <cellStyle name="Normal 29 2" xfId="576" xr:uid="{53BEA9EA-9937-464D-AFF7-2CB1E492E2A2}"/>
    <cellStyle name="Normal 3" xfId="4" xr:uid="{00000000-0005-0000-0000-000005000000}"/>
    <cellStyle name="Normal 3 10" xfId="863" xr:uid="{0FA0DB6C-2765-43F1-8FBB-2A5B4F9FBD89}"/>
    <cellStyle name="Normal 3 10 2" xfId="1353" xr:uid="{C4E9ADC9-CDE5-4F57-881A-5A0BF2CF5442}"/>
    <cellStyle name="Normal 3 10 2 2" xfId="2508" xr:uid="{2D78DC7F-1E86-426E-92EC-BBC7156244EA}"/>
    <cellStyle name="Normal 3 10 2 2 2" xfId="4593" xr:uid="{3EADB839-658F-4A82-AE51-27B7B9F2D486}"/>
    <cellStyle name="Normal 3 10 2 3" xfId="3689" xr:uid="{1B19D26E-9A8E-4712-BC63-70D2692DB864}"/>
    <cellStyle name="Normal 3 10 3" xfId="1760" xr:uid="{FCB679B6-B582-4FF0-B2D0-2AE9ED4290D8}"/>
    <cellStyle name="Normal 3 10 3 2" xfId="2859" xr:uid="{D03F17F3-E12F-41B4-8B32-319FF021B3EE}"/>
    <cellStyle name="Normal 3 10 3 2 2" xfId="4915" xr:uid="{2B4D5570-D03E-4A2B-918F-42E096BF8DB4}"/>
    <cellStyle name="Normal 3 10 3 3" xfId="4077" xr:uid="{4A262C1F-EA35-432C-B839-F0664BFCF8C7}"/>
    <cellStyle name="Normal 3 10 4" xfId="2368" xr:uid="{F68ED97B-4CE8-4AF4-8129-6A77F8EB81BB}"/>
    <cellStyle name="Normal 3 10 4 2" xfId="4469" xr:uid="{02C9D2C4-9AB5-40EC-88D6-5E831E7A3350}"/>
    <cellStyle name="Normal 3 10 5" xfId="3301" xr:uid="{C817FCA9-55CE-42DA-BAE5-A7933D22D219}"/>
    <cellStyle name="Normal 3 11" xfId="24" xr:uid="{8C642221-2223-4972-934E-8E75FC847AC1}"/>
    <cellStyle name="Normal 3 11 2" xfId="2441" xr:uid="{AE69BB7C-223D-40D5-AA56-6A492DAE44F6}"/>
    <cellStyle name="Normal 3 11 2 2" xfId="4542" xr:uid="{D56D30BA-9247-47F2-B23F-A284775FBEA6}"/>
    <cellStyle name="Normal 3 11 3" xfId="3230" xr:uid="{91CFD8A1-A11F-448D-99EA-F3C408316C52}"/>
    <cellStyle name="Normal 3 12" xfId="1260" xr:uid="{DCAEAB80-322C-47B0-AAE9-6066A47FC665}"/>
    <cellStyle name="Normal 3 12 2" xfId="2821" xr:uid="{99B34F04-8E49-4406-82DB-59201038CE88}"/>
    <cellStyle name="Normal 3 12 2 2" xfId="4880" xr:uid="{B079C527-3883-4F9C-9C24-D77B1521F62B}"/>
    <cellStyle name="Normal 3 12 3" xfId="3618" xr:uid="{9FB17E54-95C8-42D0-9B96-94F5CA98D646}"/>
    <cellStyle name="Normal 3 13" xfId="1685" xr:uid="{26E742C1-EFE1-45C3-A4AA-8096763482BE}"/>
    <cellStyle name="Normal 3 13 2" xfId="4006" xr:uid="{171EADF2-46AA-498E-8C63-ADB70076DD89}"/>
    <cellStyle name="Normal 3 14" xfId="2096" xr:uid="{8230E95B-76A0-4A39-B3D7-DBB1492420A6}"/>
    <cellStyle name="Normal 3 14 2" xfId="4394" xr:uid="{714EBB23-5E64-426C-A33D-7B3CB9986004}"/>
    <cellStyle name="Normal 3 15" xfId="19" xr:uid="{BD511683-7E31-400C-82BF-CDAB4F7DA841}"/>
    <cellStyle name="Normal 3 16" xfId="3225" xr:uid="{B6D9F706-3704-4C95-8A08-992EF3E42DF9}"/>
    <cellStyle name="Normal 3 2" xfId="14" xr:uid="{00000000-0005-0000-0000-000006000000}"/>
    <cellStyle name="Normal 3 2 10" xfId="20" xr:uid="{742122CC-ADB0-4AB8-B575-5FB5A11D1B25}"/>
    <cellStyle name="Normal 3 2 11" xfId="3226" xr:uid="{4237BDDC-85A1-41F5-B4FF-37089343E9AF}"/>
    <cellStyle name="Normal 3 2 2" xfId="18" xr:uid="{00000000-0005-0000-0000-000007000000}"/>
    <cellStyle name="Normal 3 2 2 2" xfId="580" xr:uid="{E6F81139-16AF-407E-AAC4-D99F559869F8}"/>
    <cellStyle name="Normal 3 2 2 3" xfId="579" xr:uid="{941BDFE1-B3CD-429A-B417-EF954F868081}"/>
    <cellStyle name="Normal 3 2 2 4" xfId="23" xr:uid="{4B0AE83F-EFF1-403C-B0F1-6BACEE0487C8}"/>
    <cellStyle name="Normal 3 2 2 5" xfId="3229" xr:uid="{FDB568A1-7B93-4AC7-8601-77082B1927DF}"/>
    <cellStyle name="Normal 3 2 3" xfId="581" xr:uid="{65B9CC0C-EA8F-4783-B562-A26959908C92}"/>
    <cellStyle name="Normal 3 2 4" xfId="578" xr:uid="{DDD7116E-A41C-4422-A354-E017D3CD04B4}"/>
    <cellStyle name="Normal 3 2 4 2" xfId="2563" xr:uid="{902B3D80-EA05-479C-BF78-E22D4EE596FD}"/>
    <cellStyle name="Normal 3 2 4 3" xfId="2100" xr:uid="{F1C3EF19-BE4E-477E-9071-1F9364F7BCA7}"/>
    <cellStyle name="Normal 3 2 4 3 2" xfId="4398" xr:uid="{1A3C449A-9E75-4F86-AC04-BD2566D9CC75}"/>
    <cellStyle name="Normal 3 2 5" xfId="864" xr:uid="{45887460-2403-4FF8-B71A-B4495D341CC2}"/>
    <cellStyle name="Normal 3 2 5 2" xfId="1354" xr:uid="{69A3675D-CCAD-4A94-BBD5-195A5505FD93}"/>
    <cellStyle name="Normal 3 2 5 2 2" xfId="2587" xr:uid="{933D5043-6CA1-45BE-B9FE-2D8AC0A52743}"/>
    <cellStyle name="Normal 3 2 5 2 2 2" xfId="4659" xr:uid="{F2F8BC50-D5F3-48BF-8A39-854A4E37AC29}"/>
    <cellStyle name="Normal 3 2 5 2 3" xfId="3690" xr:uid="{1E7D96DB-D660-40A6-8E04-03E479E1B27A}"/>
    <cellStyle name="Normal 3 2 5 3" xfId="1761" xr:uid="{1F10D4ED-85B6-4496-9BF7-EDDB2B8AFFE5}"/>
    <cellStyle name="Normal 3 2 5 3 2" xfId="2879" xr:uid="{02E5A10F-2879-4AA6-A473-C90AE4E53EDB}"/>
    <cellStyle name="Normal 3 2 5 3 2 2" xfId="4933" xr:uid="{C11D40E6-EA5E-4B34-8883-171295F045A9}"/>
    <cellStyle name="Normal 3 2 5 3 3" xfId="4078" xr:uid="{ABDA3F2A-EA10-4699-A3DA-F2B4307F6E87}"/>
    <cellStyle name="Normal 3 2 5 4" xfId="2369" xr:uid="{98E10CE6-68BB-4B5F-86ED-632330DD0E68}"/>
    <cellStyle name="Normal 3 2 5 4 2" xfId="4470" xr:uid="{E48DA871-CD7A-4159-A3AE-C27B530E6C80}"/>
    <cellStyle name="Normal 3 2 5 5" xfId="3302" xr:uid="{FC1CBCE7-64B3-4842-A53F-FEB998E9771C}"/>
    <cellStyle name="Normal 3 2 6" xfId="25" xr:uid="{3E827965-5863-4015-89F5-C008B084186C}"/>
    <cellStyle name="Normal 3 2 6 2" xfId="2443" xr:uid="{CFEB61C2-B0C1-4EEB-8F10-A2E6E9E41B95}"/>
    <cellStyle name="Normal 3 2 6 2 2" xfId="4544" xr:uid="{87AB6396-766B-4CB5-93C5-7F9489223520}"/>
    <cellStyle name="Normal 3 2 6 3" xfId="3231" xr:uid="{272A7404-2823-4A72-AC23-F28FA1A7E544}"/>
    <cellStyle name="Normal 3 2 7" xfId="1261" xr:uid="{B12A2489-E798-4F99-82F9-7E79466354F4}"/>
    <cellStyle name="Normal 3 2 7 2" xfId="2822" xr:uid="{14F58012-14E9-4A1C-BBA2-D584A9869ADB}"/>
    <cellStyle name="Normal 3 2 7 2 2" xfId="4881" xr:uid="{3D2482DB-6436-4EC8-9C61-1514B893DE3C}"/>
    <cellStyle name="Normal 3 2 7 3" xfId="3619" xr:uid="{D874687C-2EFB-43EE-9A6F-CA301CCD6ACA}"/>
    <cellStyle name="Normal 3 2 8" xfId="1686" xr:uid="{2600D6FB-8962-4019-9FAB-F7D5BC7FB33B}"/>
    <cellStyle name="Normal 3 2 8 2" xfId="4007" xr:uid="{AE7F0312-63C5-4B42-A020-8DBFF36673A4}"/>
    <cellStyle name="Normal 3 2 9" xfId="2097" xr:uid="{F9F6C829-BD88-4BD4-B483-8EBC4ECE4FE3}"/>
    <cellStyle name="Normal 3 2 9 2" xfId="4395" xr:uid="{2E3AC09E-79D6-40C9-85CC-F8FD48B5CF9E}"/>
    <cellStyle name="Normal 3 3" xfId="582" xr:uid="{70CD18F9-C7D3-44D7-9382-0CCF824F6CE2}"/>
    <cellStyle name="Normal 3 3 2" xfId="583" xr:uid="{628D95ED-069F-479F-8D6A-357178714765}"/>
    <cellStyle name="Normal 3 4" xfId="584" xr:uid="{21C2F5EF-2F3B-4974-92CD-D2AAB92079D8}"/>
    <cellStyle name="Normal 3 4 2" xfId="585" xr:uid="{ABCADA41-D0BB-49A3-98AF-F0482DA425A9}"/>
    <cellStyle name="Normal 3 4 3" xfId="586" xr:uid="{2D96DA25-62DB-4CB4-80D2-01D1A7D3DF09}"/>
    <cellStyle name="Normal 3 4 3 10" xfId="3262" xr:uid="{EBB22055-DD9E-4AFF-9002-3C274CB14364}"/>
    <cellStyle name="Normal 3 4 3 2" xfId="851" xr:uid="{4DB9DC9C-8119-494A-85B7-D64E06B39108}"/>
    <cellStyle name="Normal 3 4 3 2 2" xfId="1110" xr:uid="{D3691A34-51E5-44FF-8239-B985992EFA35}"/>
    <cellStyle name="Normal 3 4 3 2 2 2" xfId="1527" xr:uid="{C87F3491-2098-4AF3-9ADB-2B5C90398B02}"/>
    <cellStyle name="Normal 3 4 3 2 2 2 2" xfId="2695" xr:uid="{99DE0843-E9BC-471E-A72F-C9ED19549203}"/>
    <cellStyle name="Normal 3 4 3 2 2 2 2 2" xfId="4765" xr:uid="{0604F4E6-E206-460A-A2D2-7CB0C3BBE693}"/>
    <cellStyle name="Normal 3 4 3 2 2 2 3" xfId="3862" xr:uid="{37A58808-8416-46EB-B5DA-9B09F14A2155}"/>
    <cellStyle name="Normal 3 4 3 2 2 3" xfId="1933" xr:uid="{BAC877A8-3EA7-4493-A0CD-B67CAF4309B1}"/>
    <cellStyle name="Normal 3 4 3 2 2 3 2" xfId="3079" xr:uid="{C07236DE-D3CD-4822-83B4-CD59FAF821CE}"/>
    <cellStyle name="Normal 3 4 3 2 2 3 2 2" xfId="5128" xr:uid="{38DBE513-BB0B-436E-A38C-EDF88361A7D4}"/>
    <cellStyle name="Normal 3 4 3 2 2 3 3" xfId="4250" xr:uid="{C701BA77-31EC-4212-8BA3-FC9C99A45B44}"/>
    <cellStyle name="Normal 3 4 3 2 2 4" xfId="2419" xr:uid="{F334F57D-B5B9-4419-93FB-8A2949EEFB44}"/>
    <cellStyle name="Normal 3 4 3 2 2 4 2" xfId="4520" xr:uid="{B6C4148C-FC96-49C9-ACB8-704BB1961014}"/>
    <cellStyle name="Normal 3 4 3 2 2 5" xfId="3474" xr:uid="{59F9D26F-166E-4224-BA04-4A9EA4E17E92}"/>
    <cellStyle name="Normal 3 4 3 2 3" xfId="1217" xr:uid="{A235B83B-1594-4868-B77B-0ECF65FC55AE}"/>
    <cellStyle name="Normal 3 4 3 2 3 2" xfId="1632" xr:uid="{CD08D928-018C-42C2-A848-2761DAD083EF}"/>
    <cellStyle name="Normal 3 4 3 2 3 2 2" xfId="3184" xr:uid="{D72BEDFE-8FD5-4226-9C41-1D39D90B047E}"/>
    <cellStyle name="Normal 3 4 3 2 3 2 2 2" xfId="5233" xr:uid="{CCB320A2-9A36-4D82-BB61-E3C07835A9EE}"/>
    <cellStyle name="Normal 3 4 3 2 3 2 3" xfId="3967" xr:uid="{41B85858-867A-42A9-95EC-16C9D9CD9C78}"/>
    <cellStyle name="Normal 3 4 3 2 3 3" xfId="2038" xr:uid="{87C131EF-8A9E-4171-81BA-14F4323437E0}"/>
    <cellStyle name="Normal 3 4 3 2 3 3 2" xfId="4355" xr:uid="{169A3354-CB0D-407A-950D-BA0C434AEBA4}"/>
    <cellStyle name="Normal 3 4 3 2 3 4" xfId="2553" xr:uid="{2805376C-77F5-45BD-889D-1A01C9A4D5A7}"/>
    <cellStyle name="Normal 3 4 3 2 3 4 2" xfId="4632" xr:uid="{E29C9F04-FCF1-4920-969C-E8E553F4BDCA}"/>
    <cellStyle name="Normal 3 4 3 2 3 5" xfId="3579" xr:uid="{276AD2E7-E047-415C-9E1E-D154E411C581}"/>
    <cellStyle name="Normal 3 4 3 2 4" xfId="987" xr:uid="{CB551140-3182-4BC3-AE8B-FFAA0A7A044A}"/>
    <cellStyle name="Normal 3 4 3 2 4 2" xfId="1422" xr:uid="{1232D18E-9321-4E78-83FA-8B0A1DC7D37F}"/>
    <cellStyle name="Normal 3 4 3 2 4 2 2" xfId="2978" xr:uid="{6F23EC7A-7846-479C-AFCD-C28DCC51C069}"/>
    <cellStyle name="Normal 3 4 3 2 4 2 2 2" xfId="5028" xr:uid="{287C2CA0-69E1-4EA5-A5DA-B64E06596834}"/>
    <cellStyle name="Normal 3 4 3 2 4 2 3" xfId="3757" xr:uid="{0D4E34DC-2E6F-4BB2-8D00-8E9975803EB8}"/>
    <cellStyle name="Normal 3 4 3 2 4 3" xfId="1828" xr:uid="{BE139ED7-9010-4489-8694-1D68BADF59D9}"/>
    <cellStyle name="Normal 3 4 3 2 4 3 2" xfId="4145" xr:uid="{B10C4AB2-896A-4DCB-9847-94E2460686A5}"/>
    <cellStyle name="Normal 3 4 3 2 4 4" xfId="2618" xr:uid="{6EC54A7A-70D6-4931-8834-1D87308CCC07}"/>
    <cellStyle name="Normal 3 4 3 2 4 4 2" xfId="4688" xr:uid="{CD7F7206-AB62-4080-A2D1-CD54DD0CE565}"/>
    <cellStyle name="Normal 3 4 3 2 4 5" xfId="3369" xr:uid="{C063BE19-783D-485D-8DF4-5A8202EAC17C}"/>
    <cellStyle name="Normal 3 4 3 2 5" xfId="1348" xr:uid="{9CBBF13C-D8CC-468A-933A-D8AD358E9E13}"/>
    <cellStyle name="Normal 3 4 3 2 5 2" xfId="2918" xr:uid="{72939D1E-5144-4D19-9403-A9B0FFED0DCD}"/>
    <cellStyle name="Normal 3 4 3 2 5 2 2" xfId="4972" xr:uid="{063A5026-816C-4F43-89D2-C9132C286FB0}"/>
    <cellStyle name="Normal 3 4 3 2 5 3" xfId="3684" xr:uid="{509206D0-9FC3-4B3E-80E8-92D601CC92B0}"/>
    <cellStyle name="Normal 3 4 3 2 6" xfId="1755" xr:uid="{822B45ED-2A5F-4EF0-BDB6-AC006819F0BE}"/>
    <cellStyle name="Normal 3 4 3 2 6 2" xfId="4072" xr:uid="{522AA4E3-02CD-43D6-AA2A-0EB3869D5190}"/>
    <cellStyle name="Normal 3 4 3 2 7" xfId="2227" xr:uid="{E202A50C-0D93-4AAA-956E-D62CA713D01B}"/>
    <cellStyle name="Normal 3 4 3 2 7 2" xfId="4448" xr:uid="{CAFADB11-BAA7-40C4-BCD4-301E64FFC372}"/>
    <cellStyle name="Normal 3 4 3 2 8" xfId="3296" xr:uid="{92BA005F-D0BA-4ECD-90F4-C40599334E28}"/>
    <cellStyle name="Normal 3 4 3 3" xfId="1026" xr:uid="{FB594BA3-982E-46E0-B20C-8C10AB45CDB9}"/>
    <cellStyle name="Normal 3 4 3 3 2" xfId="1144" xr:uid="{B12C2B4F-518F-4DD8-9001-325A087E5E52}"/>
    <cellStyle name="Normal 3 4 3 3 2 2" xfId="1561" xr:uid="{DC21A033-3214-4C49-8309-35BC5D27BDCB}"/>
    <cellStyle name="Normal 3 4 3 3 2 2 2" xfId="3113" xr:uid="{E0B71603-7E53-4EF9-ABC5-C90466B19AB2}"/>
    <cellStyle name="Normal 3 4 3 3 2 2 2 2" xfId="5162" xr:uid="{D36A9081-866F-4CF6-A2D7-04A119B3433A}"/>
    <cellStyle name="Normal 3 4 3 3 2 2 3" xfId="3896" xr:uid="{B70DA659-394E-4F88-9D5A-6D6D245D3F72}"/>
    <cellStyle name="Normal 3 4 3 3 2 3" xfId="1967" xr:uid="{87F7C48E-0ABE-4D92-9C04-2A4260CC8075}"/>
    <cellStyle name="Normal 3 4 3 3 2 3 2" xfId="4284" xr:uid="{1F3EBFEE-8804-4633-863F-EAB660D57B14}"/>
    <cellStyle name="Normal 3 4 3 3 2 4" xfId="2729" xr:uid="{D66AEABD-71C5-46C8-BDF7-75221EB5E6E6}"/>
    <cellStyle name="Normal 3 4 3 3 2 4 2" xfId="4799" xr:uid="{A38B1942-95E0-430B-BA66-4269934DAAE8}"/>
    <cellStyle name="Normal 3 4 3 3 2 5" xfId="3508" xr:uid="{39A4152B-4DA7-4509-A47C-677CA11070D8}"/>
    <cellStyle name="Normal 3 4 3 3 3" xfId="1255" xr:uid="{2746EADB-C6E9-4B2E-A484-08AE2057F1B3}"/>
    <cellStyle name="Normal 3 4 3 3 3 2" xfId="1666" xr:uid="{E4937BAF-460D-46E3-AC6A-E0102F0782EF}"/>
    <cellStyle name="Normal 3 4 3 3 3 2 2" xfId="3218" xr:uid="{210EC732-BE69-44E0-AD8B-58B9C356F037}"/>
    <cellStyle name="Normal 3 4 3 3 3 2 2 2" xfId="5267" xr:uid="{703169A3-5331-471C-A574-B5C1B3F1C6FF}"/>
    <cellStyle name="Normal 3 4 3 3 3 2 3" xfId="4001" xr:uid="{8807C660-0440-42C4-BE90-6CEB146FBE20}"/>
    <cellStyle name="Normal 3 4 3 3 3 3" xfId="2072" xr:uid="{9C738A5A-7815-4AE5-8C4D-D3FAAAF1F0B9}"/>
    <cellStyle name="Normal 3 4 3 3 3 3 2" xfId="4389" xr:uid="{27938727-AC57-4347-9C55-6CEB1303EA59}"/>
    <cellStyle name="Normal 3 4 3 3 3 4" xfId="2805" xr:uid="{62BBBF60-8008-41DB-A029-8748D45D26FE}"/>
    <cellStyle name="Normal 3 4 3 3 3 4 2" xfId="4875" xr:uid="{6D6F3787-5CB4-4091-AEDF-0F3E91F69375}"/>
    <cellStyle name="Normal 3 4 3 3 3 5" xfId="3613" xr:uid="{85D303DC-3F48-4BED-915E-4DEEB01D05F6}"/>
    <cellStyle name="Normal 3 4 3 3 4" xfId="1456" xr:uid="{8AEC3165-84B6-4843-913F-EE52EBB043E3}"/>
    <cellStyle name="Normal 3 4 3 3 4 2" xfId="2646" xr:uid="{88CA35D8-63D1-47C5-840D-238B3DAE5E25}"/>
    <cellStyle name="Normal 3 4 3 3 4 2 2" xfId="4716" xr:uid="{418CEE9A-B475-418B-9A14-34EEC33D0434}"/>
    <cellStyle name="Normal 3 4 3 3 4 3" xfId="3791" xr:uid="{89DDFAB5-877F-4BD7-9A5D-48A501692CD0}"/>
    <cellStyle name="Normal 3 4 3 3 5" xfId="1862" xr:uid="{1CF1AC55-B19F-44B2-B3A2-D67DE5F89AF6}"/>
    <cellStyle name="Normal 3 4 3 3 5 2" xfId="3009" xr:uid="{468D909B-045D-4BD2-B4A3-89E4562B6285}"/>
    <cellStyle name="Normal 3 4 3 3 5 2 2" xfId="5059" xr:uid="{B3499ED0-BDA2-409D-9299-2CF96B96C01F}"/>
    <cellStyle name="Normal 3 4 3 3 5 3" xfId="4179" xr:uid="{DCE91EAE-7F93-4A0F-A57A-6F1E2C3E714E}"/>
    <cellStyle name="Normal 3 4 3 3 6" xfId="2391" xr:uid="{E0EF7182-ACB2-4382-BF14-B05C9E2E44A2}"/>
    <cellStyle name="Normal 3 4 3 3 6 2" xfId="4492" xr:uid="{F56491FD-164E-4F1C-AE0C-051236C719E4}"/>
    <cellStyle name="Normal 3 4 3 3 7" xfId="3403" xr:uid="{0897C97D-11B2-4EEB-A7F4-437A6846D067}"/>
    <cellStyle name="Normal 3 4 3 4" xfId="1075" xr:uid="{0B35E1CB-C42E-454F-A308-F2F87274D955}"/>
    <cellStyle name="Normal 3 4 3 4 2" xfId="1492" xr:uid="{C2807E18-D66B-493E-A652-C29827C077A6}"/>
    <cellStyle name="Normal 3 4 3 4 2 2" xfId="3044" xr:uid="{709B7740-F4E7-438D-8C1B-294229036E8B}"/>
    <cellStyle name="Normal 3 4 3 4 2 2 2" xfId="5094" xr:uid="{B68B2C76-00C5-452E-80FE-E494C6514112}"/>
    <cellStyle name="Normal 3 4 3 4 2 3" xfId="3827" xr:uid="{A8557203-B323-4518-B4AE-6F195F6D3C78}"/>
    <cellStyle name="Normal 3 4 3 4 3" xfId="1898" xr:uid="{932FC6D8-5165-42FD-8C0D-66FF5184F6D9}"/>
    <cellStyle name="Normal 3 4 3 4 3 2" xfId="4215" xr:uid="{AEE6C11C-D1D3-4E2B-9263-ACA12B387BCE}"/>
    <cellStyle name="Normal 3 4 3 4 4" xfId="2496" xr:uid="{F4225892-1F58-47AC-B89F-9B69E478B8C8}"/>
    <cellStyle name="Normal 3 4 3 4 4 2" xfId="4586" xr:uid="{F9B6573E-D3B3-47F2-9EA7-EA48C69C2A13}"/>
    <cellStyle name="Normal 3 4 3 4 5" xfId="3439" xr:uid="{A37F0766-71BE-43BD-B4CA-360343DB8C8C}"/>
    <cellStyle name="Normal 3 4 3 5" xfId="1181" xr:uid="{176B4A58-0B12-49F4-AFC0-52D6087273DE}"/>
    <cellStyle name="Normal 3 4 3 5 2" xfId="1597" xr:uid="{E934EB55-4D6B-49C0-B6E5-C1442D9580B7}"/>
    <cellStyle name="Normal 3 4 3 5 2 2" xfId="3149" xr:uid="{7116F7D0-8E6F-4A13-A43F-6CFC84FE69EA}"/>
    <cellStyle name="Normal 3 4 3 5 2 2 2" xfId="5198" xr:uid="{DADDFA0D-FC04-4ECE-AF22-14BB602ED208}"/>
    <cellStyle name="Normal 3 4 3 5 2 3" xfId="3932" xr:uid="{B9854C4A-5750-4B30-97BD-B5E3339FC93E}"/>
    <cellStyle name="Normal 3 4 3 5 3" xfId="2003" xr:uid="{27E65012-38EA-4C3E-BCB8-8A0648613411}"/>
    <cellStyle name="Normal 3 4 3 5 3 2" xfId="4320" xr:uid="{C07E447D-C47E-44D9-8F69-CA3818ABEE0C}"/>
    <cellStyle name="Normal 3 4 3 5 4" xfId="2764" xr:uid="{F87362DD-CF37-432E-8CB3-2A3DCE4CD531}"/>
    <cellStyle name="Normal 3 4 3 5 4 2" xfId="4834" xr:uid="{6ED30D6D-09F8-4D65-9816-5F8236AF676E}"/>
    <cellStyle name="Normal 3 4 3 5 5" xfId="3544" xr:uid="{0605A5E9-1D1A-4691-9461-FB812192CADB}"/>
    <cellStyle name="Normal 3 4 3 6" xfId="939" xr:uid="{B1006521-62B8-4DB0-9011-28C91FF04EAF}"/>
    <cellStyle name="Normal 3 4 3 6 2" xfId="1386" xr:uid="{5AEA72FE-0A2D-4AB5-9EE4-1C3C8BD70DD3}"/>
    <cellStyle name="Normal 3 4 3 6 2 2" xfId="2932" xr:uid="{7F25BD8A-1038-4A8E-A5A0-3CC6E3A202F1}"/>
    <cellStyle name="Normal 3 4 3 6 2 2 2" xfId="4986" xr:uid="{FF586609-2069-43E7-99A6-CC69726695B2}"/>
    <cellStyle name="Normal 3 4 3 6 2 3" xfId="3722" xr:uid="{51FC7602-4C7B-429C-8030-2CDEC84D3386}"/>
    <cellStyle name="Normal 3 4 3 6 3" xfId="1793" xr:uid="{49AFCCE4-D87C-4A8B-8D3C-F2EED634B83E}"/>
    <cellStyle name="Normal 3 4 3 6 3 2" xfId="4110" xr:uid="{ADD2AF8C-7D54-4240-A6EB-77B5EEF4955B}"/>
    <cellStyle name="Normal 3 4 3 6 4" xfId="2480" xr:uid="{560C3D52-BE1D-4E3D-AC3C-CAE838ABF165}"/>
    <cellStyle name="Normal 3 4 3 6 4 2" xfId="4573" xr:uid="{DA999CF7-0CB0-405B-9211-354F9C68145C}"/>
    <cellStyle name="Normal 3 4 3 6 5" xfId="3334" xr:uid="{5529A018-B534-4E6D-8A6E-D9D5DE9BE7CB}"/>
    <cellStyle name="Normal 3 4 3 7" xfId="1310" xr:uid="{7DCA80C3-D1C8-459D-A0DE-3FE7FF340D22}"/>
    <cellStyle name="Normal 3 4 3 7 2" xfId="2882" xr:uid="{82EE0C1E-DFAA-40AF-84E7-A917E327EFDE}"/>
    <cellStyle name="Normal 3 4 3 7 2 2" xfId="4936" xr:uid="{8C24711C-9925-43C6-85B8-63A2D64B33E6}"/>
    <cellStyle name="Normal 3 4 3 7 3" xfId="3650" xr:uid="{8C11703D-28C1-4E1D-B9E1-450E646A1319}"/>
    <cellStyle name="Normal 3 4 3 8" xfId="1721" xr:uid="{0C8CF223-3CBB-4B33-A711-FFDD829DE600}"/>
    <cellStyle name="Normal 3 4 3 8 2" xfId="4038" xr:uid="{20F753A6-898B-4CCE-8D41-E9536BDAE4F5}"/>
    <cellStyle name="Normal 3 4 3 9" xfId="2177" xr:uid="{20758416-662C-4F0F-8CF9-DBD5F8C8F52B}"/>
    <cellStyle name="Normal 3 4 3 9 2" xfId="4420" xr:uid="{2F93B075-85E9-45DD-8BE9-513C13D3C2CD}"/>
    <cellStyle name="Normal 3 4 4" xfId="1044" xr:uid="{E4554128-D940-498F-98AA-CD94E90BFD43}"/>
    <cellStyle name="Normal 3 4 4 2" xfId="1462" xr:uid="{82247E3F-6D21-4B7D-AD5D-B3C5E8F1511D}"/>
    <cellStyle name="Normal 3 4 4 2 2" xfId="3014" xr:uid="{88F586F2-259A-4AC8-B8F2-D6427321335B}"/>
    <cellStyle name="Normal 3 4 4 2 2 2" xfId="5064" xr:uid="{3120DA40-3450-44BD-B7B2-EC5E13B91024}"/>
    <cellStyle name="Normal 3 4 4 2 3" xfId="3797" xr:uid="{88E14FDF-DF19-47CC-9E47-1C57FB4ABD79}"/>
    <cellStyle name="Normal 3 4 4 3" xfId="1868" xr:uid="{9AA96D4A-8555-4D93-88AB-6337C3CBE87B}"/>
    <cellStyle name="Normal 3 4 4 3 2" xfId="4185" xr:uid="{DA045373-0B89-4720-97E0-B5B71DAB6F3A}"/>
    <cellStyle name="Normal 3 4 4 4" xfId="2650" xr:uid="{3E95BF26-EF15-43AB-9C68-D2A92B0C3456}"/>
    <cellStyle name="Normal 3 4 4 4 2" xfId="4720" xr:uid="{7A352D2D-2018-41D6-A31B-A5B7353BA9BB}"/>
    <cellStyle name="Normal 3 4 4 5" xfId="3409" xr:uid="{ACD36A21-21ED-4DB2-B1B1-EB8A9663A693}"/>
    <cellStyle name="Normal 3 4 5" xfId="1150" xr:uid="{EFD7739D-8107-434C-8FC5-242A5B4EFE25}"/>
    <cellStyle name="Normal 3 4 5 2" xfId="1567" xr:uid="{7A7E3DA4-DD81-454A-9991-DF067CAF2944}"/>
    <cellStyle name="Normal 3 4 5 2 2" xfId="3119" xr:uid="{BF3D3B5B-BD4F-4237-B02C-86088EA552C4}"/>
    <cellStyle name="Normal 3 4 5 2 2 2" xfId="5168" xr:uid="{5CB9448B-DE82-4DEE-B2B8-BCB567F7A14F}"/>
    <cellStyle name="Normal 3 4 5 2 3" xfId="3902" xr:uid="{3C2430C7-77FB-47DA-82FE-F02302D7442F}"/>
    <cellStyle name="Normal 3 4 5 3" xfId="1973" xr:uid="{ECE3F98A-FE93-4F10-9AF0-7037A5E274B4}"/>
    <cellStyle name="Normal 3 4 5 3 2" xfId="4290" xr:uid="{0BB823C9-6841-474D-A2F3-EE8F41D41D67}"/>
    <cellStyle name="Normal 3 4 5 4" xfId="2735" xr:uid="{B32B0C78-23AE-4785-ADCF-CDDF92AAA39B}"/>
    <cellStyle name="Normal 3 4 5 4 2" xfId="4805" xr:uid="{9FFC52C9-1D56-4962-A5B9-1A034835BFD9}"/>
    <cellStyle name="Normal 3 4 5 5" xfId="3514" xr:uid="{B9C69AD6-26FB-4852-9E3C-26E32E43A84A}"/>
    <cellStyle name="Normal 3 4 6" xfId="872" xr:uid="{04A6F743-CE51-40C8-8D70-7430CCB30FA4}"/>
    <cellStyle name="Normal 3 4 6 2" xfId="1356" xr:uid="{02D8F3AC-3F5D-4406-92AE-7AF4C2BA70AF}"/>
    <cellStyle name="Normal 3 4 6 2 2" xfId="2878" xr:uid="{B06C9B41-F921-4100-9AD0-1989C67384F2}"/>
    <cellStyle name="Normal 3 4 6 2 2 2" xfId="4932" xr:uid="{C2CAF4CA-6840-457C-BE81-D5DB1E40562D}"/>
    <cellStyle name="Normal 3 4 6 2 3" xfId="3692" xr:uid="{C5D38404-576A-4E13-8734-12586D901D67}"/>
    <cellStyle name="Normal 3 4 6 3" xfId="1763" xr:uid="{688C07B6-D31A-4205-839A-2C3ADC8E66E8}"/>
    <cellStyle name="Normal 3 4 6 3 2" xfId="4080" xr:uid="{42119893-3981-49C4-8324-F038BDC52C89}"/>
    <cellStyle name="Normal 3 4 6 4" xfId="2566" xr:uid="{45DF283F-D911-43B1-819C-5F1716E5D309}"/>
    <cellStyle name="Normal 3 4 6 4 2" xfId="4643" xr:uid="{420F683C-4127-48F8-ABEE-92511C0C15CC}"/>
    <cellStyle name="Normal 3 4 6 5" xfId="3304" xr:uid="{CA1F700E-E044-42AD-B67E-AF862CCC5FB2}"/>
    <cellStyle name="Normal 3 5" xfId="587" xr:uid="{2119D7B6-359E-477F-AB55-614EE4D4F385}"/>
    <cellStyle name="Normal 3 5 2" xfId="940" xr:uid="{D1B7B066-3B82-41D9-B520-086C664DBF06}"/>
    <cellStyle name="Normal 3 5 3" xfId="1045" xr:uid="{463D9EAF-289F-4BFE-A406-CBACD24539B7}"/>
    <cellStyle name="Normal 3 5 3 2" xfId="1463" xr:uid="{55B323C4-781B-477D-88D3-995C4F353789}"/>
    <cellStyle name="Normal 3 5 3 2 2" xfId="3015" xr:uid="{5CB8C5FD-FF4F-4023-8D47-F15DF7F3DEC8}"/>
    <cellStyle name="Normal 3 5 3 2 2 2" xfId="5065" xr:uid="{4D99F87E-AA50-474B-A66C-7A2A00965A99}"/>
    <cellStyle name="Normal 3 5 3 2 3" xfId="3798" xr:uid="{5A421901-8136-4EE8-B1A0-9222171DFB25}"/>
    <cellStyle name="Normal 3 5 3 3" xfId="1869" xr:uid="{78433A72-3AD1-4F2A-90CD-3A9A7CCCF3CD}"/>
    <cellStyle name="Normal 3 5 3 3 2" xfId="4186" xr:uid="{C709CA66-7DA2-4E93-A924-9B9EBF05D180}"/>
    <cellStyle name="Normal 3 5 3 4" xfId="2651" xr:uid="{D26DE28F-27DD-4D84-9AE4-0C2CC59457AB}"/>
    <cellStyle name="Normal 3 5 3 4 2" xfId="4721" xr:uid="{0141DE21-C7C2-46A6-8690-39ADED7D7998}"/>
    <cellStyle name="Normal 3 5 3 5" xfId="3410" xr:uid="{8E6D99B7-CD8C-40E4-83FC-0A2BD8917D3C}"/>
    <cellStyle name="Normal 3 5 4" xfId="1151" xr:uid="{C149BC04-8966-41F9-B9DB-FD1B0689DB1A}"/>
    <cellStyle name="Normal 3 5 4 2" xfId="1568" xr:uid="{D42BDEC9-2BB1-4711-9FA4-8B249ECE7CEC}"/>
    <cellStyle name="Normal 3 5 4 2 2" xfId="3120" xr:uid="{DBFBC4EB-835D-410F-A835-E9FA2D773D0F}"/>
    <cellStyle name="Normal 3 5 4 2 2 2" xfId="5169" xr:uid="{CE54D34C-1E2C-489B-8E16-DEB6A29C6EB7}"/>
    <cellStyle name="Normal 3 5 4 2 3" xfId="3903" xr:uid="{92715F2A-AF6A-4002-8955-55A853471D75}"/>
    <cellStyle name="Normal 3 5 4 3" xfId="1974" xr:uid="{9BD6F299-85E4-45DC-9AAC-FF2FDC06B19D}"/>
    <cellStyle name="Normal 3 5 4 3 2" xfId="4291" xr:uid="{6F23FA56-B187-4687-BE48-061592DF4FF1}"/>
    <cellStyle name="Normal 3 5 4 4" xfId="2736" xr:uid="{862C0BF9-59A0-4781-9E13-118DC48111D2}"/>
    <cellStyle name="Normal 3 5 4 4 2" xfId="4806" xr:uid="{CE1C8114-A9B3-4A71-9C6B-1513421658DF}"/>
    <cellStyle name="Normal 3 5 4 5" xfId="3515" xr:uid="{C58E0954-BDC8-468E-AE4A-BDE2C47585AA}"/>
    <cellStyle name="Normal 3 5 5" xfId="880" xr:uid="{AB55EDC2-4A10-4FAB-9369-45B849EAD1B1}"/>
    <cellStyle name="Normal 3 5 5 2" xfId="1357" xr:uid="{9AFA7D6F-BE66-40FE-AB57-AD1DD4D9FFFF}"/>
    <cellStyle name="Normal 3 5 5 2 2" xfId="2934" xr:uid="{96BFB7C2-FE2C-4A9D-A8FE-9003C8958C11}"/>
    <cellStyle name="Normal 3 5 5 2 2 2" xfId="4988" xr:uid="{59152046-DA4F-4A59-9546-BE5A74D8DB4A}"/>
    <cellStyle name="Normal 3 5 5 2 3" xfId="3693" xr:uid="{6DCD3A33-B021-478C-8EA1-65451E14F7ED}"/>
    <cellStyle name="Normal 3 5 5 3" xfId="1764" xr:uid="{EA850CE8-6BC5-49A9-8A10-4A96E3E4EDDF}"/>
    <cellStyle name="Normal 3 5 5 3 2" xfId="4081" xr:uid="{1A91BFED-AF29-4FBB-8B9B-8F3697EEBC16}"/>
    <cellStyle name="Normal 3 5 5 4" xfId="2527" xr:uid="{18407E4C-9AF5-4E50-A2DA-241579D5A7BB}"/>
    <cellStyle name="Normal 3 5 5 4 2" xfId="4607" xr:uid="{E4573ABF-3A7D-44E8-91A2-50A7C690F4ED}"/>
    <cellStyle name="Normal 3 5 5 5" xfId="3305" xr:uid="{D395A10A-FBC0-4464-AB00-DB2445722DBD}"/>
    <cellStyle name="Normal 3 6" xfId="577" xr:uid="{395CD69C-0183-4647-B5CB-8FB63C1EF8E8}"/>
    <cellStyle name="Normal 3 6 2" xfId="1080" xr:uid="{4C4A9188-B149-4AC7-9D11-F3C9E7C01D1C}"/>
    <cellStyle name="Normal 3 6 2 2" xfId="1497" xr:uid="{9404601F-051C-43EA-9F23-BDC816C2F4E3}"/>
    <cellStyle name="Normal 3 6 2 2 2" xfId="2418" xr:uid="{8A362917-F607-41ED-B1B8-1C226007A49C}"/>
    <cellStyle name="Normal 3 6 2 2 2 2" xfId="4519" xr:uid="{2E57882B-4BC5-431E-84DF-D952F0205BD5}"/>
    <cellStyle name="Normal 3 6 2 2 3" xfId="3832" xr:uid="{EA883718-9F70-48F4-B053-793AEA47F1EF}"/>
    <cellStyle name="Normal 3 6 2 3" xfId="1903" xr:uid="{C5B7F09A-4AB7-471E-A727-9B0ADC35D12E}"/>
    <cellStyle name="Normal 3 6 2 3 2" xfId="2552" xr:uid="{67E6A4E6-72EF-44E2-9416-9C8616F209FF}"/>
    <cellStyle name="Normal 3 6 2 3 2 2" xfId="4631" xr:uid="{F2A47B44-77EF-4AF4-AA9A-E71D4D369F34}"/>
    <cellStyle name="Normal 3 6 2 3 3" xfId="4220" xr:uid="{DB634A92-5121-4E5B-A06C-DB2D8C753C3B}"/>
    <cellStyle name="Normal 3 6 2 4" xfId="2917" xr:uid="{3607492C-E64C-454F-A876-E2E6F362BF91}"/>
    <cellStyle name="Normal 3 6 2 4 2" xfId="4971" xr:uid="{3931FE91-34DF-4C8D-B945-2E6AF52BF73E}"/>
    <cellStyle name="Normal 3 6 2 5" xfId="2226" xr:uid="{CFFE2FA5-5638-4D30-B198-384E25653BB1}"/>
    <cellStyle name="Normal 3 6 2 5 2" xfId="4447" xr:uid="{FACDBD09-17F3-4FA0-851B-EA9F04AAD6F6}"/>
    <cellStyle name="Normal 3 6 2 6" xfId="3444" xr:uid="{D704A9EF-3CFB-477F-BD2B-133D67A543A7}"/>
    <cellStyle name="Normal 3 6 3" xfId="1186" xr:uid="{5A116EB6-9129-4B7D-8A93-E2961025DC2B}"/>
    <cellStyle name="Normal 3 6 3 2" xfId="1602" xr:uid="{77427E6C-46FC-484B-B8BD-A51374D7809E}"/>
    <cellStyle name="Normal 3 6 3 2 2" xfId="2769" xr:uid="{96D31BE0-CF63-4C38-9C65-B64F22B99FE3}"/>
    <cellStyle name="Normal 3 6 3 2 2 2" xfId="4839" xr:uid="{8FA17AA9-FD9D-439A-827A-87FD5F1B9C95}"/>
    <cellStyle name="Normal 3 6 3 2 3" xfId="3937" xr:uid="{38F80DBE-82AF-4F6B-89D6-2C17518D82DB}"/>
    <cellStyle name="Normal 3 6 3 3" xfId="2008" xr:uid="{765B0170-F05A-4F90-829D-ABF05734292C}"/>
    <cellStyle name="Normal 3 6 3 3 2" xfId="3154" xr:uid="{B4465553-6231-4BC9-B3EE-1F432E85967E}"/>
    <cellStyle name="Normal 3 6 3 3 2 2" xfId="5203" xr:uid="{9BCC627D-AC5F-4079-99D9-3B8DD503E340}"/>
    <cellStyle name="Normal 3 6 3 3 3" xfId="4325" xr:uid="{C0F8F74D-B958-4559-AF09-434876E9797D}"/>
    <cellStyle name="Normal 3 6 3 4" xfId="2390" xr:uid="{14D0B1A7-6143-4E1B-BF99-3BB83578A051}"/>
    <cellStyle name="Normal 3 6 3 4 2" xfId="4491" xr:uid="{D68E1641-E88D-4A15-A1AD-9E4E2FE98092}"/>
    <cellStyle name="Normal 3 6 3 5" xfId="3549" xr:uid="{0DD57532-612C-4165-ABA4-EBB9C9E1DFE6}"/>
    <cellStyle name="Normal 3 6 4" xfId="956" xr:uid="{36979799-496C-44BC-9415-E10E7CF92824}"/>
    <cellStyle name="Normal 3 6 4 2" xfId="1392" xr:uid="{06459637-7075-4934-928D-4A82A9AAA0F5}"/>
    <cellStyle name="Normal 3 6 4 2 2" xfId="2860" xr:uid="{388E61FA-BA3B-4449-9363-81FD815E3191}"/>
    <cellStyle name="Normal 3 6 4 2 2 2" xfId="4916" xr:uid="{84965C18-3F56-49B7-AA97-F7631B304333}"/>
    <cellStyle name="Normal 3 6 4 2 3" xfId="3727" xr:uid="{184B04FC-2DE8-4909-98A5-3B216B4605DE}"/>
    <cellStyle name="Normal 3 6 4 3" xfId="1798" xr:uid="{66F202BD-E072-402D-B923-7E6F3288AD0E}"/>
    <cellStyle name="Normal 3 6 4 3 2" xfId="4115" xr:uid="{F5818EA9-DBAD-422B-9207-AE52072B752D}"/>
    <cellStyle name="Normal 3 6 4 4" xfId="2495" xr:uid="{0A5D6EA0-F86F-4582-B5AE-BE64504AAD2C}"/>
    <cellStyle name="Normal 3 6 4 4 2" xfId="4585" xr:uid="{1DBE4C05-0152-4CE7-A799-C0B5F875B891}"/>
    <cellStyle name="Normal 3 6 4 5" xfId="3339" xr:uid="{64F841F2-06BE-48C3-8523-DF0AFECEB2E2}"/>
    <cellStyle name="Normal 3 6 5" xfId="2497" xr:uid="{FDF2DAD8-6599-4C7A-A959-A8B9ACE2D4FE}"/>
    <cellStyle name="Normal 3 6 6" xfId="2881" xr:uid="{BA2D2D37-28EB-4319-8752-AED099D37122}"/>
    <cellStyle name="Normal 3 6 6 2" xfId="4935" xr:uid="{25AFE584-F2D4-463E-B8E3-60EA5E51EBD9}"/>
    <cellStyle name="Normal 3 6 7" xfId="2176" xr:uid="{CDE5A964-6AAA-44A6-81AB-6F905F97BAF4}"/>
    <cellStyle name="Normal 3 6 7 2" xfId="4419" xr:uid="{F6D465C4-995F-4FBE-9515-B9016EA155EE}"/>
    <cellStyle name="Normal 3 7" xfId="865" xr:uid="{45BA391A-1160-4EE3-A430-3C5BB3FF235E}"/>
    <cellStyle name="Normal 3 7 2" xfId="1355" xr:uid="{A1551842-D91B-4029-A7E4-4A30BF8481E1}"/>
    <cellStyle name="Normal 3 7 2 2" xfId="2370" xr:uid="{E04654F7-4940-48CB-B57E-146F7B64B9C7}"/>
    <cellStyle name="Normal 3 7 2 2 2" xfId="4471" xr:uid="{F7BB0205-8DBA-4C0B-912A-4CF678BAC29D}"/>
    <cellStyle name="Normal 3 7 2 3" xfId="3691" xr:uid="{E28A3784-ACB2-4C87-9DA8-6A37DB9E5074}"/>
    <cellStyle name="Normal 3 7 3" xfId="1762" xr:uid="{461E3EBC-54C9-4FE8-9B5F-54CC26C266CA}"/>
    <cellStyle name="Normal 3 7 3 2" xfId="2444" xr:uid="{92B47DAA-1FB7-4DBA-86C9-DEB740A13E2F}"/>
    <cellStyle name="Normal 3 7 3 2 2" xfId="4545" xr:uid="{4089AE8C-4E90-4025-977F-77AD7BE4E059}"/>
    <cellStyle name="Normal 3 7 3 3" xfId="4079" xr:uid="{367A77F5-5CAD-4675-9CFC-AA7F15EC50CB}"/>
    <cellStyle name="Normal 3 7 4" xfId="2824" xr:uid="{79D8F1C4-1FD9-48C5-B1EF-3A44F017FAA2}"/>
    <cellStyle name="Normal 3 7 4 2" xfId="4883" xr:uid="{708E5FC7-1B48-468A-8692-37BEA2BDB896}"/>
    <cellStyle name="Normal 3 7 5" xfId="2102" xr:uid="{68C08951-2AFA-484C-BD47-CEE8E1EC3080}"/>
    <cellStyle name="Normal 3 7 5 2" xfId="4399" xr:uid="{84F37574-751C-43DC-82D6-DCF6717670EE}"/>
    <cellStyle name="Normal 3 7 6" xfId="3303" xr:uid="{AAE4F3E4-A34F-4273-B914-1F64B2C1F727}"/>
    <cellStyle name="Normal 3 8" xfId="1043" xr:uid="{4CE47BBF-AB5A-4DAE-A59F-F2CF2E67F9B2}"/>
    <cellStyle name="Normal 3 8 2" xfId="1461" xr:uid="{C8402B86-50E7-47C0-8C38-6CE0C0DBE19F}"/>
    <cellStyle name="Normal 3 8 2 2" xfId="2398" xr:uid="{47D145FE-56EB-4ABB-B639-9375D38B0481}"/>
    <cellStyle name="Normal 3 8 2 2 2" xfId="4499" xr:uid="{A4161463-4234-409A-9231-D9296B44412C}"/>
    <cellStyle name="Normal 3 8 2 3" xfId="3796" xr:uid="{E311C85A-2E8E-4D78-A495-5EA961531FB5}"/>
    <cellStyle name="Normal 3 8 3" xfId="1867" xr:uid="{25F8E800-5822-4A0D-BE38-4E16DCD6880D}"/>
    <cellStyle name="Normal 3 8 3 2" xfId="2532" xr:uid="{B598DF77-6AB2-47C9-94C0-266E6FF365B0}"/>
    <cellStyle name="Normal 3 8 3 2 2" xfId="4611" xr:uid="{0B618640-341F-4841-B9B6-EB54B6044888}"/>
    <cellStyle name="Normal 3 8 3 3" xfId="4184" xr:uid="{2EA7723D-CB34-475D-96E9-A0EC37CC54D4}"/>
    <cellStyle name="Normal 3 8 4" xfId="2897" xr:uid="{6C83B3E4-27BE-4FD6-87EA-1F2255D2F82C}"/>
    <cellStyle name="Normal 3 8 4 2" xfId="4951" xr:uid="{DEC465D8-FD30-4657-A46E-07BE5A899CC5}"/>
    <cellStyle name="Normal 3 8 5" xfId="2206" xr:uid="{37676A4D-18AF-4918-BD99-914068355CEB}"/>
    <cellStyle name="Normal 3 8 5 2" xfId="4427" xr:uid="{FF6217A3-4BDD-431F-833D-F5F7ADFD2825}"/>
    <cellStyle name="Normal 3 8 6" xfId="3408" xr:uid="{73CB0E5C-77EA-4846-80BD-76587D0CFCDC}"/>
    <cellStyle name="Normal 3 9" xfId="1149" xr:uid="{20508211-BD17-41F1-987D-147B5383E949}"/>
    <cellStyle name="Normal 3 9 2" xfId="1566" xr:uid="{32295FA9-955B-4667-8700-927F2150BB98}"/>
    <cellStyle name="Normal 3 9 2 2" xfId="2734" xr:uid="{099E79A6-3D7E-489F-918E-5F2FD87BBD23}"/>
    <cellStyle name="Normal 3 9 2 2 2" xfId="4804" xr:uid="{F23F3E64-09E2-4C7F-BE7B-A277E011B422}"/>
    <cellStyle name="Normal 3 9 2 3" xfId="3901" xr:uid="{B035AC35-55F1-4D4E-A070-33EEBBA6EDCE}"/>
    <cellStyle name="Normal 3 9 3" xfId="1972" xr:uid="{16CD8901-A6C4-46CC-A90A-F33D929056DF}"/>
    <cellStyle name="Normal 3 9 3 2" xfId="3118" xr:uid="{44400AD6-0CC8-4144-A5A9-9C310C5BC920}"/>
    <cellStyle name="Normal 3 9 3 2 2" xfId="5167" xr:uid="{B27B9D9D-B989-4D2E-AB9A-D2E9333A56ED}"/>
    <cellStyle name="Normal 3 9 3 3" xfId="4289" xr:uid="{C72648CF-EB37-48C9-8EC0-5045B4EEF303}"/>
    <cellStyle name="Normal 3 9 4" xfId="2099" xr:uid="{9B0A619D-34EF-42F3-99B0-80C80C5F3403}"/>
    <cellStyle name="Normal 3 9 4 2" xfId="4397" xr:uid="{E8D5AE78-3F0D-4BAA-A5DA-C732552CFA9B}"/>
    <cellStyle name="Normal 3 9 5" xfId="3513" xr:uid="{3C117C6F-34F3-49E1-A0BB-3A2521BB3D10}"/>
    <cellStyle name="Normal 3_Sheet2" xfId="873" xr:uid="{47CD34DD-518A-408E-BE06-AC6A40BA5C07}"/>
    <cellStyle name="Normal 30" xfId="588" xr:uid="{8160E965-B9A2-4B66-AD41-2667A6A6C307}"/>
    <cellStyle name="Normal 30 2" xfId="589" xr:uid="{FFD2282A-F900-44F0-BA4D-50D01EBADAFB}"/>
    <cellStyle name="Normal 31" xfId="590" xr:uid="{4C7581EC-D2CC-463B-8EE5-C325C371D41A}"/>
    <cellStyle name="Normal 31 2" xfId="591" xr:uid="{8A8AAFAF-2A62-4961-9B92-AB3D0907415F}"/>
    <cellStyle name="Normal 32" xfId="592" xr:uid="{786B9E00-AC33-4613-8342-95CF6BF4C260}"/>
    <cellStyle name="Normal 32 2" xfId="593" xr:uid="{19BC2C1B-568E-44DF-93A7-D528B5845A00}"/>
    <cellStyle name="Normal 33" xfId="594" xr:uid="{0114EB64-06B7-4FD2-B858-F7226E871F24}"/>
    <cellStyle name="Normal 33 2" xfId="595" xr:uid="{7CEFE90D-C4A7-446F-9CB6-A71D391716AE}"/>
    <cellStyle name="Normal 34" xfId="596" xr:uid="{EA58EFE4-A915-42A0-A7E7-819DA171268D}"/>
    <cellStyle name="Normal 34 2" xfId="597" xr:uid="{142D6129-A51B-49BE-AFD8-5380617599F1}"/>
    <cellStyle name="Normal 35" xfId="598" xr:uid="{EC8E0021-649A-4241-B27E-0567E40979E9}"/>
    <cellStyle name="Normal 35 2" xfId="599" xr:uid="{F9984CDE-D9EF-491B-B02E-0AA47CC2DFDB}"/>
    <cellStyle name="Normal 36" xfId="600" xr:uid="{447997FA-E38F-4FA3-8D71-C64722FD7C97}"/>
    <cellStyle name="Normal 36 2" xfId="601" xr:uid="{D8EFCC13-7627-4C51-9412-0E209D6167AD}"/>
    <cellStyle name="Normal 37" xfId="602" xr:uid="{D56E88D5-A28E-4A9D-9BA0-8A6B7E118555}"/>
    <cellStyle name="Normal 37 2" xfId="603" xr:uid="{964E2990-B3A8-4CAC-9362-A8D6C35FCC91}"/>
    <cellStyle name="Normal 38" xfId="604" xr:uid="{5F085076-6F87-4245-A5F5-B953DBB667D9}"/>
    <cellStyle name="Normal 38 2" xfId="605" xr:uid="{A6CE4406-E644-4869-A9AE-015392DF49F2}"/>
    <cellStyle name="Normal 39" xfId="606" xr:uid="{2BFEB2C1-DA4E-40AE-BB24-67DCEBF8FF8F}"/>
    <cellStyle name="Normal 39 2" xfId="607" xr:uid="{B8D5DFE6-5CFB-444A-845E-0C458B916EE2}"/>
    <cellStyle name="Normal 4" xfId="16" xr:uid="{00000000-0005-0000-0000-000008000000}"/>
    <cellStyle name="Normal 4 10" xfId="2098" xr:uid="{B6CDC5B4-5BB8-48F1-9D17-44A80EAEDCDB}"/>
    <cellStyle name="Normal 4 10 2" xfId="4396" xr:uid="{4F806A12-601C-4499-A62F-80476CFBADC9}"/>
    <cellStyle name="Normal 4 11" xfId="21" xr:uid="{242F78C9-5B98-440C-9639-9F46726ABBE1}"/>
    <cellStyle name="Normal 4 12" xfId="3227" xr:uid="{1D2090DB-4E2F-41DA-8A5B-FED120BEADE8}"/>
    <cellStyle name="Normal 4 2" xfId="609" xr:uid="{FF44B250-88C7-4E9F-BF46-58B89EE93DAD}"/>
    <cellStyle name="Normal 4 2 2" xfId="610" xr:uid="{C826C9DD-7D31-4248-AA82-2BEA95A579BA}"/>
    <cellStyle name="Normal 4 2 2 2" xfId="611" xr:uid="{CBA1A36D-204E-429D-A9E9-A1D9525A3F97}"/>
    <cellStyle name="Normal 4 2 2 3" xfId="2340" xr:uid="{87F4A08F-7CBD-4470-9492-900284F2985F}"/>
    <cellStyle name="Normal 4 3" xfId="612" xr:uid="{C9874DF6-7D6B-4128-9DA2-68E7A5DB8FA4}"/>
    <cellStyle name="Normal 4 3 2" xfId="613" xr:uid="{3EEC35F4-0A03-4E2B-B9A3-B1BE1781155A}"/>
    <cellStyle name="Normal 4 4" xfId="614" xr:uid="{689F8343-4EF5-4BAF-9DE3-996145B07AB9}"/>
    <cellStyle name="Normal 4 5" xfId="615" xr:uid="{112A9D4B-DE43-41D9-AF67-375B0E7E5AAE}"/>
    <cellStyle name="Normal 4 6" xfId="608" xr:uid="{C1D236C3-A57C-4F50-9AB5-E89166161AC1}"/>
    <cellStyle name="Normal 4 7" xfId="26" xr:uid="{4CDB69D2-0151-4765-80F2-3CAAC8D01222}"/>
    <cellStyle name="Normal 4 7 2" xfId="2485" xr:uid="{219B9C9D-C79B-4B9B-BC6D-424F7E731CEA}"/>
    <cellStyle name="Normal 4 7 2 2" xfId="4577" xr:uid="{AF6E1CF1-597F-49EA-AAF8-22FEFB560A6C}"/>
    <cellStyle name="Normal 4 7 3" xfId="3232" xr:uid="{ED129853-E969-49CE-A2B2-787F16E00E66}"/>
    <cellStyle name="Normal 4 8" xfId="1262" xr:uid="{EC8E2456-782A-4F73-9CB2-F8818D3BAE0F}"/>
    <cellStyle name="Normal 4 8 2" xfId="2849" xr:uid="{2E0B4859-C5B2-4E59-A081-1596F6ACB22F}"/>
    <cellStyle name="Normal 4 8 2 2" xfId="4906" xr:uid="{212A2B64-1FE1-4305-902F-53A8E14DD255}"/>
    <cellStyle name="Normal 4 8 3" xfId="3620" xr:uid="{1398259C-216C-4B2F-BA6F-6C53785AD154}"/>
    <cellStyle name="Normal 4 9" xfId="1687" xr:uid="{30062C56-9594-484F-9EE1-40376FC19577}"/>
    <cellStyle name="Normal 4 9 2" xfId="4008" xr:uid="{B34EE07A-F76A-4699-B280-B1A51DA226B0}"/>
    <cellStyle name="Normal 40" xfId="616" xr:uid="{E6D9675F-380F-4017-A1F8-AC7EEC84F972}"/>
    <cellStyle name="Normal 40 2" xfId="617" xr:uid="{89788E1E-1D72-48B3-BFAE-F5AD1F2B2D02}"/>
    <cellStyle name="Normal 41" xfId="618" xr:uid="{A3C5E050-75A4-4E3D-B354-93ABDD5AA22A}"/>
    <cellStyle name="Normal 41 2" xfId="619" xr:uid="{6105F212-7935-4CAD-BC49-B1CA35F4DAFE}"/>
    <cellStyle name="Normal 42" xfId="620" xr:uid="{DEA6F8E6-FD1F-4E35-B939-A46485D5AD01}"/>
    <cellStyle name="Normal 42 2" xfId="621" xr:uid="{A219C31E-84F6-4782-A347-08E37A93629E}"/>
    <cellStyle name="Normal 43" xfId="622" xr:uid="{924BF80E-7398-43A7-8523-64E61A7DB922}"/>
    <cellStyle name="Normal 43 2" xfId="623" xr:uid="{17BBCA63-80E5-4FD8-8F83-99E4B2E16728}"/>
    <cellStyle name="Normal 44" xfId="624" xr:uid="{047676D4-1F19-4F87-AC06-B4F70BE26385}"/>
    <cellStyle name="Normal 44 2" xfId="625" xr:uid="{67907B34-B55C-486B-B4C9-2E5D0202D20F}"/>
    <cellStyle name="Normal 45" xfId="626" xr:uid="{E8604696-9203-45DC-BDA2-5DC6BAC1E632}"/>
    <cellStyle name="Normal 45 2" xfId="627" xr:uid="{43145DA4-7254-491D-8DC9-BFA40D43FDDC}"/>
    <cellStyle name="Normal 46" xfId="628" xr:uid="{612964FE-920C-49CE-81EA-EC0EF03AC59F}"/>
    <cellStyle name="Normal 46 2" xfId="629" xr:uid="{8AD170CC-7052-4F45-9669-161AB846C978}"/>
    <cellStyle name="Normal 47" xfId="630" xr:uid="{67C983C4-F0BB-4CDB-8544-0AAD802206BA}"/>
    <cellStyle name="Normal 47 2" xfId="631" xr:uid="{D1FFCF1E-B652-4A3F-8FC7-14591C2D2747}"/>
    <cellStyle name="Normal 48" xfId="632" xr:uid="{81411130-B582-4AFE-8BA0-42C62FD5CDBD}"/>
    <cellStyle name="Normal 48 2" xfId="633" xr:uid="{551EFD03-0F5B-4BD5-A24B-C0C8953985BA}"/>
    <cellStyle name="Normal 49" xfId="634" xr:uid="{489281A6-D793-48E9-869C-33BD2AE46F5A}"/>
    <cellStyle name="Normal 49 2" xfId="635" xr:uid="{FA6868FA-08BE-46D1-BD4E-1D0531903E04}"/>
    <cellStyle name="Normal 49 2 2" xfId="636" xr:uid="{4BB2E788-542D-4D9D-A06D-FC14C389A7C5}"/>
    <cellStyle name="Normal 49 3" xfId="637" xr:uid="{A1BE6A11-4318-44E8-A7B4-489F7244BC57}"/>
    <cellStyle name="Normal 49 3 2" xfId="852" xr:uid="{2F396662-454C-4294-816E-5C2B6E67ED52}"/>
    <cellStyle name="Normal 49 3 2 2" xfId="2087" xr:uid="{CBDBE1E1-52A5-4FFF-8BD9-73A23118F5AE}"/>
    <cellStyle name="Normal 5" xfId="17" xr:uid="{00000000-0005-0000-0000-000009000000}"/>
    <cellStyle name="Normal 5 2" xfId="639" xr:uid="{87591C97-456B-4F94-A6B2-421498238F97}"/>
    <cellStyle name="Normal 5 2 2" xfId="640" xr:uid="{B3925519-7085-4B7D-B531-837C49E22B56}"/>
    <cellStyle name="Normal 5 3" xfId="641" xr:uid="{1F37793E-0A53-4A75-BF49-DF6D96DE5F30}"/>
    <cellStyle name="Normal 5 3 2" xfId="642" xr:uid="{5D6DEEAD-0C79-4E88-85AF-DC5E0221EEE3}"/>
    <cellStyle name="Normal 5 3 3" xfId="643" xr:uid="{B71C11D4-6364-4D90-B44C-B9DE86B7E05E}"/>
    <cellStyle name="Normal 5 4" xfId="644" xr:uid="{FFA8EC4C-6EDA-42C4-902F-798D55D82DAC}"/>
    <cellStyle name="Normal 5 4 2" xfId="645" xr:uid="{41075268-903C-4C3A-A8B4-58FE26DB7A0F}"/>
    <cellStyle name="Normal 5 4 2 2" xfId="646" xr:uid="{9A26AC24-E1AD-4111-AAF8-3F8DC523006F}"/>
    <cellStyle name="Normal 5 4 2 3" xfId="2341" xr:uid="{9E21E47E-70ED-4E82-A881-468BDD47C2D5}"/>
    <cellStyle name="Normal 5 5" xfId="647" xr:uid="{F5D0F956-7DBF-4DA5-8240-CA98319C5DF6}"/>
    <cellStyle name="Normal 5 5 2" xfId="648" xr:uid="{00EBEAAC-9B02-4AF2-B5AC-55459A652266}"/>
    <cellStyle name="Normal 5 5 2 2" xfId="2343" xr:uid="{FC995495-6136-4B3C-B65A-4BCDD3250438}"/>
    <cellStyle name="Normal 5 5 2 3" xfId="2179" xr:uid="{EF05F400-70C0-427E-82AC-40DCA4CB2378}"/>
    <cellStyle name="Normal 5 5 3" xfId="2180" xr:uid="{B42D9386-5153-4FA3-9311-1CE7E933BE1F}"/>
    <cellStyle name="Normal 5 5 4" xfId="2342" xr:uid="{AB71DF60-8848-4FA7-B6E9-0C2DD918004A}"/>
    <cellStyle name="Normal 5 5 5" xfId="2844" xr:uid="{C67DCD2D-B491-4314-A934-45DAD8C583DE}"/>
    <cellStyle name="Normal 5 5 6" xfId="2178" xr:uid="{1803C4BD-21A7-4D67-8B2F-1FAFCE1394C9}"/>
    <cellStyle name="Normal 5 6" xfId="638" xr:uid="{C00072F4-9DFE-4126-8440-5518119320DC}"/>
    <cellStyle name="Normal 5 7" xfId="22" xr:uid="{94D2B05B-AC5C-4BB5-8D49-7090E44025D9}"/>
    <cellStyle name="Normal 5 8" xfId="3228" xr:uid="{64A3EF9A-A6E4-48E5-9955-4AC8EF29AD0F}"/>
    <cellStyle name="Normal 50" xfId="649" xr:uid="{6F25D8AB-3128-4320-946D-F0ACA583B2FC}"/>
    <cellStyle name="Normal 50 2" xfId="650" xr:uid="{77F286FF-336C-423F-8926-B013B1044151}"/>
    <cellStyle name="Normal 51" xfId="651" xr:uid="{CA65B539-D836-4CA9-A13D-1CEAB5551F4E}"/>
    <cellStyle name="Normal 51 2" xfId="652" xr:uid="{5522E5B0-9A5B-4F6F-ADD7-CB98C838354B}"/>
    <cellStyle name="Normal 52" xfId="653" xr:uid="{C25D237C-C2BB-499A-8CBD-C17DC62D727C}"/>
    <cellStyle name="Normal 52 2" xfId="654" xr:uid="{C5E9C11B-546B-4213-9DBD-110B670D2046}"/>
    <cellStyle name="Normal 53" xfId="655" xr:uid="{6C6CD53B-6C18-4B60-A104-5DDFF32D809B}"/>
    <cellStyle name="Normal 53 2" xfId="656" xr:uid="{2C5CD255-A370-4E1A-A71D-D90533D2571D}"/>
    <cellStyle name="Normal 54" xfId="657" xr:uid="{46F1AC56-0FF1-4315-A8A0-FC1D58228B4C}"/>
    <cellStyle name="Normal 54 2" xfId="658" xr:uid="{BB0A75B7-FAD4-47BA-98C8-54E29B58AC19}"/>
    <cellStyle name="Normal 55" xfId="659" xr:uid="{CC8C5189-6A8C-436B-8632-004F32EE274E}"/>
    <cellStyle name="Normal 55 2" xfId="660" xr:uid="{C6CC21ED-62D0-412B-B22A-77E5F181B860}"/>
    <cellStyle name="Normal 55 2 2" xfId="661" xr:uid="{1BA4A51A-D779-4EEF-A73F-6CF64964DA15}"/>
    <cellStyle name="Normal 55 3" xfId="662" xr:uid="{F955AD74-5DC7-4C70-91EC-52B44A6AD873}"/>
    <cellStyle name="Normal 55 3 2" xfId="853" xr:uid="{26947415-B1EF-4569-A88A-541BBF7B84BF}"/>
    <cellStyle name="Normal 55 3 2 2" xfId="2088" xr:uid="{D5A53ECC-9807-427C-93B8-5F125597EA19}"/>
    <cellStyle name="Normal 56" xfId="663" xr:uid="{D6907155-B242-46FF-9F22-067B5DE90EBD}"/>
    <cellStyle name="Normal 56 2" xfId="664" xr:uid="{B7003C65-B834-4D6F-94ED-C576E6795655}"/>
    <cellStyle name="Normal 56 3" xfId="665" xr:uid="{8E0B2F2A-AE66-4992-B359-47CEE6B1593C}"/>
    <cellStyle name="Normal 56 3 2" xfId="666" xr:uid="{E244C914-0A8F-41E4-B5D9-EDA334188D4A}"/>
    <cellStyle name="Normal 56 4" xfId="667" xr:uid="{CA924AD6-93DF-4E45-9EB2-89ABBBE80604}"/>
    <cellStyle name="Normal 56 4 10" xfId="3263" xr:uid="{31057301-74B0-4F49-8B51-A21F5C2B35EB}"/>
    <cellStyle name="Normal 56 4 2" xfId="854" xr:uid="{8C56C661-51E3-4D27-B87A-A10B0E21DFEF}"/>
    <cellStyle name="Normal 56 4 2 2" xfId="1111" xr:uid="{A7DB0B2E-7442-418D-A4C0-45657929EBA3}"/>
    <cellStyle name="Normal 56 4 2 2 2" xfId="1528" xr:uid="{018C8DAF-BE8E-4E18-BA10-DCA4DAD03C1C}"/>
    <cellStyle name="Normal 56 4 2 2 2 2" xfId="2696" xr:uid="{C8F2D7F4-5E2E-4E12-867F-669F34E9935F}"/>
    <cellStyle name="Normal 56 4 2 2 2 2 2" xfId="4766" xr:uid="{6E1AF333-9205-45D9-A35E-A95997EAA9C4}"/>
    <cellStyle name="Normal 56 4 2 2 2 3" xfId="3863" xr:uid="{CBFBD95A-C788-4715-9E9C-D5DA5AA883AE}"/>
    <cellStyle name="Normal 56 4 2 2 3" xfId="1934" xr:uid="{07485538-7E16-499C-8C76-F73A781A8640}"/>
    <cellStyle name="Normal 56 4 2 2 3 2" xfId="3080" xr:uid="{2528DC10-1E6B-4F89-8880-6A8884418210}"/>
    <cellStyle name="Normal 56 4 2 2 3 2 2" xfId="5129" xr:uid="{4043C1FA-E6F6-4E29-885E-268D5098B6BE}"/>
    <cellStyle name="Normal 56 4 2 2 3 3" xfId="4251" xr:uid="{A1432BCB-19E3-4E6A-8850-E235E3655542}"/>
    <cellStyle name="Normal 56 4 2 2 4" xfId="2420" xr:uid="{EAFF3C67-AAD5-4653-870C-911F0849EE69}"/>
    <cellStyle name="Normal 56 4 2 2 4 2" xfId="4521" xr:uid="{C9C2A06D-0A2B-4503-8702-87503CD3FA39}"/>
    <cellStyle name="Normal 56 4 2 2 5" xfId="3475" xr:uid="{013A58DB-2621-4865-AF25-745A49D0D3FE}"/>
    <cellStyle name="Normal 56 4 2 3" xfId="1218" xr:uid="{1F3CC1E0-7DAC-4C9A-A49A-DDB31916B999}"/>
    <cellStyle name="Normal 56 4 2 3 2" xfId="1633" xr:uid="{865F1906-766D-4583-A30A-7CB35524983A}"/>
    <cellStyle name="Normal 56 4 2 3 2 2" xfId="3185" xr:uid="{3569A9D4-C7CD-44DA-8D1F-D925101EE5FB}"/>
    <cellStyle name="Normal 56 4 2 3 2 2 2" xfId="5234" xr:uid="{8149FCED-B287-4EFD-97EC-172F242B1FE5}"/>
    <cellStyle name="Normal 56 4 2 3 2 3" xfId="3968" xr:uid="{37F654E4-0CC7-4F43-97EA-199AF0DDA190}"/>
    <cellStyle name="Normal 56 4 2 3 3" xfId="2039" xr:uid="{91800B83-CA13-404C-8C26-CE909260E7C5}"/>
    <cellStyle name="Normal 56 4 2 3 3 2" xfId="4356" xr:uid="{1B16010D-5671-420A-BCAE-C8641617E7E3}"/>
    <cellStyle name="Normal 56 4 2 3 4" xfId="2554" xr:uid="{E4851730-3C48-463C-8604-8BC81D4BE4E7}"/>
    <cellStyle name="Normal 56 4 2 3 4 2" xfId="4633" xr:uid="{F6E8AEA3-FCE2-4F93-8055-117FFBE13626}"/>
    <cellStyle name="Normal 56 4 2 3 5" xfId="3580" xr:uid="{50FDB2E0-823E-496B-8FEE-45B39CAA38B2}"/>
    <cellStyle name="Normal 56 4 2 4" xfId="988" xr:uid="{6324ACA6-7679-44CA-849B-BCF91993B56F}"/>
    <cellStyle name="Normal 56 4 2 4 2" xfId="1423" xr:uid="{21D08CF2-65BF-40ED-AD4E-7FC8125680D7}"/>
    <cellStyle name="Normal 56 4 2 4 2 2" xfId="2979" xr:uid="{C761566A-25D4-4BA0-8A0B-549ED81830D4}"/>
    <cellStyle name="Normal 56 4 2 4 2 2 2" xfId="5029" xr:uid="{2CD7C31C-932F-4997-83DC-0EF405F48702}"/>
    <cellStyle name="Normal 56 4 2 4 2 3" xfId="3758" xr:uid="{DE0CE387-47CB-4F6E-95F1-EBAA9053D5E6}"/>
    <cellStyle name="Normal 56 4 2 4 3" xfId="1829" xr:uid="{290403AC-FB60-4143-ADE3-10634C843849}"/>
    <cellStyle name="Normal 56 4 2 4 3 2" xfId="4146" xr:uid="{E39EE0B1-1610-49AA-9128-FF1FC8AFDCD6}"/>
    <cellStyle name="Normal 56 4 2 4 4" xfId="2619" xr:uid="{8D987AFC-A74E-4419-B515-E8671E822275}"/>
    <cellStyle name="Normal 56 4 2 4 4 2" xfId="4689" xr:uid="{C6DE713D-3724-48CC-A7B4-0A6F768763EE}"/>
    <cellStyle name="Normal 56 4 2 4 5" xfId="3370" xr:uid="{FF230399-8892-4854-BB02-923CB4540DF0}"/>
    <cellStyle name="Normal 56 4 2 5" xfId="1349" xr:uid="{3F12C324-31FD-48C1-A5EC-8B2FA0FCF1EC}"/>
    <cellStyle name="Normal 56 4 2 5 2" xfId="2919" xr:uid="{E05B84EF-C045-4EAF-93D3-8DBE5A33B021}"/>
    <cellStyle name="Normal 56 4 2 5 2 2" xfId="4973" xr:uid="{D4E794D2-2EC1-4322-BA9B-FD40DF8F6C3F}"/>
    <cellStyle name="Normal 56 4 2 5 3" xfId="3685" xr:uid="{EF60FBBA-2208-445A-8A5C-7300922D8980}"/>
    <cellStyle name="Normal 56 4 2 6" xfId="1756" xr:uid="{D03D1638-CCE5-4F75-96C7-F796109F8348}"/>
    <cellStyle name="Normal 56 4 2 6 2" xfId="4073" xr:uid="{1CD00B12-A4A5-43DB-85B3-1822367CE876}"/>
    <cellStyle name="Normal 56 4 2 7" xfId="2228" xr:uid="{F17F0A76-FE2F-4D16-9ABC-08A673F167C0}"/>
    <cellStyle name="Normal 56 4 2 7 2" xfId="4449" xr:uid="{4563BFDD-FE7B-4690-809B-1DBDE2574E4A}"/>
    <cellStyle name="Normal 56 4 2 8" xfId="3297" xr:uid="{AC4C6C63-9EB8-401C-B10F-A448D3F45FBC}"/>
    <cellStyle name="Normal 56 4 3" xfId="1028" xr:uid="{B30DA7DE-88EE-4525-B1E4-735A648321D0}"/>
    <cellStyle name="Normal 56 4 3 2" xfId="1145" xr:uid="{996DB048-537C-43A5-BEAE-7D946C71B409}"/>
    <cellStyle name="Normal 56 4 3 2 2" xfId="1562" xr:uid="{763F47EE-DA09-4A46-AB41-DDF9DDD1ED80}"/>
    <cellStyle name="Normal 56 4 3 2 2 2" xfId="3114" xr:uid="{1B583CB8-669C-45AA-8D71-7D8028D27B44}"/>
    <cellStyle name="Normal 56 4 3 2 2 2 2" xfId="5163" xr:uid="{A4AE1939-46E1-45A9-9C7C-9DEB863A2F90}"/>
    <cellStyle name="Normal 56 4 3 2 2 3" xfId="3897" xr:uid="{9E039E29-3E0D-4F0F-B5E4-BA19438F154D}"/>
    <cellStyle name="Normal 56 4 3 2 3" xfId="1968" xr:uid="{B8EE6BB1-3D21-40B8-97B5-737E9AEC08F1}"/>
    <cellStyle name="Normal 56 4 3 2 3 2" xfId="4285" xr:uid="{A1C620AA-6401-4A4A-94CB-00E054929CF3}"/>
    <cellStyle name="Normal 56 4 3 2 4" xfId="2730" xr:uid="{1F6B399E-3167-4FEC-81E5-D679494AE17D}"/>
    <cellStyle name="Normal 56 4 3 2 4 2" xfId="4800" xr:uid="{4C1A5842-ED01-4FB5-8494-36E08FB8A41E}"/>
    <cellStyle name="Normal 56 4 3 2 5" xfId="3509" xr:uid="{55E0E6BE-51BD-4656-9867-E7656EAA6D56}"/>
    <cellStyle name="Normal 56 4 3 3" xfId="1256" xr:uid="{2EDABC0B-6221-4799-B3E7-D555A10D5A48}"/>
    <cellStyle name="Normal 56 4 3 3 2" xfId="1667" xr:uid="{ABFAF9CB-B4A2-4ABA-ADC1-504FD9749339}"/>
    <cellStyle name="Normal 56 4 3 3 2 2" xfId="3219" xr:uid="{A7632565-3820-412A-94EB-C48620C1EA70}"/>
    <cellStyle name="Normal 56 4 3 3 2 2 2" xfId="5268" xr:uid="{14879D82-AF3F-4B7F-A098-F72B16812784}"/>
    <cellStyle name="Normal 56 4 3 3 2 3" xfId="4002" xr:uid="{0A41C00F-3B68-4318-BFD9-37951A6E2F27}"/>
    <cellStyle name="Normal 56 4 3 3 3" xfId="2073" xr:uid="{96F8DA7F-155A-418C-A7CE-4AFCDE8C5728}"/>
    <cellStyle name="Normal 56 4 3 3 3 2" xfId="4390" xr:uid="{BDA5485E-86BC-4D14-B9BC-18F8CED970F2}"/>
    <cellStyle name="Normal 56 4 3 3 4" xfId="2806" xr:uid="{FA455B52-B5D6-4329-A1F9-1A7B0F317D6A}"/>
    <cellStyle name="Normal 56 4 3 3 4 2" xfId="4876" xr:uid="{13B4E5D9-D77B-4C5E-B698-4B03D8A4EE5C}"/>
    <cellStyle name="Normal 56 4 3 3 5" xfId="3614" xr:uid="{5389AF43-2E83-4560-984A-D82D35CDAB83}"/>
    <cellStyle name="Normal 56 4 3 4" xfId="1457" xr:uid="{E0CF2AA3-AE14-4918-A1D5-474C8846ADB1}"/>
    <cellStyle name="Normal 56 4 3 4 2" xfId="2647" xr:uid="{7CABD94B-ADCB-49DC-9399-CA1291B1136A}"/>
    <cellStyle name="Normal 56 4 3 4 2 2" xfId="4717" xr:uid="{62D181A4-47AE-4716-A90D-7EA18635E750}"/>
    <cellStyle name="Normal 56 4 3 4 3" xfId="3792" xr:uid="{790803E2-B369-4A96-8181-D96374133AD3}"/>
    <cellStyle name="Normal 56 4 3 5" xfId="1863" xr:uid="{C02BD3E9-8C03-44BE-B08B-49269D23CA21}"/>
    <cellStyle name="Normal 56 4 3 5 2" xfId="3010" xr:uid="{7EB212A2-94F0-43C5-B65F-0849BE53D189}"/>
    <cellStyle name="Normal 56 4 3 5 2 2" xfId="5060" xr:uid="{BDBFE720-AFD3-4818-AA35-06A33EE39BA2}"/>
    <cellStyle name="Normal 56 4 3 5 3" xfId="4180" xr:uid="{F7764453-442A-4263-8E57-EB50EFB7835F}"/>
    <cellStyle name="Normal 56 4 3 6" xfId="2392" xr:uid="{5CAAEB21-A840-410D-815D-A1B616F8912D}"/>
    <cellStyle name="Normal 56 4 3 6 2" xfId="4493" xr:uid="{08A611CC-74E7-47D4-952C-6BF483E59989}"/>
    <cellStyle name="Normal 56 4 3 7" xfId="3404" xr:uid="{D21B4AAB-361B-41D8-9048-8EBF95B1CD4E}"/>
    <cellStyle name="Normal 56 4 4" xfId="1076" xr:uid="{5A7D9B85-DE1E-49E0-AA0E-9FA9FE624F91}"/>
    <cellStyle name="Normal 56 4 4 2" xfId="1493" xr:uid="{61544ACF-6922-4EE4-8D34-C9740B9B83CC}"/>
    <cellStyle name="Normal 56 4 4 2 2" xfId="3045" xr:uid="{E038352D-59B6-49CE-B024-4A72BF7E3B25}"/>
    <cellStyle name="Normal 56 4 4 2 2 2" xfId="5095" xr:uid="{D0D96875-33AB-489D-B825-91AC50422969}"/>
    <cellStyle name="Normal 56 4 4 2 3" xfId="3828" xr:uid="{EFE56BF7-F739-4DAC-BB03-38DB5E01DCCB}"/>
    <cellStyle name="Normal 56 4 4 3" xfId="1899" xr:uid="{02481629-7E33-4BAF-B238-20572EDF493E}"/>
    <cellStyle name="Normal 56 4 4 3 2" xfId="4216" xr:uid="{61D9AD8E-E799-47C7-9CDB-06F1C4E68A5E}"/>
    <cellStyle name="Normal 56 4 4 4" xfId="2500" xr:uid="{6E652151-1E7B-402C-94B9-70237887B410}"/>
    <cellStyle name="Normal 56 4 4 4 2" xfId="4587" xr:uid="{5D81D952-27DA-49D2-ABE1-7F6AE76351EE}"/>
    <cellStyle name="Normal 56 4 4 5" xfId="3440" xr:uid="{C8FDAC71-B371-40F3-8435-D81AB80E4EA2}"/>
    <cellStyle name="Normal 56 4 5" xfId="1182" xr:uid="{3A79FA51-45E6-4A79-9B06-36B7707A5E78}"/>
    <cellStyle name="Normal 56 4 5 2" xfId="1598" xr:uid="{D8E32671-98C3-487B-8FA9-AA170EFD9CCB}"/>
    <cellStyle name="Normal 56 4 5 2 2" xfId="3150" xr:uid="{7A34A5CD-B7AD-4BD7-A1D4-906AF177A169}"/>
    <cellStyle name="Normal 56 4 5 2 2 2" xfId="5199" xr:uid="{BB4EE940-56E2-4686-8C54-4DA22FB7EF49}"/>
    <cellStyle name="Normal 56 4 5 2 3" xfId="3933" xr:uid="{2C75B0AE-BFC0-4E1A-B6E3-899E6B3B16CC}"/>
    <cellStyle name="Normal 56 4 5 3" xfId="2004" xr:uid="{6BBA1EB5-A665-47A1-B3EE-74DCFF4384C4}"/>
    <cellStyle name="Normal 56 4 5 3 2" xfId="4321" xr:uid="{38515855-4800-409C-BEBC-D714619B6E81}"/>
    <cellStyle name="Normal 56 4 5 4" xfId="2765" xr:uid="{4A6943C2-AF66-4DB6-B2B4-7024B6D3EE53}"/>
    <cellStyle name="Normal 56 4 5 4 2" xfId="4835" xr:uid="{42851D9F-C2C4-44B4-BF45-20076A1CC32C}"/>
    <cellStyle name="Normal 56 4 5 5" xfId="3545" xr:uid="{C3D1B709-9B0D-4408-85E2-482CB70F807E}"/>
    <cellStyle name="Normal 56 4 6" xfId="942" xr:uid="{F39D3AB1-EAA2-4BF2-A858-4F19FEF1F675}"/>
    <cellStyle name="Normal 56 4 6 2" xfId="1388" xr:uid="{9CD36928-2EFE-4812-BB3E-462B33DEBF31}"/>
    <cellStyle name="Normal 56 4 6 2 2" xfId="2861" xr:uid="{50954905-1607-463D-8867-94A7D35B444C}"/>
    <cellStyle name="Normal 56 4 6 2 2 2" xfId="4917" xr:uid="{13B6C780-5E14-4CA6-95F8-0ED7A025AF17}"/>
    <cellStyle name="Normal 56 4 6 2 3" xfId="3723" xr:uid="{57CAAEFE-63C3-4FE6-B956-11432729A34A}"/>
    <cellStyle name="Normal 56 4 6 3" xfId="1794" xr:uid="{FDCEA006-DC5E-4506-8EA7-E57C9FE94707}"/>
    <cellStyle name="Normal 56 4 6 3 2" xfId="4111" xr:uid="{DDEE4536-99AE-4D30-BD27-DEA884F29539}"/>
    <cellStyle name="Normal 56 4 6 4" xfId="2596" xr:uid="{D1FC5071-176C-4DD1-A9F0-9148039E4DB4}"/>
    <cellStyle name="Normal 56 4 6 4 2" xfId="4667" xr:uid="{1B5BAD83-6E74-496D-8BDD-96D4E8C27405}"/>
    <cellStyle name="Normal 56 4 6 5" xfId="3335" xr:uid="{D290E54D-2F17-4843-97F7-0DF9930453AC}"/>
    <cellStyle name="Normal 56 4 7" xfId="1314" xr:uid="{C1BFCDCA-AFD7-4D3A-BAF4-3DE73F8140DC}"/>
    <cellStyle name="Normal 56 4 7 2" xfId="2885" xr:uid="{D2372E6B-097A-4864-BECB-4E6A4EB6AFDC}"/>
    <cellStyle name="Normal 56 4 7 2 2" xfId="4939" xr:uid="{57AB5CF4-8ADE-4ADB-B5B3-2C9FAABE5BC2}"/>
    <cellStyle name="Normal 56 4 7 3" xfId="3651" xr:uid="{C1C4527E-8A48-4445-83A1-D49BBAEB15F2}"/>
    <cellStyle name="Normal 56 4 8" xfId="1722" xr:uid="{B64AA13E-597E-461A-B088-7CCF8BC2FE26}"/>
    <cellStyle name="Normal 56 4 8 2" xfId="4039" xr:uid="{89A4D4FE-AC5D-42F6-B94D-FDAE7B78B2DC}"/>
    <cellStyle name="Normal 56 4 9" xfId="2181" xr:uid="{3E6526D0-4F86-40DC-A9FE-0E7FB661F683}"/>
    <cellStyle name="Normal 56 4 9 2" xfId="4421" xr:uid="{322C4DF9-1358-4A5A-81C0-3D95CDB89262}"/>
    <cellStyle name="Normal 56 5" xfId="668" xr:uid="{9E4E478A-3078-4041-AED7-D69B1D6454B0}"/>
    <cellStyle name="Normal 56 6" xfId="2182" xr:uid="{5C511919-F595-4F83-84F5-27CCD6209556}"/>
    <cellStyle name="Normal 56 7" xfId="2870" xr:uid="{EB6C01D8-A317-4CBC-A43B-E36429BEBE18}"/>
    <cellStyle name="Normal 57" xfId="669" xr:uid="{75C8FC2F-74AA-4FE4-89D1-994A616616EA}"/>
    <cellStyle name="Normal 57 2" xfId="943" xr:uid="{ACF68162-704E-4827-802B-BD3C0104D87B}"/>
    <cellStyle name="Normal 57 2 2" xfId="2522" xr:uid="{9CB7C4F0-7A52-44BD-B26D-77F4AAA759EF}"/>
    <cellStyle name="Normal 57 2 3" xfId="2183" xr:uid="{DA921C96-AD3C-4090-AFEC-27EB8B1A40C7}"/>
    <cellStyle name="Normal 57 3" xfId="903" xr:uid="{5B679923-73E7-4966-BCF1-DB4628447FD3}"/>
    <cellStyle name="Normal 57 3 2" xfId="2514" xr:uid="{4CB7112B-C7E8-4D6D-A033-C81EB996734F}"/>
    <cellStyle name="Normal 57 3 3" xfId="2184" xr:uid="{866277CA-52AB-466C-9072-45AC0FFFA883}"/>
    <cellStyle name="Normal 57 4" xfId="2953" xr:uid="{B13034A6-59DC-4053-B262-CC86858E256E}"/>
    <cellStyle name="Normal 58" xfId="670" xr:uid="{2073BC8C-6874-432E-A57E-4F4A4A3C6475}"/>
    <cellStyle name="Normal 58 2" xfId="671" xr:uid="{D16DDEF4-4595-4D27-A47C-866C1F408C1C}"/>
    <cellStyle name="Normal 58 3" xfId="672" xr:uid="{4B13669B-D1B6-4D3C-A62F-0B4B7F8D3CCC}"/>
    <cellStyle name="Normal 59" xfId="673" xr:uid="{85AD4720-E14F-45D0-A433-BFAFEA5DCB5A}"/>
    <cellStyle name="Normal 6" xfId="674" xr:uid="{57F85546-A2CA-43EF-A07D-99A0C91DFA2F}"/>
    <cellStyle name="Normal 6 2" xfId="675" xr:uid="{7D5B6142-6613-43DD-A6EF-645FDCCA93A6}"/>
    <cellStyle name="Normal 6 2 2" xfId="676" xr:uid="{4E66ADA0-1E31-436B-836B-84F2C9F08B55}"/>
    <cellStyle name="Normal 6 2 3" xfId="874" xr:uid="{81B80862-5D0C-4F0A-8293-51D517E7FEC7}"/>
    <cellStyle name="Normal 6 3" xfId="677" xr:uid="{5876A550-73C7-4854-84D1-3371E3A98656}"/>
    <cellStyle name="Normal 6 3 2" xfId="678" xr:uid="{9E7FD985-5B74-4964-B583-613A62B68D37}"/>
    <cellStyle name="Normal 6 3 3" xfId="679" xr:uid="{DD797BBC-0EC7-4D1E-9F57-198F1DCAD5CA}"/>
    <cellStyle name="Normal 6 4" xfId="680" xr:uid="{EF0F075C-C61C-44EB-A7C1-452AE5867C5E}"/>
    <cellStyle name="Normal 6 4 2" xfId="681" xr:uid="{522966E2-8B71-408E-9710-C1E3938BBD5B}"/>
    <cellStyle name="Normal 6 4 2 10" xfId="3264" xr:uid="{E9C33AA1-29FB-4011-A81B-D861FB5DB9FC}"/>
    <cellStyle name="Normal 6 4 2 2" xfId="855" xr:uid="{8749F4C2-2174-4786-ADEA-845F3CA635FD}"/>
    <cellStyle name="Normal 6 4 2 2 2" xfId="1112" xr:uid="{44031F63-69ED-4C89-AD71-8E06880D2E4E}"/>
    <cellStyle name="Normal 6 4 2 2 2 2" xfId="1529" xr:uid="{48E599F8-5E31-4E4D-A4EC-A2BDD0C0C2B3}"/>
    <cellStyle name="Normal 6 4 2 2 2 2 2" xfId="2697" xr:uid="{A0A772B0-5681-4186-8129-D666D74ACB82}"/>
    <cellStyle name="Normal 6 4 2 2 2 2 2 2" xfId="4767" xr:uid="{6B7C2E3A-7606-4471-80EF-1F36D967E3A0}"/>
    <cellStyle name="Normal 6 4 2 2 2 2 3" xfId="3864" xr:uid="{E17DC918-7836-4E0F-9B67-A33C115AC2BE}"/>
    <cellStyle name="Normal 6 4 2 2 2 3" xfId="1935" xr:uid="{D340CADF-6B6A-42DA-954A-BC6205C42FE6}"/>
    <cellStyle name="Normal 6 4 2 2 2 3 2" xfId="3081" xr:uid="{17BCD689-FCEE-4397-BC4F-F31102D51ECF}"/>
    <cellStyle name="Normal 6 4 2 2 2 3 2 2" xfId="5130" xr:uid="{EF8F1C78-4971-4032-BBB9-C2AD126F0A09}"/>
    <cellStyle name="Normal 6 4 2 2 2 3 3" xfId="4252" xr:uid="{55AEAA36-0AF3-40EC-9E18-4DD59A1B7DDA}"/>
    <cellStyle name="Normal 6 4 2 2 2 4" xfId="2422" xr:uid="{6B0841B4-ABB0-42EE-923A-F47787A20B4A}"/>
    <cellStyle name="Normal 6 4 2 2 2 4 2" xfId="4523" xr:uid="{8E742292-C3A2-4B5D-B321-477B254D8B88}"/>
    <cellStyle name="Normal 6 4 2 2 2 5" xfId="3476" xr:uid="{F628DF42-1DD9-4237-B287-507AF7E175FE}"/>
    <cellStyle name="Normal 6 4 2 2 3" xfId="1219" xr:uid="{3D2E67B6-C401-4A5F-92E9-25C77CE2FA8C}"/>
    <cellStyle name="Normal 6 4 2 2 3 2" xfId="1634" xr:uid="{183E747A-B644-4A31-876A-AE2B05B509C8}"/>
    <cellStyle name="Normal 6 4 2 2 3 2 2" xfId="3186" xr:uid="{7515E3C3-B860-40A8-AD0D-C6D3A68CAF3E}"/>
    <cellStyle name="Normal 6 4 2 2 3 2 2 2" xfId="5235" xr:uid="{F415F401-2920-4487-A466-53736D96CF94}"/>
    <cellStyle name="Normal 6 4 2 2 3 2 3" xfId="3969" xr:uid="{18D9A9B4-3EAD-43B7-ACE5-B5DCE1721661}"/>
    <cellStyle name="Normal 6 4 2 2 3 3" xfId="2040" xr:uid="{CBC30479-9A97-4D02-96D3-848A2F2C232D}"/>
    <cellStyle name="Normal 6 4 2 2 3 3 2" xfId="4357" xr:uid="{BEBFAB9F-ABA1-4AAB-B64A-42C3EEFB9FF4}"/>
    <cellStyle name="Normal 6 4 2 2 3 4" xfId="2556" xr:uid="{A2419E96-7FED-4439-808B-4BEF356AF659}"/>
    <cellStyle name="Normal 6 4 2 2 3 4 2" xfId="4635" xr:uid="{74FD54E4-45FD-46BF-89EA-30F56C8F564A}"/>
    <cellStyle name="Normal 6 4 2 2 3 5" xfId="3581" xr:uid="{FE75B7FE-4599-4E81-BA42-6DC243ED7196}"/>
    <cellStyle name="Normal 6 4 2 2 4" xfId="989" xr:uid="{0736D7B6-7946-4030-BFFA-25AEA7F4EE2A}"/>
    <cellStyle name="Normal 6 4 2 2 4 2" xfId="1424" xr:uid="{BCFAA89B-CBF8-46BD-8D63-83889EDEC966}"/>
    <cellStyle name="Normal 6 4 2 2 4 2 2" xfId="2980" xr:uid="{B0BE58CC-C9BE-4D32-BEB5-E259ED4D02E8}"/>
    <cellStyle name="Normal 6 4 2 2 4 2 2 2" xfId="5030" xr:uid="{421EAFAE-56A1-4084-972C-59B0C2DE6988}"/>
    <cellStyle name="Normal 6 4 2 2 4 2 3" xfId="3759" xr:uid="{17C1AA67-BF02-41DA-8EB1-16C098C6BF9C}"/>
    <cellStyle name="Normal 6 4 2 2 4 3" xfId="1830" xr:uid="{BB5022D4-95C0-46FF-AB7B-6EFD1CB4464B}"/>
    <cellStyle name="Normal 6 4 2 2 4 3 2" xfId="4147" xr:uid="{89CAC35D-2CB6-4866-99F5-C03098BB77C0}"/>
    <cellStyle name="Normal 6 4 2 2 4 4" xfId="2620" xr:uid="{B51CFE5B-E34F-4008-9836-C4D5EC0211E4}"/>
    <cellStyle name="Normal 6 4 2 2 4 4 2" xfId="4690" xr:uid="{A2A99B3F-8352-40DE-900F-B85E3C7D3F27}"/>
    <cellStyle name="Normal 6 4 2 2 4 5" xfId="3371" xr:uid="{2A4CE025-A915-42FD-9CC2-B01091A2B7B3}"/>
    <cellStyle name="Normal 6 4 2 2 5" xfId="1350" xr:uid="{5FBC0902-FC9B-425D-A349-CF96884DE35F}"/>
    <cellStyle name="Normal 6 4 2 2 5 2" xfId="2921" xr:uid="{83BA2395-3C97-4690-A3E9-F4B84A2724BC}"/>
    <cellStyle name="Normal 6 4 2 2 5 2 2" xfId="4975" xr:uid="{7B3A6F64-E747-48C9-993A-5DD4848B557C}"/>
    <cellStyle name="Normal 6 4 2 2 5 3" xfId="3686" xr:uid="{4FBE0602-A7E0-49B3-BF9D-7179FB3988D2}"/>
    <cellStyle name="Normal 6 4 2 2 6" xfId="1757" xr:uid="{8117D3D2-6000-463A-A14A-74E266357D0F}"/>
    <cellStyle name="Normal 6 4 2 2 6 2" xfId="4074" xr:uid="{49A59DA4-87D7-4C76-B9F1-87A8E1DCA99A}"/>
    <cellStyle name="Normal 6 4 2 2 7" xfId="2230" xr:uid="{AF38E3A6-57E3-4642-B199-04392DBB6CEA}"/>
    <cellStyle name="Normal 6 4 2 2 7 2" xfId="4451" xr:uid="{C6B38A0D-8FBC-41A0-A3B5-6D798D75AE5E}"/>
    <cellStyle name="Normal 6 4 2 2 8" xfId="3298" xr:uid="{85397FE5-1041-452A-B554-DB4607018DA2}"/>
    <cellStyle name="Normal 6 4 2 3" xfId="1029" xr:uid="{4264F6F6-E4D0-45A3-B330-CF824FADD2FC}"/>
    <cellStyle name="Normal 6 4 2 3 2" xfId="1146" xr:uid="{A82F4708-3679-4540-A640-5CD2817EB878}"/>
    <cellStyle name="Normal 6 4 2 3 2 2" xfId="1563" xr:uid="{25B65C07-F411-45BD-8667-4593F745DFD7}"/>
    <cellStyle name="Normal 6 4 2 3 2 2 2" xfId="3115" xr:uid="{6B559358-D9FD-4F36-8E95-E632FDE4A1F2}"/>
    <cellStyle name="Normal 6 4 2 3 2 2 2 2" xfId="5164" xr:uid="{97C6D280-E4CE-4183-94D4-E41A99D7E8DA}"/>
    <cellStyle name="Normal 6 4 2 3 2 2 3" xfId="3898" xr:uid="{211BD344-BC3C-4E2A-961C-475FDE513ED0}"/>
    <cellStyle name="Normal 6 4 2 3 2 3" xfId="1969" xr:uid="{4EB7E131-1D7C-48DA-8CF8-300425BD8028}"/>
    <cellStyle name="Normal 6 4 2 3 2 3 2" xfId="4286" xr:uid="{69AE7651-6B88-4454-ADD9-884EE92311E7}"/>
    <cellStyle name="Normal 6 4 2 3 2 4" xfId="2731" xr:uid="{545672FA-5CD0-4A7A-B551-20217BF16436}"/>
    <cellStyle name="Normal 6 4 2 3 2 4 2" xfId="4801" xr:uid="{07C7F059-D068-4A4C-A292-FEB2E92087E8}"/>
    <cellStyle name="Normal 6 4 2 3 2 5" xfId="3510" xr:uid="{6DAB92AA-DCC8-48E4-9933-16F3C8CDC827}"/>
    <cellStyle name="Normal 6 4 2 3 3" xfId="1257" xr:uid="{B5810EDB-FA49-4E35-97BB-21077C7E2A57}"/>
    <cellStyle name="Normal 6 4 2 3 3 2" xfId="1668" xr:uid="{02EC40D8-2B9B-4903-BAC7-8A2F22499026}"/>
    <cellStyle name="Normal 6 4 2 3 3 2 2" xfId="3220" xr:uid="{159B8715-F239-4C25-BD16-30AB70CE3178}"/>
    <cellStyle name="Normal 6 4 2 3 3 2 2 2" xfId="5269" xr:uid="{EDCAAB6E-CDF1-43E7-B77D-2E0E5FF444D7}"/>
    <cellStyle name="Normal 6 4 2 3 3 2 3" xfId="4003" xr:uid="{DAE83DC5-4E1B-41D2-ADB0-8674F83064AE}"/>
    <cellStyle name="Normal 6 4 2 3 3 3" xfId="2074" xr:uid="{0A57DB82-859F-4BA1-9EB7-E053BD9A7B5C}"/>
    <cellStyle name="Normal 6 4 2 3 3 3 2" xfId="4391" xr:uid="{3E7C796B-B250-4869-AA10-50AB71EFCD37}"/>
    <cellStyle name="Normal 6 4 2 3 3 4" xfId="2807" xr:uid="{750C8851-5E25-4D1B-B735-BF0AE98B2E74}"/>
    <cellStyle name="Normal 6 4 2 3 3 4 2" xfId="4877" xr:uid="{175F37BC-ABB9-4CC6-9889-C0CC8CFF1D8B}"/>
    <cellStyle name="Normal 6 4 2 3 3 5" xfId="3615" xr:uid="{F82934E3-790A-40EA-97BF-55C962F98B23}"/>
    <cellStyle name="Normal 6 4 2 3 4" xfId="1458" xr:uid="{59BDF8AA-9D50-4092-897A-89219B321231}"/>
    <cellStyle name="Normal 6 4 2 3 4 2" xfId="2648" xr:uid="{DE65414A-1D1B-48EC-9387-7F5936AAC045}"/>
    <cellStyle name="Normal 6 4 2 3 4 2 2" xfId="4718" xr:uid="{F8CC190C-D30D-4E79-BAC2-42DB09F920BB}"/>
    <cellStyle name="Normal 6 4 2 3 4 3" xfId="3793" xr:uid="{0C745A71-76C9-41D1-B6B7-056FB74496A0}"/>
    <cellStyle name="Normal 6 4 2 3 5" xfId="1864" xr:uid="{0DCA881C-EE32-47FA-A898-DE2394841324}"/>
    <cellStyle name="Normal 6 4 2 3 5 2" xfId="3011" xr:uid="{B0D79E94-8187-4474-A522-67E5EF23E003}"/>
    <cellStyle name="Normal 6 4 2 3 5 2 2" xfId="5061" xr:uid="{73C3FB54-73BC-4088-9306-F892A653D781}"/>
    <cellStyle name="Normal 6 4 2 3 5 3" xfId="4181" xr:uid="{8D03FE1E-16EF-462B-9223-EF63945501E6}"/>
    <cellStyle name="Normal 6 4 2 3 6" xfId="2394" xr:uid="{F7D638B5-AB89-421A-9C15-0E86BF878BCB}"/>
    <cellStyle name="Normal 6 4 2 3 6 2" xfId="4495" xr:uid="{FEBE870D-5307-432E-ADA4-4685E20C593E}"/>
    <cellStyle name="Normal 6 4 2 3 7" xfId="3405" xr:uid="{429F9D27-03DE-4C38-AA93-28817BA6EE3B}"/>
    <cellStyle name="Normal 6 4 2 4" xfId="1077" xr:uid="{5E2DB6BF-26E1-4901-AF60-92008AD406BF}"/>
    <cellStyle name="Normal 6 4 2 4 2" xfId="1494" xr:uid="{4BFF7A85-E984-48CB-AF69-9102858C77EB}"/>
    <cellStyle name="Normal 6 4 2 4 2 2" xfId="3046" xr:uid="{C904DBE2-B1D4-4E76-93B2-87542FB21075}"/>
    <cellStyle name="Normal 6 4 2 4 2 2 2" xfId="5096" xr:uid="{388EAFC1-2E97-41E4-9734-A41518D9018B}"/>
    <cellStyle name="Normal 6 4 2 4 2 3" xfId="3829" xr:uid="{8800F2F8-113C-4CA7-B674-9C86956AF2AE}"/>
    <cellStyle name="Normal 6 4 2 4 3" xfId="1900" xr:uid="{C4AFD77F-C3AA-4740-9574-8D92A9B37C01}"/>
    <cellStyle name="Normal 6 4 2 4 3 2" xfId="4217" xr:uid="{41E5FA6A-1D78-4781-BEBA-81B3D19A3365}"/>
    <cellStyle name="Normal 6 4 2 4 4" xfId="2503" xr:uid="{388D20CB-23C1-4CF2-9C3D-7EA7530014A3}"/>
    <cellStyle name="Normal 6 4 2 4 4 2" xfId="4589" xr:uid="{AFD85905-5411-4BFF-8D23-C1C28C55D16D}"/>
    <cellStyle name="Normal 6 4 2 4 5" xfId="3441" xr:uid="{884D5D28-05E7-4C39-AA75-B19900BEC042}"/>
    <cellStyle name="Normal 6 4 2 5" xfId="1183" xr:uid="{53A53164-648E-4E32-B363-E56791457AE6}"/>
    <cellStyle name="Normal 6 4 2 5 2" xfId="1599" xr:uid="{BC0C5D2C-ECF7-4453-89DB-85B823C60F6B}"/>
    <cellStyle name="Normal 6 4 2 5 2 2" xfId="3151" xr:uid="{83B2F113-3B25-4137-BC43-176F55B03367}"/>
    <cellStyle name="Normal 6 4 2 5 2 2 2" xfId="5200" xr:uid="{A122307A-3BD5-4E9A-9852-A0944B82BD47}"/>
    <cellStyle name="Normal 6 4 2 5 2 3" xfId="3934" xr:uid="{27E67E70-A83B-41F9-B628-0D5FEE46C19E}"/>
    <cellStyle name="Normal 6 4 2 5 3" xfId="2005" xr:uid="{56EADE32-8548-4C5A-A093-81330B1E35B6}"/>
    <cellStyle name="Normal 6 4 2 5 3 2" xfId="4322" xr:uid="{D85E2BD9-A9CC-44A1-A4BE-4A267F678589}"/>
    <cellStyle name="Normal 6 4 2 5 4" xfId="2766" xr:uid="{F227D723-DB0B-4C5A-ACA9-232566ED5CC3}"/>
    <cellStyle name="Normal 6 4 2 5 4 2" xfId="4836" xr:uid="{158FD5B7-D1DE-4069-8260-A74449CDF9DE}"/>
    <cellStyle name="Normal 6 4 2 5 5" xfId="3546" xr:uid="{E0F80291-095C-4F6C-8F04-0462D5651635}"/>
    <cellStyle name="Normal 6 4 2 6" xfId="945" xr:uid="{D60B3581-3B06-48D1-AC50-D1C23797F247}"/>
    <cellStyle name="Normal 6 4 2 6 2" xfId="1389" xr:uid="{DF40F460-2D42-4D91-AD2F-8D164780BF62}"/>
    <cellStyle name="Normal 6 4 2 6 2 2" xfId="2960" xr:uid="{BC27E74C-560B-4AD2-A3C8-E09AF53FE7EF}"/>
    <cellStyle name="Normal 6 4 2 6 2 2 2" xfId="5011" xr:uid="{0788CC73-0FF4-4420-82C5-CB801FCA4542}"/>
    <cellStyle name="Normal 6 4 2 6 2 3" xfId="3724" xr:uid="{ABA5FD0B-D7B4-4595-9C97-4DE159D1A43C}"/>
    <cellStyle name="Normal 6 4 2 6 3" xfId="1795" xr:uid="{CBFCEC1A-792F-42E5-B036-E8B3A37EA5FA}"/>
    <cellStyle name="Normal 6 4 2 6 3 2" xfId="4112" xr:uid="{AC94E830-1C71-4B3A-ADD6-722A4F34FF26}"/>
    <cellStyle name="Normal 6 4 2 6 4" xfId="2440" xr:uid="{BE35AF82-A331-450F-991E-DBA6941EE3E7}"/>
    <cellStyle name="Normal 6 4 2 6 4 2" xfId="4541" xr:uid="{E7C7A7CB-505D-4B53-A2FE-2D6438664F86}"/>
    <cellStyle name="Normal 6 4 2 6 5" xfId="3336" xr:uid="{9527E563-B157-4AF9-931D-D93B554E38AE}"/>
    <cellStyle name="Normal 6 4 2 7" xfId="1315" xr:uid="{45EE0E6C-E722-4FEE-929A-BB547D33948D}"/>
    <cellStyle name="Normal 6 4 2 7 2" xfId="2887" xr:uid="{A86AAD34-611D-4475-A7B1-466C58D956B9}"/>
    <cellStyle name="Normal 6 4 2 7 2 2" xfId="4941" xr:uid="{A283D325-56D8-4B16-A4AD-68457AD76299}"/>
    <cellStyle name="Normal 6 4 2 7 3" xfId="3652" xr:uid="{8AD6C179-B722-4D49-8C97-DCAC419CF154}"/>
    <cellStyle name="Normal 6 4 2 8" xfId="1723" xr:uid="{3BC10C7E-7E6A-4527-B92A-60DAE6E28908}"/>
    <cellStyle name="Normal 6 4 2 8 2" xfId="4040" xr:uid="{3444B324-84A7-45AA-8907-9444336D5823}"/>
    <cellStyle name="Normal 6 4 2 9" xfId="2186" xr:uid="{5897B954-E6E2-4E23-B3D2-C4F9EB5ED1CA}"/>
    <cellStyle name="Normal 6 4 2 9 2" xfId="4423" xr:uid="{579B1EF9-64E8-4B99-8EC9-22810297C544}"/>
    <cellStyle name="Normal 6 4 3" xfId="682" xr:uid="{7E28E586-631A-4548-BEE8-F62209EB5AF0}"/>
    <cellStyle name="Normal 6 4 4" xfId="683" xr:uid="{8373D787-C711-4578-AF52-A0B2DFCC1C18}"/>
    <cellStyle name="Normal 6 4 4 10" xfId="3265" xr:uid="{62ABCF69-98A2-4363-A3B8-4914654613AC}"/>
    <cellStyle name="Normal 6 4 4 2" xfId="856" xr:uid="{A50E7DBA-DD84-4C73-8EF3-D826FD50A932}"/>
    <cellStyle name="Normal 6 4 4 2 2" xfId="1113" xr:uid="{0E376139-C339-4A01-A25F-75A56D31B559}"/>
    <cellStyle name="Normal 6 4 4 2 2 2" xfId="1530" xr:uid="{C4379A62-4C95-46F1-B2EC-CD83A1F13D55}"/>
    <cellStyle name="Normal 6 4 4 2 2 2 2" xfId="3082" xr:uid="{277AE56E-B69F-40E0-B717-200344A64DEC}"/>
    <cellStyle name="Normal 6 4 4 2 2 2 2 2" xfId="5131" xr:uid="{F8E10343-330E-46A4-94DD-70217EAAF421}"/>
    <cellStyle name="Normal 6 4 4 2 2 2 3" xfId="3865" xr:uid="{4992523F-6AFB-4448-A138-4D9A7F1B4839}"/>
    <cellStyle name="Normal 6 4 4 2 2 3" xfId="1936" xr:uid="{3298B733-BB3F-4868-AFE1-58862DE45F7C}"/>
    <cellStyle name="Normal 6 4 4 2 2 3 2" xfId="4253" xr:uid="{E3B4E346-04A9-4A5D-BC6A-8BEE152B27CD}"/>
    <cellStyle name="Normal 6 4 4 2 2 4" xfId="2698" xr:uid="{2D89A0F5-7C25-4143-AD87-5AE95EEE9E73}"/>
    <cellStyle name="Normal 6 4 4 2 2 4 2" xfId="4768" xr:uid="{865FF26F-A118-4148-B0AB-DE76F82852E2}"/>
    <cellStyle name="Normal 6 4 4 2 2 5" xfId="3477" xr:uid="{A5AFD48E-5F53-4BE1-BA08-C884082FCC47}"/>
    <cellStyle name="Normal 6 4 4 2 3" xfId="1220" xr:uid="{E2636040-379C-4DE8-8282-B51C8B5D7532}"/>
    <cellStyle name="Normal 6 4 4 2 3 2" xfId="1635" xr:uid="{3A1EC5C9-33F2-4C00-BD02-AD49DD4A5F1E}"/>
    <cellStyle name="Normal 6 4 4 2 3 2 2" xfId="3187" xr:uid="{E7ED5ACE-B748-496C-9C04-F24D83F9659A}"/>
    <cellStyle name="Normal 6 4 4 2 3 2 2 2" xfId="5236" xr:uid="{D2F63EE5-F237-4A54-93E6-88D099AFBECE}"/>
    <cellStyle name="Normal 6 4 4 2 3 2 3" xfId="3970" xr:uid="{64826D05-3F56-4652-B7FB-15F37AA71607}"/>
    <cellStyle name="Normal 6 4 4 2 3 3" xfId="2041" xr:uid="{CB284C1D-A47A-4B33-87D4-5CEBA53B4E11}"/>
    <cellStyle name="Normal 6 4 4 2 3 3 2" xfId="4358" xr:uid="{46240867-1C20-4D85-A1A6-D1A116E25950}"/>
    <cellStyle name="Normal 6 4 4 2 3 4" xfId="2778" xr:uid="{1E465DED-9C1E-4488-B0CF-16CB4ABEA3F9}"/>
    <cellStyle name="Normal 6 4 4 2 3 4 2" xfId="4848" xr:uid="{CD4E44C8-3BDE-450B-BF4A-AA4E8028FD5C}"/>
    <cellStyle name="Normal 6 4 4 2 3 5" xfId="3582" xr:uid="{322A69C9-AB75-4E4D-8CD9-C7C96FDA5BBF}"/>
    <cellStyle name="Normal 6 4 4 2 4" xfId="990" xr:uid="{57E8957E-9D78-4F9B-8C49-E2E8DE76D573}"/>
    <cellStyle name="Normal 6 4 4 2 4 2" xfId="1425" xr:uid="{570AC147-C95C-461E-AF38-89CE2632C58F}"/>
    <cellStyle name="Normal 6 4 4 2 4 2 2" xfId="2981" xr:uid="{24DCAE65-50B0-47D3-B528-B975562E80E0}"/>
    <cellStyle name="Normal 6 4 4 2 4 2 2 2" xfId="5031" xr:uid="{F478F8B3-5188-47FE-A259-E73852194920}"/>
    <cellStyle name="Normal 6 4 4 2 4 2 3" xfId="3760" xr:uid="{3902F933-DBBE-4051-A318-6279AF95696B}"/>
    <cellStyle name="Normal 6 4 4 2 4 3" xfId="1831" xr:uid="{AB52CE5B-9176-480F-AD25-799C8FDB65A2}"/>
    <cellStyle name="Normal 6 4 4 2 4 3 2" xfId="4148" xr:uid="{E3CB2D91-C4C8-4219-907C-54A050F9D6F4}"/>
    <cellStyle name="Normal 6 4 4 2 4 4" xfId="2621" xr:uid="{CC8F1ED9-D09B-4AF6-ABCF-4D140D21375E}"/>
    <cellStyle name="Normal 6 4 4 2 4 4 2" xfId="4691" xr:uid="{BB1DE23A-D418-492C-89E9-036272D3A4B1}"/>
    <cellStyle name="Normal 6 4 4 2 4 5" xfId="3372" xr:uid="{8E6E74AD-E211-4457-A60E-4C2FE4198E22}"/>
    <cellStyle name="Normal 6 4 4 2 5" xfId="1351" xr:uid="{50B5FEF3-5E36-4719-B801-192BDD2D4E35}"/>
    <cellStyle name="Normal 6 4 4 2 5 2" xfId="2463" xr:uid="{CDC017C9-3231-425B-9945-CC6003446BBC}"/>
    <cellStyle name="Normal 6 4 4 2 5 2 2" xfId="4559" xr:uid="{7DE4A1F7-8384-4708-86E9-C2095AE064F5}"/>
    <cellStyle name="Normal 6 4 4 2 5 3" xfId="3687" xr:uid="{E024FEA6-8E61-4A76-9C36-626DC9EB46DA}"/>
    <cellStyle name="Normal 6 4 4 2 6" xfId="1758" xr:uid="{2C583B6F-2E2A-411B-A50A-C054186DA346}"/>
    <cellStyle name="Normal 6 4 4 2 6 2" xfId="2968" xr:uid="{433FF1CD-B7D7-42A4-B29C-FD20C226DB41}"/>
    <cellStyle name="Normal 6 4 4 2 6 2 2" xfId="5019" xr:uid="{FE8C2597-F950-437C-BADA-08188EADA3BE}"/>
    <cellStyle name="Normal 6 4 4 2 6 3" xfId="4075" xr:uid="{65E712CE-7317-4D33-A753-2E22C63630C1}"/>
    <cellStyle name="Normal 6 4 4 2 7" xfId="2421" xr:uid="{C2A2006A-0E2D-4A66-90BA-5A58D2FDAD7B}"/>
    <cellStyle name="Normal 6 4 4 2 7 2" xfId="4522" xr:uid="{E8D822C9-177A-4322-A622-CE68B0A4EEB7}"/>
    <cellStyle name="Normal 6 4 4 2 8" xfId="3299" xr:uid="{1C5E8A8D-2DC4-42A5-8974-1CFE34EB3D7B}"/>
    <cellStyle name="Normal 6 4 4 3" xfId="1030" xr:uid="{DCD8C60B-D147-4689-93ED-2C96F937B85F}"/>
    <cellStyle name="Normal 6 4 4 3 2" xfId="1147" xr:uid="{0723E408-0203-4CE8-919E-C69D9B380627}"/>
    <cellStyle name="Normal 6 4 4 3 2 2" xfId="1564" xr:uid="{F03C1048-373E-47D2-89C0-4D1F20E81E87}"/>
    <cellStyle name="Normal 6 4 4 3 2 2 2" xfId="3116" xr:uid="{1BEE4629-BDCB-479B-8B31-8D13B380BDCD}"/>
    <cellStyle name="Normal 6 4 4 3 2 2 2 2" xfId="5165" xr:uid="{C926CBA1-8F21-4EB9-926C-50DD9F024563}"/>
    <cellStyle name="Normal 6 4 4 3 2 2 3" xfId="3899" xr:uid="{4DD43671-94F0-4CF4-BC88-2E86812325D8}"/>
    <cellStyle name="Normal 6 4 4 3 2 3" xfId="1970" xr:uid="{2D7AE314-B236-485B-AA49-36B607D37744}"/>
    <cellStyle name="Normal 6 4 4 3 2 3 2" xfId="4287" xr:uid="{FC246C11-456B-4CF9-89A8-F3371C08297E}"/>
    <cellStyle name="Normal 6 4 4 3 2 4" xfId="2732" xr:uid="{785DB234-D082-4A3C-A5F9-1269E9D3FA9E}"/>
    <cellStyle name="Normal 6 4 4 3 2 4 2" xfId="4802" xr:uid="{BB75E306-CECF-4D99-AF1B-ACAE1AD8F3EB}"/>
    <cellStyle name="Normal 6 4 4 3 2 5" xfId="3511" xr:uid="{6AB9D555-3958-4AD6-9302-39CFDB02463A}"/>
    <cellStyle name="Normal 6 4 4 3 3" xfId="1258" xr:uid="{9F6453B2-8BD5-495A-AB18-F1A3E8EAA672}"/>
    <cellStyle name="Normal 6 4 4 3 3 2" xfId="1669" xr:uid="{A4623C53-B704-4D8F-AB73-07CDE0252884}"/>
    <cellStyle name="Normal 6 4 4 3 3 2 2" xfId="3221" xr:uid="{4985DE65-01C3-4FF1-AE14-455C14EC15E5}"/>
    <cellStyle name="Normal 6 4 4 3 3 2 2 2" xfId="5270" xr:uid="{06B34ED2-0C35-40D7-B4A1-48BD04499F9D}"/>
    <cellStyle name="Normal 6 4 4 3 3 2 3" xfId="4004" xr:uid="{DB30BA82-68FD-436D-9B92-A28C1566956B}"/>
    <cellStyle name="Normal 6 4 4 3 3 3" xfId="2075" xr:uid="{26633A38-4357-4868-9691-300EFA32507A}"/>
    <cellStyle name="Normal 6 4 4 3 3 3 2" xfId="4392" xr:uid="{5E09BF02-623F-4AF8-A5AC-58C4F1D7D8D0}"/>
    <cellStyle name="Normal 6 4 4 3 3 4" xfId="2808" xr:uid="{5F14F41C-3FCC-444B-982B-ED44C3CA0E68}"/>
    <cellStyle name="Normal 6 4 4 3 3 4 2" xfId="4878" xr:uid="{B7BB6243-40A5-4329-ABCB-890CE589FDA3}"/>
    <cellStyle name="Normal 6 4 4 3 3 5" xfId="3616" xr:uid="{F4DCF1E5-1E44-429C-8E5B-8C048B94217A}"/>
    <cellStyle name="Normal 6 4 4 3 4" xfId="1459" xr:uid="{AE2FC3BF-66BC-437C-9963-CCDBC60FFEE7}"/>
    <cellStyle name="Normal 6 4 4 3 4 2" xfId="3012" xr:uid="{B791552B-C083-4021-9ABC-4E7C70BD295E}"/>
    <cellStyle name="Normal 6 4 4 3 4 2 2" xfId="5062" xr:uid="{702DAB9E-C42E-4464-BC22-049FF2DE34BE}"/>
    <cellStyle name="Normal 6 4 4 3 4 3" xfId="3794" xr:uid="{BC289BE5-9750-4BA2-A9D1-48EAD1046F57}"/>
    <cellStyle name="Normal 6 4 4 3 5" xfId="1865" xr:uid="{AA5AC6C1-A3C9-4610-9379-441857337D37}"/>
    <cellStyle name="Normal 6 4 4 3 5 2" xfId="4182" xr:uid="{6D15188C-0CF0-4F23-AB46-C4EFDEEB76C0}"/>
    <cellStyle name="Normal 6 4 4 3 6" xfId="2555" xr:uid="{B120D3EF-AB37-41FD-A03E-4CAA76E13930}"/>
    <cellStyle name="Normal 6 4 4 3 6 2" xfId="4634" xr:uid="{7BD88695-755B-4F0B-A968-0741DEEBFE86}"/>
    <cellStyle name="Normal 6 4 4 3 7" xfId="3406" xr:uid="{1E766313-0BFE-4104-9DFC-5C347FD5D02E}"/>
    <cellStyle name="Normal 6 4 4 4" xfId="1078" xr:uid="{11399D95-0B2B-4881-B73A-B905F23FF43D}"/>
    <cellStyle name="Normal 6 4 4 4 2" xfId="1495" xr:uid="{A4B993BE-C75D-47BD-ACD6-02B397265B73}"/>
    <cellStyle name="Normal 6 4 4 4 2 2" xfId="3047" xr:uid="{4B5A4D7A-48C6-4717-8A7C-7E0676B90FE6}"/>
    <cellStyle name="Normal 6 4 4 4 2 2 2" xfId="5097" xr:uid="{DE662267-EDF8-4C2C-AD51-F2C219972F49}"/>
    <cellStyle name="Normal 6 4 4 4 2 3" xfId="3830" xr:uid="{BD491E98-72DB-42DB-8F3C-994262AB29F4}"/>
    <cellStyle name="Normal 6 4 4 4 3" xfId="1901" xr:uid="{C4EC6D4B-ADB3-47A3-A346-BF000593CD4D}"/>
    <cellStyle name="Normal 6 4 4 4 3 2" xfId="4218" xr:uid="{B8E4D947-A50B-4485-857D-107275B95D44}"/>
    <cellStyle name="Normal 6 4 4 4 4" xfId="2665" xr:uid="{3D190D73-04A3-46EB-98E0-5879A60E461E}"/>
    <cellStyle name="Normal 6 4 4 4 4 2" xfId="4735" xr:uid="{E28C70F3-A258-4B8F-98DE-586C56E25602}"/>
    <cellStyle name="Normal 6 4 4 4 5" xfId="3442" xr:uid="{6115F5FF-5F90-4383-981D-E884DB663882}"/>
    <cellStyle name="Normal 6 4 4 5" xfId="1184" xr:uid="{0F679466-F495-4D38-AB95-1623CF15F413}"/>
    <cellStyle name="Normal 6 4 4 5 2" xfId="1600" xr:uid="{D506BF5B-282F-4B81-AA6C-E7F66F95DFAC}"/>
    <cellStyle name="Normal 6 4 4 5 2 2" xfId="3152" xr:uid="{83A3D0D3-4BCC-4B0E-B401-DFC7BBF3BC90}"/>
    <cellStyle name="Normal 6 4 4 5 2 2 2" xfId="5201" xr:uid="{139493A4-4D95-4EB3-BB86-B9BB566E6BC1}"/>
    <cellStyle name="Normal 6 4 4 5 2 3" xfId="3935" xr:uid="{B3366699-4AE8-4898-ADAB-4B4805CE4E70}"/>
    <cellStyle name="Normal 6 4 4 5 3" xfId="2006" xr:uid="{13BED224-E2E3-42B1-BEC6-5E81DDB98879}"/>
    <cellStyle name="Normal 6 4 4 5 3 2" xfId="4323" xr:uid="{B0F8E82A-E88F-4A2C-B1A8-95AD42CECE74}"/>
    <cellStyle name="Normal 6 4 4 5 4" xfId="2767" xr:uid="{D6DEE16D-494D-4BF3-AA7F-C8AB17643CF3}"/>
    <cellStyle name="Normal 6 4 4 5 4 2" xfId="4837" xr:uid="{35079169-00EF-4284-B027-9C1E6DCECE91}"/>
    <cellStyle name="Normal 6 4 4 5 5" xfId="3547" xr:uid="{2F6B208C-25DC-4505-BA8E-D15369437683}"/>
    <cellStyle name="Normal 6 4 4 6" xfId="946" xr:uid="{40FDC02A-430F-40C3-8619-377E36383F0A}"/>
    <cellStyle name="Normal 6 4 4 6 2" xfId="1390" xr:uid="{D549774F-FD71-49E3-AA42-8F4C3101DED0}"/>
    <cellStyle name="Normal 6 4 4 6 2 2" xfId="2967" xr:uid="{8226901C-817E-4D51-91AF-A6B2B87F7346}"/>
    <cellStyle name="Normal 6 4 4 6 2 2 2" xfId="5018" xr:uid="{F5E92544-A3BF-4F13-94B9-9AD0C8F2E1A2}"/>
    <cellStyle name="Normal 6 4 4 6 2 3" xfId="3725" xr:uid="{E0248678-B98B-4A5E-9E0B-1DF7A53D2F90}"/>
    <cellStyle name="Normal 6 4 4 6 3" xfId="1796" xr:uid="{630C9FE1-6544-400E-AE5C-D3B233B9FEDB}"/>
    <cellStyle name="Normal 6 4 4 6 3 2" xfId="4113" xr:uid="{3077F7C0-DD94-4420-B3F2-ECCDFF435F11}"/>
    <cellStyle name="Normal 6 4 4 6 4" xfId="2473" xr:uid="{8A34C81C-C511-46BA-9434-CBB0F103D32F}"/>
    <cellStyle name="Normal 6 4 4 6 4 2" xfId="4567" xr:uid="{8DF27733-90C7-42A6-BEB1-DEE8032D9417}"/>
    <cellStyle name="Normal 6 4 4 6 5" xfId="3337" xr:uid="{2BE27C69-AF50-4482-8C39-F4E75DBF6843}"/>
    <cellStyle name="Normal 6 4 4 7" xfId="1316" xr:uid="{AB19F99F-AC2A-4D5F-8F8D-F10663266F14}"/>
    <cellStyle name="Normal 6 4 4 7 2" xfId="2920" xr:uid="{4154F0B5-CE80-464B-BEFF-F9A29F3153AB}"/>
    <cellStyle name="Normal 6 4 4 7 2 2" xfId="4974" xr:uid="{034BC088-90D3-49B4-ADCC-025A56226178}"/>
    <cellStyle name="Normal 6 4 4 7 3" xfId="3653" xr:uid="{3A32FD47-1A12-421F-80A5-D72BF76A9CBD}"/>
    <cellStyle name="Normal 6 4 4 8" xfId="1724" xr:uid="{8B52F4AF-9898-4063-9C99-D99D6F29B57D}"/>
    <cellStyle name="Normal 6 4 4 8 2" xfId="4041" xr:uid="{0B7D7ED0-4679-4EBF-B1FD-F87FC39AF1FF}"/>
    <cellStyle name="Normal 6 4 4 9" xfId="2229" xr:uid="{883FF0A1-FC29-4E58-BFDC-BC1FEE14308D}"/>
    <cellStyle name="Normal 6 4 4 9 2" xfId="4450" xr:uid="{DAB84EE4-98FD-42EE-BD6F-AD6703F1A045}"/>
    <cellStyle name="Normal 6 4 5" xfId="944" xr:uid="{D5A7248A-0C54-428B-88CE-3CC2A8E0F710}"/>
    <cellStyle name="Normal 6 4 6" xfId="2393" xr:uid="{F48DF61A-1109-4801-9A0F-374833C94765}"/>
    <cellStyle name="Normal 6 4 6 2" xfId="4494" xr:uid="{38611640-D5DC-4E12-8C08-DE88C85938AF}"/>
    <cellStyle name="Normal 6 4 7" xfId="2502" xr:uid="{2E7B260A-880C-420C-89D4-FEED4E59E9F7}"/>
    <cellStyle name="Normal 6 4 7 2" xfId="4588" xr:uid="{33815B96-A189-484B-979B-069120D29176}"/>
    <cellStyle name="Normal 6 4 8" xfId="2886" xr:uid="{33D0BAA2-29AE-4942-BEEF-5597BC483A61}"/>
    <cellStyle name="Normal 6 4 8 2" xfId="4940" xr:uid="{1BAC4CF2-3E0E-4407-92D2-D35109F218E1}"/>
    <cellStyle name="Normal 6 4 9" xfId="2185" xr:uid="{F5DB7992-3D06-4F32-8015-25F8645DCFAD}"/>
    <cellStyle name="Normal 6 4 9 2" xfId="4422" xr:uid="{7ECD94A6-C850-44D7-AF55-8378EA07D9FD}"/>
    <cellStyle name="Normal 6 5" xfId="684" xr:uid="{1D140472-A42E-465B-8A8B-C945E6ED6ED1}"/>
    <cellStyle name="Normal 6 6" xfId="685" xr:uid="{04C1466E-993B-484D-9745-2FD8417397B2}"/>
    <cellStyle name="Normal 6_Sheet2" xfId="875" xr:uid="{F889B99D-1D4E-4886-90F4-E02DA0EFF868}"/>
    <cellStyle name="Normal 60" xfId="686" xr:uid="{D7C9B147-D98E-49E7-A167-896A4F3942BD}"/>
    <cellStyle name="Normal 61" xfId="687" xr:uid="{C4075F85-0C50-4835-8131-3305B5342292}"/>
    <cellStyle name="Normal 62" xfId="688" xr:uid="{D0261086-0933-47D2-9807-3B71CBA9B628}"/>
    <cellStyle name="Normal 62 2" xfId="857" xr:uid="{234574EA-7E47-4FCA-9F07-40C759426C92}"/>
    <cellStyle name="Normal 62 2 2" xfId="1221" xr:uid="{11FB6D6E-516E-4933-AE3A-B336A23E7268}"/>
    <cellStyle name="Normal 62 2 3" xfId="991" xr:uid="{68599411-2613-4AB0-A1AA-65A80D423121}"/>
    <cellStyle name="Normal 62 3" xfId="1008" xr:uid="{6D0071DA-1FB1-4C70-B4C2-9F030220C348}"/>
    <cellStyle name="Normal 62 4" xfId="1162" xr:uid="{56618B2A-771F-4339-B134-C5FDB9207726}"/>
    <cellStyle name="Normal 62 5" xfId="910" xr:uid="{82DC6B63-7D92-44FA-976E-486FF8F2D822}"/>
    <cellStyle name="Normal 63" xfId="27" xr:uid="{5FB354EE-4EC6-4510-9C18-20E4DC1AD90F}"/>
    <cellStyle name="Normal 64" xfId="810" xr:uid="{7C03E20C-5B65-4FA3-9D94-029D52D16127}"/>
    <cellStyle name="Normal 64 2" xfId="951" xr:uid="{B19701B9-E7AA-43B6-A82E-B4F248034C13}"/>
    <cellStyle name="Normal 65" xfId="952" xr:uid="{EFC76ADC-6C0D-4D57-A39D-C8F7280B0FF1}"/>
    <cellStyle name="Normal 66" xfId="953" xr:uid="{348ADD08-5562-4F42-AF38-FB35DB622802}"/>
    <cellStyle name="Normal 67" xfId="954" xr:uid="{691F75AE-4FA8-4EAC-B2D6-EE2DCF9EEE30}"/>
    <cellStyle name="Normal 68" xfId="955" xr:uid="{7B4EBCDB-4B2B-4BAB-9CB4-FDECFEADDB87}"/>
    <cellStyle name="Normal 69" xfId="957" xr:uid="{8186A8EB-7A4B-4E64-A065-995735CDE099}"/>
    <cellStyle name="Normal 69 2" xfId="1187" xr:uid="{9F05D015-00A4-4980-8615-4A74DB8C75F7}"/>
    <cellStyle name="Normal 7" xfId="689" xr:uid="{80E618F1-1534-480C-AE89-EA5187A69AB1}"/>
    <cellStyle name="Normal 7 10" xfId="690" xr:uid="{510A21F6-8E6D-46F9-B7F9-2CA04942C269}"/>
    <cellStyle name="Normal 7 10 2" xfId="2499" xr:uid="{C7E8FD7B-9B98-4B3D-8D7D-71445FA27E67}"/>
    <cellStyle name="Normal 7 10 3" xfId="2344" xr:uid="{FB5019EC-7B52-47D3-9FE6-79335A454F3D}"/>
    <cellStyle name="Normal 7 2" xfId="691" xr:uid="{F75DE70C-92D8-4EEF-B1D7-CBE0444DBEDC}"/>
    <cellStyle name="Normal 7 2 2" xfId="692" xr:uid="{383DA730-EA15-4394-AB7F-FE14D9DDB6AE}"/>
    <cellStyle name="Normal 7 2 2 2" xfId="693" xr:uid="{BC9DBC33-B75A-4F0A-95AF-763CE732AD24}"/>
    <cellStyle name="Normal 7 2 3" xfId="694" xr:uid="{CC43B454-41E1-41CA-BB7D-9B8303972D25}"/>
    <cellStyle name="Normal 7 2 3 2" xfId="695" xr:uid="{DAAD0C02-F940-403D-A1AB-AA59D62C5339}"/>
    <cellStyle name="Normal 7 2 3 2 2" xfId="696" xr:uid="{175E4DD3-A9E5-4C8D-B217-200B6389B591}"/>
    <cellStyle name="Normal 7 2 3 2 3" xfId="697" xr:uid="{22A02559-BE1C-4CB5-B66F-A084EF9E9580}"/>
    <cellStyle name="Normal 7 2 3 2 3 2" xfId="698" xr:uid="{1F8D7053-1003-43F3-B076-0583241803BB}"/>
    <cellStyle name="Normal 7 2 3 2 4" xfId="699" xr:uid="{30A5CDE0-B558-4F8C-AFDE-F70ACEF4ACB7}"/>
    <cellStyle name="Normal 7 2 3 2 5" xfId="700" xr:uid="{CDCF985B-F4A1-4E35-94F4-5CB43DB427ED}"/>
    <cellStyle name="Normal 7 2 3 2 6" xfId="701" xr:uid="{F361BA13-2EF5-463D-9B0E-1DB8700D7A29}"/>
    <cellStyle name="Normal 7 2 3 2 6 2" xfId="2564" xr:uid="{517F85A1-62F5-4BB4-ACB5-12C33F0C56D3}"/>
    <cellStyle name="Normal 7 2 3 2 6 3" xfId="2345" xr:uid="{E8931CCF-0420-461A-8D57-0E767BC88094}"/>
    <cellStyle name="Normal 7 2 3 2 7" xfId="2346" xr:uid="{F255A7F0-3B0A-4571-8EB0-CB1B6C17D284}"/>
    <cellStyle name="Normal 7 2 3 3" xfId="702" xr:uid="{50DA8304-66CE-427E-9D93-C229FEBF6066}"/>
    <cellStyle name="Normal 7 2 4" xfId="703" xr:uid="{A3887B3F-D907-48E1-98DA-F8E6CCCE9F8B}"/>
    <cellStyle name="Normal 7 2 4 2" xfId="704" xr:uid="{C4A4B7F5-55A9-4C5C-AF1C-08CB4044FE9C}"/>
    <cellStyle name="Normal 7 2 5" xfId="705" xr:uid="{60E63487-6A46-47B6-B576-564E9CE55C88}"/>
    <cellStyle name="Normal 7 2 6" xfId="706" xr:uid="{57FE2DFB-DD35-4941-9F4C-B854369C7C9D}"/>
    <cellStyle name="Normal 7 2 6 2" xfId="2501" xr:uid="{B7922218-38DC-4007-AFFE-9413ECD0CA24}"/>
    <cellStyle name="Normal 7 2 6 3" xfId="2347" xr:uid="{AC777D9C-88AF-45BA-9E32-62F0D4598700}"/>
    <cellStyle name="Normal 7 3" xfId="707" xr:uid="{F88A524D-1B85-450D-8C60-0BFE1ED6D9C9}"/>
    <cellStyle name="Normal 7 3 2" xfId="708" xr:uid="{A5B275D7-AEAD-49B5-92F7-B1EF4C444313}"/>
    <cellStyle name="Normal 7 3 2 2" xfId="709" xr:uid="{4CA93032-E526-45C9-B14C-A03A34BB3A3A}"/>
    <cellStyle name="Normal 7 3 3" xfId="710" xr:uid="{825576C5-1AE8-4D37-A7D7-1464958ECA1F}"/>
    <cellStyle name="Normal 7 4" xfId="711" xr:uid="{BD05D262-87A6-4513-B549-871CCDC8E152}"/>
    <cellStyle name="Normal 7 4 2" xfId="712" xr:uid="{518583ED-F1ED-4FC6-905B-8B73CBF513FF}"/>
    <cellStyle name="Normal 7 4 3" xfId="713" xr:uid="{77FA8335-BDB4-4B9F-8131-14CCAFB6B29D}"/>
    <cellStyle name="Normal 7 5" xfId="714" xr:uid="{C3FD222B-2916-4CDE-BFC5-286FA7C8A58F}"/>
    <cellStyle name="Normal 7 5 2" xfId="715" xr:uid="{FBAE69D4-FCBB-49E0-9F72-CCAFBBA82141}"/>
    <cellStyle name="Normal 7 5 3" xfId="716" xr:uid="{FC32302B-6725-4D74-B9FE-494CF051C290}"/>
    <cellStyle name="Normal 7 6" xfId="717" xr:uid="{42DB1D7F-F723-44AB-AF89-23252F992D3D}"/>
    <cellStyle name="Normal 7 6 2" xfId="718" xr:uid="{254326BE-7BBF-41FD-88F1-B5E72B7A6ACA}"/>
    <cellStyle name="Normal 7 6 2 2" xfId="947" xr:uid="{B643DCED-5293-433E-950F-974C8BB70535}"/>
    <cellStyle name="Normal 7 6 2 3" xfId="904" xr:uid="{F3F7B6E6-1FEA-4B15-A512-C9CE05B3AE69}"/>
    <cellStyle name="Normal 7 6 3" xfId="719" xr:uid="{45C627A8-9E9A-471E-AEF4-E12F2B14F6EC}"/>
    <cellStyle name="Normal 7 6 4" xfId="720" xr:uid="{50B6F95B-56AB-42F3-845D-FBC8954BB341}"/>
    <cellStyle name="Normal 7 6 4 2" xfId="858" xr:uid="{045B68FB-CA2C-4FF5-B320-D7640F4DF456}"/>
    <cellStyle name="Normal 7 6 4 2 2" xfId="2089" xr:uid="{A3847CA6-301E-4D5B-8657-645F8C164138}"/>
    <cellStyle name="Normal 7 6 5" xfId="2348" xr:uid="{EF10E67A-A92D-4D12-A298-084AFF1EFE07}"/>
    <cellStyle name="Normal 7 7" xfId="721" xr:uid="{E72A3FC3-8CCB-4BA4-B596-404C09A4DA6F}"/>
    <cellStyle name="Normal 7 7 2" xfId="722" xr:uid="{6FE6B7A2-6775-4545-A612-FFF788970C4C}"/>
    <cellStyle name="Normal 7 7 3" xfId="2349" xr:uid="{40CF29CC-277E-4AD4-82C8-ED0EAF7743B8}"/>
    <cellStyle name="Normal 7 8" xfId="723" xr:uid="{E891EEFE-9776-4F41-BF4E-25355A59C703}"/>
    <cellStyle name="Normal 7 9" xfId="724" xr:uid="{C5D74D32-F67A-444D-907A-5EF6E483DD77}"/>
    <cellStyle name="Normal 70" xfId="993" xr:uid="{44435823-18F2-4971-A295-76D4F7820902}"/>
    <cellStyle name="Normal 70 2" xfId="1223" xr:uid="{3B543C23-3097-4460-A0F8-C7D29E81A7DC}"/>
    <cellStyle name="Normal 71" xfId="994" xr:uid="{12712BDB-55F3-48E8-9205-71B5CF7766A6}"/>
    <cellStyle name="Normal 71 2" xfId="1224" xr:uid="{D1DB35B9-C136-4F11-9290-547ED848D358}"/>
    <cellStyle name="Normal 72" xfId="995" xr:uid="{B08BC5BC-2E1E-4F70-9A7C-131D6828293E}"/>
    <cellStyle name="Normal 72 2" xfId="1225" xr:uid="{4804D68D-BBAA-4BBB-8899-DBE4EF0CD995}"/>
    <cellStyle name="Normal 73" xfId="1032" xr:uid="{758C853C-A33B-47A3-A78D-4561CAEA8C0D}"/>
    <cellStyle name="Normal 74" xfId="1034" xr:uid="{7670C21E-CFE9-47CB-BFAD-CC54BF8B2CCE}"/>
    <cellStyle name="Normal 75" xfId="1035" xr:uid="{A43239A0-3E8E-4ABD-BFAD-D491CD7DCA5A}"/>
    <cellStyle name="Normal 76" xfId="1036" xr:uid="{BE3A60B3-DCA9-4C12-9F65-02E2DB5B2B80}"/>
    <cellStyle name="Normal 77" xfId="1037" xr:uid="{F98155C9-CCCA-491B-BAB4-ECB65A1EE6BC}"/>
    <cellStyle name="Normal 78" xfId="1038" xr:uid="{A2DC0C8C-9E91-4CDD-97B0-BAA9822242FE}"/>
    <cellStyle name="Normal 79" xfId="1039" xr:uid="{92A5529E-E689-4F05-8BDE-34CEBBBC0828}"/>
    <cellStyle name="Normal 8" xfId="725" xr:uid="{D2CF50CF-80BE-4A07-87A9-500B270CD4BD}"/>
    <cellStyle name="Normal 8 2" xfId="726" xr:uid="{F97077AB-E156-46CB-B9C3-92FF01CF2B5F}"/>
    <cellStyle name="Normal 8 2 2" xfId="727" xr:uid="{877A3AA4-836E-4B91-AF4A-BFDEFFC9EEBA}"/>
    <cellStyle name="Normal 8 2 3" xfId="728" xr:uid="{68266DB2-ADF1-4968-8A91-39C8221D712A}"/>
    <cellStyle name="Normal 8 2 3 2" xfId="2350" xr:uid="{2AFEFD2E-ADA6-4749-BD93-A8AA96E5173C}"/>
    <cellStyle name="Normal 8 3" xfId="729" xr:uid="{516282ED-2446-4057-9F28-07177D1F0AF4}"/>
    <cellStyle name="Normal 8 3 2" xfId="730" xr:uid="{5E3EE836-2219-4303-8799-62110BBFBC37}"/>
    <cellStyle name="Normal 8 3 2 2" xfId="731" xr:uid="{62CDA7B1-E6CB-4BD0-93EF-0C20AC030A87}"/>
    <cellStyle name="Normal 8 3 2 3" xfId="732" xr:uid="{A5D23637-D06A-419B-9D09-F0C65FE0383B}"/>
    <cellStyle name="Normal 8 3 2 3 2" xfId="859" xr:uid="{88361531-8D4D-4D50-A148-DC1322424683}"/>
    <cellStyle name="Normal 8 3 2 3 2 2" xfId="2090" xr:uid="{1A23AD30-2C9A-4A3F-917C-E3E0C81584CB}"/>
    <cellStyle name="Normal 8 3 2 4" xfId="2351" xr:uid="{4A064124-BE69-4778-A66B-98A2F67D5690}"/>
    <cellStyle name="Normal 8 4" xfId="733" xr:uid="{E47BC5A3-7185-46F4-9A18-96B94DACC897}"/>
    <cellStyle name="Normal 8 4 2" xfId="734" xr:uid="{1915037B-004C-4B44-8F21-074A399BC3B6}"/>
    <cellStyle name="Normal 8 4 3" xfId="735" xr:uid="{DAED6D4F-74AC-4D33-A479-04878E49D597}"/>
    <cellStyle name="Normal 8 4 3 2" xfId="860" xr:uid="{E3AC7737-4F84-4644-B8C9-CBD442C2B938}"/>
    <cellStyle name="Normal 8 4 3 2 2" xfId="2091" xr:uid="{4011474F-3D83-43CA-877B-EDCC181C1E87}"/>
    <cellStyle name="Normal 8 4 4" xfId="2352" xr:uid="{6018DCE2-A33B-4901-AF80-2C22FE852764}"/>
    <cellStyle name="Normal 8 5" xfId="736" xr:uid="{D8EFB1C4-76C8-4DF4-B59D-01DA6248BB0B}"/>
    <cellStyle name="Normal 80" xfId="1040" xr:uid="{87C54D51-54E7-49F2-A7D3-08872787179A}"/>
    <cellStyle name="Normal 81" xfId="1041" xr:uid="{5A527396-9D6A-4314-BD1C-C34301D482C3}"/>
    <cellStyle name="Normal 82" xfId="1042" xr:uid="{A8DF9C10-3902-4BED-864D-9F06468B36A8}"/>
    <cellStyle name="Normal 83" xfId="1047" xr:uid="{2816FD5C-6740-46FF-BB33-C354677B2A79}"/>
    <cellStyle name="Normal 84" xfId="2461" xr:uid="{E7442B67-4ADA-4D91-95C1-4DF92A623B3B}"/>
    <cellStyle name="Normal 85" xfId="2599" xr:uid="{88A4D8BA-A57F-4EA0-BBCA-ED26550E3BCA}"/>
    <cellStyle name="Normal 86" xfId="2810" xr:uid="{BACBA32D-5A94-4DCF-B20D-3102A553497B}"/>
    <cellStyle name="Normal 87" xfId="2811" xr:uid="{D3DF2AC7-6AD2-45EA-ABC9-79BCFC32856E}"/>
    <cellStyle name="Normal 88" xfId="2812" xr:uid="{A013585A-1870-4262-9732-3E1A73E25AFD}"/>
    <cellStyle name="Normal 89" xfId="2498" xr:uid="{74851514-1CC5-457D-B6A7-C94B344E5EBB}"/>
    <cellStyle name="Normal 9" xfId="737" xr:uid="{7BF0DFF2-16D1-4973-AA36-AAE740D2DB6A}"/>
    <cellStyle name="Normal 9 2" xfId="738" xr:uid="{6567511E-7C18-4301-AFE9-9C6139710D65}"/>
    <cellStyle name="Normal 9 2 2" xfId="739" xr:uid="{7253EAEC-2DC5-4011-9015-05F19BC75E5C}"/>
    <cellStyle name="Normal 9 2 3" xfId="740" xr:uid="{A43EE546-616B-4D6C-8DEC-476852F0AC30}"/>
    <cellStyle name="Normal 9 3" xfId="741" xr:uid="{212F8C1A-14CD-4298-9D0A-DAA9504F92F4}"/>
    <cellStyle name="Normal 9 4" xfId="742" xr:uid="{72977510-1D6F-4C24-9964-5D14A17AC5FE}"/>
    <cellStyle name="Normal 9 5" xfId="743" xr:uid="{3B539CAE-9797-4481-9EC2-499ADDA30E91}"/>
    <cellStyle name="Normal 9 5 2" xfId="744" xr:uid="{A6A15053-EDA6-44CD-B0A5-E800263CEFA8}"/>
    <cellStyle name="Normal 9 5 3" xfId="2353" xr:uid="{F9557F55-1BF5-47CE-A779-117D746FC303}"/>
    <cellStyle name="Normal 90" xfId="2448" xr:uid="{603F3ED9-BECA-4D0F-B470-D382A9831D73}"/>
    <cellStyle name="Normal 91" xfId="2814" xr:uid="{F6FDE32E-1180-49D1-9173-3872156D6C94}"/>
    <cellStyle name="Normal 92" xfId="2813" xr:uid="{9E3781FD-580D-40E8-9DFE-987EEAEF1C68}"/>
    <cellStyle name="Normal 93" xfId="2584" xr:uid="{F771E0AB-AB24-49E8-B06D-AD067C9D83EC}"/>
    <cellStyle name="Normal 94" xfId="2453" xr:uid="{31A6DF36-0FA5-427E-9E4C-F3D7F88D3DD6}"/>
    <cellStyle name="Normal 95" xfId="2816" xr:uid="{317001A9-8235-402A-8543-004736F51CBE}"/>
    <cellStyle name="Normal 96" xfId="2817" xr:uid="{D283710A-1997-4ED0-917A-02DA392EDE1C}"/>
    <cellStyle name="Normal 97" xfId="2492" xr:uid="{20901DD7-6A98-4210-B075-3149F2298FE4}"/>
    <cellStyle name="Normal 98" xfId="2583" xr:uid="{960D1B6C-BD25-4F21-B668-3C9BCDBB24C7}"/>
    <cellStyle name="Normal 99" xfId="2818" xr:uid="{156E996D-9F2F-47E8-9EC9-7354D486CA84}"/>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2" xfId="745" xr:uid="{577C3E0A-B983-4256-A3DF-6976228E37A1}"/>
    <cellStyle name="Note 2 2" xfId="746" xr:uid="{0C6B996E-20F8-4718-BCC2-3022EE539D07}"/>
    <cellStyle name="Note 2 2 2" xfId="948" xr:uid="{DBF92957-A7EE-49F7-92AB-F4CA749CBF64}"/>
    <cellStyle name="Note 2 2 3" xfId="907" xr:uid="{514DA67C-81F7-4A09-8CFC-368EE4266400}"/>
    <cellStyle name="Note 2 3" xfId="747" xr:uid="{C4CD1C59-80B5-4474-A84B-1B10387166D0}"/>
    <cellStyle name="Note 2 3 10" xfId="3266" xr:uid="{0BAD4A83-73A8-47C1-BEA4-2F50E74BDEE9}"/>
    <cellStyle name="Note 2 3 2" xfId="861" xr:uid="{538FB280-FAD3-4445-BEEF-0A900E626A96}"/>
    <cellStyle name="Note 2 3 2 2" xfId="1114" xr:uid="{29424389-AAA7-405F-A94A-B975A99A7865}"/>
    <cellStyle name="Note 2 3 2 2 2" xfId="1531" xr:uid="{96AC40C2-2BDB-40B2-AAF3-C28E40031154}"/>
    <cellStyle name="Note 2 3 2 2 2 2" xfId="2699" xr:uid="{C3C163C2-8DFB-42C9-9312-70DBD1D37EB8}"/>
    <cellStyle name="Note 2 3 2 2 2 2 2" xfId="4769" xr:uid="{09CE4500-DE6E-4AAE-9CBB-7D92C201CCC3}"/>
    <cellStyle name="Note 2 3 2 2 2 3" xfId="3866" xr:uid="{FE43BA26-017D-4FD3-B68B-D9DF907D215A}"/>
    <cellStyle name="Note 2 3 2 2 3" xfId="1937" xr:uid="{B36F716D-DA74-4620-93DE-970A1612959A}"/>
    <cellStyle name="Note 2 3 2 2 3 2" xfId="3083" xr:uid="{1BB57108-0151-4B14-AA83-48EF0CAB24A0}"/>
    <cellStyle name="Note 2 3 2 2 3 2 2" xfId="5132" xr:uid="{3A01A784-2DE3-432A-A6CA-E27447033D12}"/>
    <cellStyle name="Note 2 3 2 2 3 3" xfId="4254" xr:uid="{4555F9E5-F0EF-4D02-B724-128213B7FEC1}"/>
    <cellStyle name="Note 2 3 2 2 4" xfId="2439" xr:uid="{E58E0653-8753-4A41-9148-99F70E6733BF}"/>
    <cellStyle name="Note 2 3 2 2 4 2" xfId="4540" xr:uid="{89D4FEB4-C783-44DA-9086-2EA6B4F4523E}"/>
    <cellStyle name="Note 2 3 2 2 5" xfId="3478" xr:uid="{4DD91F39-82AB-47F3-8BB7-E23C11721A82}"/>
    <cellStyle name="Note 2 3 2 3" xfId="1222" xr:uid="{1EE739B4-3C30-4B1F-812F-A16DF0803874}"/>
    <cellStyle name="Note 2 3 2 3 2" xfId="1636" xr:uid="{0B256555-21A7-4F9B-BD70-50882F34700E}"/>
    <cellStyle name="Note 2 3 2 3 2 2" xfId="3188" xr:uid="{1512C273-CDBE-423C-BC2B-8C092FDF8949}"/>
    <cellStyle name="Note 2 3 2 3 2 2 2" xfId="5237" xr:uid="{826B5EF4-6EF5-4FB9-A88C-52D7F535FC63}"/>
    <cellStyle name="Note 2 3 2 3 2 3" xfId="3971" xr:uid="{0573A29C-2262-431F-B3FA-DCFCBF69B195}"/>
    <cellStyle name="Note 2 3 2 3 3" xfId="2042" xr:uid="{785AAC82-F9CD-490B-BB31-41C514EFBBB3}"/>
    <cellStyle name="Note 2 3 2 3 3 2" xfId="4359" xr:uid="{3D081ADC-D4E2-4878-95E6-744E6522AC7B}"/>
    <cellStyle name="Note 2 3 2 3 4" xfId="2586" xr:uid="{020E8A2E-F120-4F38-AC5A-36CC5DC70FA5}"/>
    <cellStyle name="Note 2 3 2 3 4 2" xfId="4658" xr:uid="{090050A3-A767-4CE1-B2FF-6EA32A940C70}"/>
    <cellStyle name="Note 2 3 2 3 5" xfId="3583" xr:uid="{A8D412F0-C7F6-483C-8119-7C1421953994}"/>
    <cellStyle name="Note 2 3 2 4" xfId="992" xr:uid="{E880451A-3E89-46D9-94E9-294ACD7F31C0}"/>
    <cellStyle name="Note 2 3 2 4 2" xfId="1426" xr:uid="{358E3A84-3519-4EBB-B7DB-A162A98A25C7}"/>
    <cellStyle name="Note 2 3 2 4 2 2" xfId="2982" xr:uid="{20A48CED-831A-4FEF-8709-7952BE76F7E4}"/>
    <cellStyle name="Note 2 3 2 4 2 2 2" xfId="5032" xr:uid="{0E60CC83-5141-4FB6-9298-2BC72BAFD56C}"/>
    <cellStyle name="Note 2 3 2 4 2 3" xfId="3761" xr:uid="{667A1BE7-AA85-4D69-ADF5-D1DE8513C216}"/>
    <cellStyle name="Note 2 3 2 4 3" xfId="1832" xr:uid="{D7599413-9EE7-4F02-AEFE-9D06C23F1E08}"/>
    <cellStyle name="Note 2 3 2 4 3 2" xfId="4149" xr:uid="{D82BDF19-E5C9-4580-9516-1E140CCD55F2}"/>
    <cellStyle name="Note 2 3 2 4 4" xfId="2622" xr:uid="{84C8A859-01A8-41E0-9EAD-B1C8FCBE39DC}"/>
    <cellStyle name="Note 2 3 2 4 4 2" xfId="4692" xr:uid="{363DAC99-0DCB-43E7-A438-3D9537A6AC3E}"/>
    <cellStyle name="Note 2 3 2 4 5" xfId="3373" xr:uid="{FDA79A1F-E2D4-4292-96F4-2F40E5C46364}"/>
    <cellStyle name="Note 2 3 2 5" xfId="1352" xr:uid="{E5964F5F-3B83-4188-9B5A-A4AC7B36D5F1}"/>
    <cellStyle name="Note 2 3 2 5 2" xfId="2964" xr:uid="{22AAC202-1E3E-4F18-B531-9F6A0DE92CBC}"/>
    <cellStyle name="Note 2 3 2 5 2 2" xfId="5015" xr:uid="{51FD8AB8-D619-4D33-A5F0-5648155D93B9}"/>
    <cellStyle name="Note 2 3 2 5 3" xfId="3688" xr:uid="{6E16A776-3D5B-404A-813B-29FA5433ED15}"/>
    <cellStyle name="Note 2 3 2 6" xfId="1759" xr:uid="{D0155E58-41D4-4A1A-A4A5-8DCBAE45B0ED}"/>
    <cellStyle name="Note 2 3 2 6 2" xfId="4076" xr:uid="{2121C734-A31C-429D-BAF4-ABD76CDD5136}"/>
    <cellStyle name="Note 2 3 2 7" xfId="2354" xr:uid="{6C62009A-4CCF-48FD-82E7-CE646590F804}"/>
    <cellStyle name="Note 2 3 2 7 2" xfId="4468" xr:uid="{E6DFA6CC-F6B7-4378-8A67-78A62B77166C}"/>
    <cellStyle name="Note 2 3 2 8" xfId="3300" xr:uid="{4D87DE1B-02FB-4B23-BBB2-1FFE1628941C}"/>
    <cellStyle name="Note 2 3 3" xfId="1031" xr:uid="{0F4E05E4-F28C-4A16-9B2F-54EFAA579478}"/>
    <cellStyle name="Note 2 3 3 2" xfId="1148" xr:uid="{0486A422-C0CC-4CFA-BCC4-0029B3868DD7}"/>
    <cellStyle name="Note 2 3 3 2 2" xfId="1565" xr:uid="{5AF9D0CD-26F9-4C50-A084-00AF382F8DE8}"/>
    <cellStyle name="Note 2 3 3 2 2 2" xfId="3117" xr:uid="{89FCCE01-62BF-4CF2-A14F-69886CB81F7D}"/>
    <cellStyle name="Note 2 3 3 2 2 2 2" xfId="5166" xr:uid="{D4F009E7-119F-435E-B545-16CFED30BB98}"/>
    <cellStyle name="Note 2 3 3 2 2 3" xfId="3900" xr:uid="{3148DD79-169D-4BDE-8964-5CA0D400CFDE}"/>
    <cellStyle name="Note 2 3 3 2 3" xfId="1971" xr:uid="{92A15412-21BA-4A4C-9D4B-9FD8150BD3CB}"/>
    <cellStyle name="Note 2 3 3 2 3 2" xfId="4288" xr:uid="{F508940D-02E4-4929-9997-9D7ACF31A1D0}"/>
    <cellStyle name="Note 2 3 3 2 4" xfId="2733" xr:uid="{D5A412BB-B49D-4938-B7FB-ADDD00D2A692}"/>
    <cellStyle name="Note 2 3 3 2 4 2" xfId="4803" xr:uid="{5C83C23A-1164-47E3-96FE-6F770A35FD8D}"/>
    <cellStyle name="Note 2 3 3 2 5" xfId="3512" xr:uid="{ACABF248-A3E6-482C-9E8B-9C68CF3E390D}"/>
    <cellStyle name="Note 2 3 3 3" xfId="1259" xr:uid="{AE3081EE-0C14-4AC3-9AAF-4B222F069A16}"/>
    <cellStyle name="Note 2 3 3 3 2" xfId="1670" xr:uid="{963A8EDD-DE98-4692-9BC9-7219BF5FEE75}"/>
    <cellStyle name="Note 2 3 3 3 2 2" xfId="3222" xr:uid="{37438570-DA85-480B-AA3C-224A0DB49FE6}"/>
    <cellStyle name="Note 2 3 3 3 2 2 2" xfId="5271" xr:uid="{C7D89BEB-F2F3-4610-9FD0-66AF576A07E4}"/>
    <cellStyle name="Note 2 3 3 3 2 3" xfId="4005" xr:uid="{9A3C9EDC-8290-496C-B5AD-DC6C02DC1955}"/>
    <cellStyle name="Note 2 3 3 3 3" xfId="2076" xr:uid="{555C446F-0D10-43AD-98D0-5226571F4449}"/>
    <cellStyle name="Note 2 3 3 3 3 2" xfId="4393" xr:uid="{B89F24FF-E3B7-426A-9900-4718C58EA8F3}"/>
    <cellStyle name="Note 2 3 3 3 4" xfId="2809" xr:uid="{1C1BBEB4-D419-4713-AF97-F74590ED5B6D}"/>
    <cellStyle name="Note 2 3 3 3 4 2" xfId="4879" xr:uid="{810C5C86-076B-4765-886C-C0D16EEA3578}"/>
    <cellStyle name="Note 2 3 3 3 5" xfId="3617" xr:uid="{E7AC1393-8BFF-4F0C-95F7-336A1DC8611C}"/>
    <cellStyle name="Note 2 3 3 4" xfId="1460" xr:uid="{A1A985A4-CA5B-4AB2-956E-A61A358469BE}"/>
    <cellStyle name="Note 2 3 3 4 2" xfId="3013" xr:uid="{FBE4E055-FE69-485F-BFD2-F12F6A266E6E}"/>
    <cellStyle name="Note 2 3 3 4 2 2" xfId="5063" xr:uid="{069A7255-4EBA-4DE3-A916-E8479730394F}"/>
    <cellStyle name="Note 2 3 3 4 3" xfId="3795" xr:uid="{5E99A722-ECF4-49F5-81AA-7E7E627B9196}"/>
    <cellStyle name="Note 2 3 3 5" xfId="1866" xr:uid="{FA6BBA0E-2F34-4372-8925-0ABD19FFDAE4}"/>
    <cellStyle name="Note 2 3 3 5 2" xfId="4183" xr:uid="{06895F24-2F7E-403B-9D6F-D6936624BEE8}"/>
    <cellStyle name="Note 2 3 3 6" xfId="2649" xr:uid="{D104C9ED-8400-4450-859F-CAC46A047A2D}"/>
    <cellStyle name="Note 2 3 3 6 2" xfId="4719" xr:uid="{7AA0DF3C-4250-4FEC-8B16-07A75E7906AC}"/>
    <cellStyle name="Note 2 3 3 7" xfId="3407" xr:uid="{221703E2-C422-4E86-B330-3D5BDAD79579}"/>
    <cellStyle name="Note 2 3 4" xfId="1079" xr:uid="{75DF904C-5B91-4481-9B0A-E3C094B3BE51}"/>
    <cellStyle name="Note 2 3 4 2" xfId="1496" xr:uid="{241D19CC-13DD-4BC0-BD4F-F3196D73A74C}"/>
    <cellStyle name="Note 2 3 4 2 2" xfId="3048" xr:uid="{3FCC1E99-47D7-42E0-8DDC-B1BE4C23F977}"/>
    <cellStyle name="Note 2 3 4 2 2 2" xfId="5098" xr:uid="{AEB3030B-07EA-48ED-B2C6-AD228F0BFB25}"/>
    <cellStyle name="Note 2 3 4 2 3" xfId="3831" xr:uid="{96DF0619-821F-46EA-8857-C904B5D03B14}"/>
    <cellStyle name="Note 2 3 4 3" xfId="1902" xr:uid="{ED082DEA-C19A-4BCC-AB9C-67C1F99F9EC9}"/>
    <cellStyle name="Note 2 3 4 3 2" xfId="4219" xr:uid="{C2764163-499B-4391-A3F5-571859FB2E60}"/>
    <cellStyle name="Note 2 3 4 4" xfId="2666" xr:uid="{163C8E25-0380-4759-8412-9A12CE571E2B}"/>
    <cellStyle name="Note 2 3 4 4 2" xfId="4736" xr:uid="{947F7FD7-9784-4264-AC92-C27C1FB01CB1}"/>
    <cellStyle name="Note 2 3 4 5" xfId="3443" xr:uid="{A8D67A5B-8326-4D1A-99CE-D8A875BA3264}"/>
    <cellStyle name="Note 2 3 5" xfId="1185" xr:uid="{C90FD08D-895F-47B1-8C85-8F9965AF7BFB}"/>
    <cellStyle name="Note 2 3 5 2" xfId="1601" xr:uid="{5E275D72-424A-4C73-B83C-43AB5BECF002}"/>
    <cellStyle name="Note 2 3 5 2 2" xfId="3153" xr:uid="{287692CF-4845-4FCF-B8BB-B2AB3E829F23}"/>
    <cellStyle name="Note 2 3 5 2 2 2" xfId="5202" xr:uid="{E47F0C23-CE47-49DF-BFDC-6DD57008F0E5}"/>
    <cellStyle name="Note 2 3 5 2 3" xfId="3936" xr:uid="{AC9B1886-AF6D-471A-A555-98D93A599AF9}"/>
    <cellStyle name="Note 2 3 5 3" xfId="2007" xr:uid="{493191FE-E27F-4516-8071-3DCA6F8C0CA4}"/>
    <cellStyle name="Note 2 3 5 3 2" xfId="4324" xr:uid="{57606D0E-DAA4-4DE2-9DD2-3D1A29C6283C}"/>
    <cellStyle name="Note 2 3 5 4" xfId="2768" xr:uid="{C99B37CD-875F-4957-A7E5-5F0E03A1DE0C}"/>
    <cellStyle name="Note 2 3 5 4 2" xfId="4838" xr:uid="{225ACDB5-60E8-4944-9417-3D25A11081A7}"/>
    <cellStyle name="Note 2 3 5 5" xfId="3548" xr:uid="{200E9128-8571-42AD-8E9D-D2B2336FF2AD}"/>
    <cellStyle name="Note 2 3 6" xfId="949" xr:uid="{C42A8F0F-76F3-41D3-9FF3-03AF60F17F8D}"/>
    <cellStyle name="Note 2 3 6 2" xfId="1391" xr:uid="{59D8BB46-1FFA-42BC-BAF1-829761CA2899}"/>
    <cellStyle name="Note 2 3 6 2 2" xfId="2827" xr:uid="{1F79B1F4-9BBC-4B4E-B537-6B6763B41A20}"/>
    <cellStyle name="Note 2 3 6 2 2 2" xfId="4886" xr:uid="{0AFD05E0-55DF-4C36-83CF-D664A09A64DD}"/>
    <cellStyle name="Note 2 3 6 2 3" xfId="3726" xr:uid="{710E5373-192F-4DD9-B2BE-33EA8C2FDD26}"/>
    <cellStyle name="Note 2 3 6 3" xfId="1797" xr:uid="{A2C3F527-FDA6-479C-85CF-F83AE1921BDA}"/>
    <cellStyle name="Note 2 3 6 3 2" xfId="4114" xr:uid="{E3F51CBE-E711-4292-A52F-02EEBEED2C04}"/>
    <cellStyle name="Note 2 3 6 4" xfId="2523" xr:uid="{076B297D-4E9C-4B2D-B28F-E51199F4CD0E}"/>
    <cellStyle name="Note 2 3 6 4 2" xfId="4603" xr:uid="{128EF594-B660-49C6-9345-C59F61F5203D}"/>
    <cellStyle name="Note 2 3 6 5" xfId="3338" xr:uid="{4266D8AE-D7CE-4B11-9C27-7E770672A6EB}"/>
    <cellStyle name="Note 2 3 7" xfId="1318" xr:uid="{E415A4AA-8EE8-4A25-8CBE-C51A0E483488}"/>
    <cellStyle name="Note 2 3 7 2" xfId="3654" xr:uid="{876095BC-6074-4998-93DA-FB9C9EF9B4DA}"/>
    <cellStyle name="Note 2 3 8" xfId="1725" xr:uid="{D8E61E11-B982-4859-BDAB-2998DAA63F1B}"/>
    <cellStyle name="Note 2 3 8 2" xfId="4042" xr:uid="{C00C6DE5-14C9-48B6-8EAA-047A24158B2D}"/>
    <cellStyle name="Note 2 3 9" xfId="2187" xr:uid="{A39D218E-0CCC-40CC-A156-4883771B2152}"/>
    <cellStyle name="Note 2 4" xfId="748" xr:uid="{AA62B7EC-2CBF-483C-BA0F-3804800A98F0}"/>
    <cellStyle name="Note 2 4 2" xfId="2355" xr:uid="{3D12A7A4-902F-4CFB-85DF-A2B310D2BFC6}"/>
    <cellStyle name="Note 2 4 3" xfId="2188" xr:uid="{82C85A1B-2C77-4C76-88D6-67DB25828144}"/>
    <cellStyle name="Note 2 5" xfId="749" xr:uid="{EC6458EF-D68D-428F-AAD6-3D0DDE25071E}"/>
    <cellStyle name="Note 2 6" xfId="2205" xr:uid="{4D3B302D-5AA2-4B39-B6D1-52B72726960D}"/>
    <cellStyle name="Note 2 6 2" xfId="2356" xr:uid="{5F28DC7C-0C87-49E6-96AA-FC98F50D0B8F}"/>
    <cellStyle name="Note 3" xfId="750" xr:uid="{4FBC8F96-3BAC-407F-8BD6-3F8514572766}"/>
    <cellStyle name="Note 3 2" xfId="2357" xr:uid="{2DE4AD4A-C660-4E2D-91BE-3F2617559329}"/>
    <cellStyle name="Note 3 3" xfId="2189" xr:uid="{73A30616-B404-48BE-866B-B475473C3C4A}"/>
    <cellStyle name="Note 4" xfId="751" xr:uid="{8EA7B10B-5AD9-4D5D-85B2-4886C49F7E5C}"/>
    <cellStyle name="Note 4 2" xfId="2358" xr:uid="{6B71DB49-5BCB-4D23-BB6A-56B8A26ABCAB}"/>
    <cellStyle name="Note 4 3" xfId="2190" xr:uid="{41990263-53E4-49DF-9681-18CEAEC8E0A8}"/>
    <cellStyle name="Note 5" xfId="752" xr:uid="{59098464-7600-45FF-BE83-72C8D72D47B7}"/>
    <cellStyle name="Note 5 2" xfId="2359" xr:uid="{809F3390-A4F7-4DC6-AB3E-9CC0812DD482}"/>
    <cellStyle name="Note 5 3" xfId="2191" xr:uid="{3D73A2FF-BC9A-4A13-A985-195A914FF163}"/>
    <cellStyle name="Note 6" xfId="753" xr:uid="{89577983-AAC6-499A-B301-E4B2B42D0A1C}"/>
    <cellStyle name="Note 6 2" xfId="2360" xr:uid="{A1D314DC-8061-46D1-B60D-20889BE99995}"/>
    <cellStyle name="Note 6 3" xfId="2192" xr:uid="{98C9F5AC-D703-40D1-A66A-3331AC4A62CE}"/>
    <cellStyle name="Output 2" xfId="754" xr:uid="{CB9EABEB-9DA6-45F4-9BF3-95C3FCCA2C84}"/>
    <cellStyle name="Output 2 2" xfId="755" xr:uid="{5D36EE81-1CA5-4443-B0C7-DD7FAF65D301}"/>
    <cellStyle name="Output 2 3" xfId="756" xr:uid="{D8E6FDDF-9A9E-44FC-BBB1-CDB68A84D227}"/>
    <cellStyle name="Output 2 4" xfId="757" xr:uid="{88076D13-CB3A-4AED-961F-0348536AA586}"/>
    <cellStyle name="Output 2 5" xfId="758" xr:uid="{C1223764-4C77-4E9B-B533-3A19B9DBD3AD}"/>
    <cellStyle name="Output 2 6" xfId="2361" xr:uid="{0F6FD163-0900-4A0F-8EA1-E1DE39234193}"/>
    <cellStyle name="Output 3" xfId="759" xr:uid="{F6564E15-A8C7-4EEC-9FBC-7D9A92DA473C}"/>
    <cellStyle name="Output 4" xfId="760" xr:uid="{09CA4C27-16A7-4FA9-8C63-72CF99D95412}"/>
    <cellStyle name="Percent 10" xfId="761" xr:uid="{95B19F1B-4A3F-47F5-8A34-B0612D9AC382}"/>
    <cellStyle name="Percent 2" xfId="762" xr:uid="{CBF6AB6A-E4D4-468B-9DBE-6EC732897BB0}"/>
    <cellStyle name="Percent 2 2" xfId="763" xr:uid="{CBBB03BA-7FEB-4432-BDDE-B815373BD4C1}"/>
    <cellStyle name="Percent 2 2 2" xfId="764" xr:uid="{8D05D8F5-C785-4445-A042-1F284FEA445C}"/>
    <cellStyle name="Percent 2 3" xfId="765" xr:uid="{121B698E-70C7-40E8-A4E7-CA8E410B8FE3}"/>
    <cellStyle name="Percent 3" xfId="766" xr:uid="{750E9500-F8DC-4AF9-B796-FCBC9F8FD8A2}"/>
    <cellStyle name="Percent 3 2" xfId="767" xr:uid="{3400C836-FD03-4B51-B83C-7FD4628FE44F}"/>
    <cellStyle name="Percent 3 2 2" xfId="768" xr:uid="{2217E8EC-1886-4BF9-A0A4-F863DFD9484C}"/>
    <cellStyle name="Percent 3 2 2 2" xfId="769" xr:uid="{9A76C48A-893C-4C55-9839-1DDA6A5BB7ED}"/>
    <cellStyle name="Percent 3 2 3" xfId="770" xr:uid="{F0327E58-C61D-40E6-8DD9-A2C9768FFE28}"/>
    <cellStyle name="Percent 3 2 3 2" xfId="771" xr:uid="{15AB0638-1519-4E52-AFAF-70B255DAA4CC}"/>
    <cellStyle name="Percent 3 2 4" xfId="772" xr:uid="{51D4D119-2658-4570-9D97-1DD8A05EC833}"/>
    <cellStyle name="Percent 3 3" xfId="773" xr:uid="{F735B3D3-248F-48D1-A3C5-D4735B2519D5}"/>
    <cellStyle name="Percent 3 3 2" xfId="774" xr:uid="{FB7C703A-9192-46EE-8223-D20CD20CF26D}"/>
    <cellStyle name="Percent 3 3 3" xfId="2362" xr:uid="{861EB18E-377A-4338-983D-B6A916C6FA46}"/>
    <cellStyle name="Percent 3 4" xfId="775" xr:uid="{EC8DD28C-6425-46BF-A303-3357EBF27F65}"/>
    <cellStyle name="Percent 4" xfId="776" xr:uid="{82FE8E54-A187-4823-9CB5-938F87C2214B}"/>
    <cellStyle name="Percent 4 2" xfId="777" xr:uid="{35A7C7C5-83BC-402D-9B53-CA82189E71F7}"/>
    <cellStyle name="Percent 4 3" xfId="778" xr:uid="{16E1470E-1666-4B2B-95D6-799030285619}"/>
    <cellStyle name="Percent 4 4" xfId="2363" xr:uid="{C9556B6D-6D54-4508-95F0-B6E1B914D0B6}"/>
    <cellStyle name="Percent 5" xfId="779" xr:uid="{259EB5D1-DB96-4F38-8FD5-C1C2E0434E40}"/>
    <cellStyle name="Percent 5 2" xfId="780" xr:uid="{8FF9055C-F0A7-46F1-9A61-4102FEBE43CB}"/>
    <cellStyle name="Percent 5 2 2" xfId="781" xr:uid="{E085E8CA-BA5A-4951-9914-06F78884FF53}"/>
    <cellStyle name="Percent 5 3" xfId="782" xr:uid="{6B968C3A-3F5A-4E4E-B507-471985728228}"/>
    <cellStyle name="Percent 5 3 2" xfId="783" xr:uid="{19871DAC-352F-4976-AD35-77EE5C72D617}"/>
    <cellStyle name="Percent 5 3 3" xfId="784" xr:uid="{0BDBB717-C9B0-4C5F-AB11-4DA5569454D7}"/>
    <cellStyle name="Percent 5 3 3 2" xfId="785" xr:uid="{540505FE-B502-4D98-91A0-C81BBFC09CE0}"/>
    <cellStyle name="Percent 5 3 4" xfId="786" xr:uid="{2E1C4D5E-045E-4B37-B474-D3995EFBB8A6}"/>
    <cellStyle name="Percent 5 3 5" xfId="787" xr:uid="{22E5573C-3CDF-47EA-8C95-799910A76845}"/>
    <cellStyle name="Percent 5 3 6" xfId="788" xr:uid="{5CF9BFB5-C4C4-4CAF-B18D-5CF09FD7C1A1}"/>
    <cellStyle name="Percent 5 3 6 2" xfId="2459" xr:uid="{4BE6AC2C-E172-4C5E-B5B2-6FAC9D480162}"/>
    <cellStyle name="Percent 5 3 6 3" xfId="2364" xr:uid="{96442008-E7EC-45F5-A39F-4AE16E529762}"/>
    <cellStyle name="Percent 5 3 7" xfId="2365" xr:uid="{6D365C73-6E7A-4331-881E-98051899A467}"/>
    <cellStyle name="Percent 5 4" xfId="789" xr:uid="{01CCBCA9-7044-4A17-8810-7A9B40D48942}"/>
    <cellStyle name="Percent 5 5" xfId="790" xr:uid="{413F1B0B-FD7B-4244-98BD-AAC33E46E29C}"/>
    <cellStyle name="Percent 5 6" xfId="791" xr:uid="{731E75FB-DF8D-49F1-9E58-D83E4CD5FC09}"/>
    <cellStyle name="Percent 5 6 2" xfId="2460" xr:uid="{00BB5C9E-AEC2-4A7F-AB3C-E44EFAC60A4B}"/>
    <cellStyle name="Percent 5 6 3" xfId="2366" xr:uid="{002C20C5-740C-4155-89CD-0E1C25CFFD55}"/>
    <cellStyle name="Percent 6" xfId="792" xr:uid="{C89D6AA8-525B-49BF-AED1-0D22A29477A9}"/>
    <cellStyle name="Percent 6 2" xfId="793" xr:uid="{618CEB3A-B64F-48E8-A01B-3D7DE2B9D0BF}"/>
    <cellStyle name="Percent 7" xfId="794" xr:uid="{A024E1B9-C467-4A61-9B74-6C70B0863CDD}"/>
    <cellStyle name="Percent 7 2" xfId="862" xr:uid="{56CD0ACC-E10D-41AC-A356-AD4DCA859738}"/>
    <cellStyle name="Percent 7 2 2" xfId="1033" xr:uid="{D42E3792-5CA9-4101-A83E-49101F418BD7}"/>
    <cellStyle name="Percent 7 2 3" xfId="2507" xr:uid="{DEA769B5-146F-4BA7-8762-F74FEDF2833E}"/>
    <cellStyle name="Percent 7 3" xfId="2193" xr:uid="{0F43A185-CE8B-4A4D-AD85-1B7762368F6E}"/>
    <cellStyle name="rf0" xfId="1301" xr:uid="{FC5A9FB5-AA78-491E-B228-C5669EC21577}"/>
    <cellStyle name="rf1" xfId="1387" xr:uid="{0F716F3C-760A-42AE-8348-3FDB511B3053}"/>
    <cellStyle name="rf10" xfId="1311" xr:uid="{F7B6E7A0-D4FA-48D1-8ABA-932B63C55DE1}"/>
    <cellStyle name="rf11" xfId="1308" xr:uid="{06D87C33-9093-4EF2-92D4-54F7EF251A4A}"/>
    <cellStyle name="rf12" xfId="1307" xr:uid="{67E5CB37-AFB0-4FC3-9569-E6C44F5336D3}"/>
    <cellStyle name="rf13" xfId="1306" xr:uid="{00A88970-BF58-4985-81BC-FEAB814B421F}"/>
    <cellStyle name="rf14" xfId="1303" xr:uid="{28D6E6F8-9573-442C-B2C2-3EAD036B4C25}"/>
    <cellStyle name="rf15" xfId="1305" xr:uid="{972B2E0E-DE19-4B58-91FB-1FDA23B724E7}"/>
    <cellStyle name="rf16" xfId="1304" xr:uid="{F01CF129-D326-4BE7-9E8C-5319EA45E362}"/>
    <cellStyle name="rf17" xfId="1317" xr:uid="{B7629CFE-B42C-4B1E-A0C9-D3F72F4AD3BF}"/>
    <cellStyle name="rf18" xfId="1673" xr:uid="{9C927956-F980-4C57-9232-BD497AE89699}"/>
    <cellStyle name="rf19" xfId="1300" xr:uid="{3E5EBF33-3DDD-4BEC-A140-88B0C8FA3338}"/>
    <cellStyle name="rf2" xfId="1299" xr:uid="{53D187D4-C559-4B41-8AE1-B416469168AF}"/>
    <cellStyle name="rf20" xfId="1674" xr:uid="{9F8E35D6-9161-44AA-9A27-2E942481620D}"/>
    <cellStyle name="rf21" xfId="1671" xr:uid="{61FFE2CC-61B2-433F-B3F5-732E053B8CCF}"/>
    <cellStyle name="rf22" xfId="1298" xr:uid="{493C2A39-5139-46F0-A4A2-982B480BF809}"/>
    <cellStyle name="rf23" xfId="1297" xr:uid="{81CC00AC-1127-40B4-BB27-9A93618FA0EE}"/>
    <cellStyle name="rf24" xfId="1271" xr:uid="{75B64FEF-F598-4B43-B3BB-912310DE3DEA}"/>
    <cellStyle name="rf25" xfId="1296" xr:uid="{1D046F1E-CBE3-4CB1-9FFB-419CA437B628}"/>
    <cellStyle name="rf26" xfId="1295" xr:uid="{7556F6C1-B05A-4237-AD2F-8ACF075B26C1}"/>
    <cellStyle name="rf27" xfId="1270" xr:uid="{122A57B3-1F52-4785-A802-B2D4B0019C85}"/>
    <cellStyle name="rf28" xfId="1679" xr:uid="{5D14F117-D672-4452-8312-3BF89FCC21F9}"/>
    <cellStyle name="rf29" xfId="1682" xr:uid="{B7D2E895-65A7-4B9A-936F-D1C7EC80133C}"/>
    <cellStyle name="rf3" xfId="1675" xr:uid="{C869EB04-B6AB-4BA8-B22A-7B04C327EE76}"/>
    <cellStyle name="rf30" xfId="1676" xr:uid="{C60326A0-E662-4698-99D2-8DB42C2A35D4}"/>
    <cellStyle name="rf31" xfId="1680" xr:uid="{144E62CC-2E77-42D3-AB73-EFE6F242A446}"/>
    <cellStyle name="rf4" xfId="1683" xr:uid="{BF380649-BDA5-4A92-AC06-A733AFC92483}"/>
    <cellStyle name="rf5" xfId="1677" xr:uid="{3B0F3624-0303-42DF-B375-2E5A8D52B90B}"/>
    <cellStyle name="rf6" xfId="1681" xr:uid="{D2126FAC-5DEB-4CD4-8FEF-829A4B0D7D99}"/>
    <cellStyle name="rf7" xfId="1684" xr:uid="{B35E644E-1BB7-4486-BF8A-8C46A2299AE3}"/>
    <cellStyle name="rf8" xfId="1672" xr:uid="{F08ECBED-DAD9-4BCB-B403-DE78E0E7C6A0}"/>
    <cellStyle name="rf9" xfId="1294" xr:uid="{6AB0C0FD-83C1-473B-A1E7-7930CF05549D}"/>
    <cellStyle name="Title 2" xfId="796" xr:uid="{0542F214-4CBA-4D4F-8196-FA462A29CDDB}"/>
    <cellStyle name="Title 3" xfId="797" xr:uid="{ABC89537-74E0-4F38-8158-6F9BCEDF19B3}"/>
    <cellStyle name="Title 4" xfId="795" xr:uid="{5428AC61-9C9B-46F3-8280-D7F81C9B47B3}"/>
    <cellStyle name="Title 5" xfId="2101" xr:uid="{72BA1FEB-43CA-4C33-A9DB-A2346154A0B8}"/>
    <cellStyle name="Total 2" xfId="798" xr:uid="{9EB2F9F7-656A-4153-8F89-141EC2E14041}"/>
    <cellStyle name="Total 2 2" xfId="799" xr:uid="{34E79ED8-FC28-44B7-A471-002BE3545374}"/>
    <cellStyle name="Total 2 3" xfId="800" xr:uid="{0DF867F1-89BE-4F3D-A5A0-A4B1E9E84701}"/>
    <cellStyle name="Total 2 4" xfId="801" xr:uid="{111B04CF-F9F5-4F92-BDFA-3B818CD6F02E}"/>
    <cellStyle name="Total 2 5" xfId="802" xr:uid="{E4BD69AA-7771-4A84-B765-5B1BE004D98E}"/>
    <cellStyle name="Total 2 5 2" xfId="950" xr:uid="{5A5A99F6-AD96-4E20-9377-B430BCC02555}"/>
    <cellStyle name="Total 2 5 2 2" xfId="1678" xr:uid="{07D9E0D7-4B0C-4880-B98E-DF20D3CFD988}"/>
    <cellStyle name="Total 2 5 2 2 2" xfId="2959" xr:uid="{83D6C8ED-8DE6-4E1C-8938-607C0A891D28}"/>
    <cellStyle name="Total 2 5 2 3" xfId="1711" xr:uid="{B78B2DE4-CC2F-4E5B-B9D6-844BFA2B618F}"/>
    <cellStyle name="Total 2 5 2 3 2" xfId="3223" xr:uid="{A68514DA-86BB-42B1-93DE-4B2B8FBB6F5A}"/>
    <cellStyle name="Total 2 5 2 4" xfId="2093" xr:uid="{E71EB87E-A7D5-4DCA-8F4B-27218CC1C19F}"/>
    <cellStyle name="Total 2 5 3" xfId="941" xr:uid="{0DC0F24E-7E96-4E0B-B139-29EFF00A6613}"/>
    <cellStyle name="Total 2 5 3 2" xfId="1313" xr:uid="{E73FD06A-F79D-41A6-996D-8EB1479891BF}"/>
    <cellStyle name="Total 2 5 3 2 2" xfId="2840" xr:uid="{28C63708-8C11-4AE0-A290-6652948BF4E1}"/>
    <cellStyle name="Total 2 5 3 3" xfId="2092" xr:uid="{1E9A6C8E-9885-43BB-B938-42DC28CADFF8}"/>
    <cellStyle name="Total 2 5 3 3 2" xfId="2864" xr:uid="{43240B56-C0BF-47D8-AE5A-91B814F4B8C1}"/>
    <cellStyle name="Total 2 5 3 4" xfId="1715" xr:uid="{C88CF105-C24C-438A-A1E8-8164354D4198}"/>
    <cellStyle name="Total 2 5 4" xfId="1309" xr:uid="{C9EFF592-C555-43FB-B35C-B70A6B27994B}"/>
    <cellStyle name="Total 2 5 4 2" xfId="2819" xr:uid="{C83545C0-0EC9-4AD4-AB37-3BCEB6AF8A97}"/>
    <cellStyle name="Total 2 5 5" xfId="1700" xr:uid="{4FBB1543-25EA-46C1-B184-5A63F580F60D}"/>
    <cellStyle name="Total 2 5 5 2" xfId="2939" xr:uid="{62A5B5BC-AAA4-455A-B7FC-727C00353A03}"/>
    <cellStyle name="Total 2 5 6" xfId="2095" xr:uid="{767FD310-8101-4706-8968-9AE8BEFC352A}"/>
    <cellStyle name="Total 2 6" xfId="1302" xr:uid="{F8D3F222-7652-4693-A2D2-96F983302664}"/>
    <cellStyle name="Total 2 6 2" xfId="2820" xr:uid="{EC366693-C33D-45C3-8613-7C39F941A654}"/>
    <cellStyle name="Total 2 6 3" xfId="3224" xr:uid="{07216F5E-85C0-4636-900B-FAEA351BDBF7}"/>
    <cellStyle name="Total 2 6 4" xfId="2367" xr:uid="{4AB5BA6E-4815-4C27-B994-A7894FE1F175}"/>
    <cellStyle name="Total 2 7" xfId="1720" xr:uid="{1CCBAD9E-9A9C-4B34-A076-FE217DC13527}"/>
    <cellStyle name="Total 2 7 2" xfId="3049" xr:uid="{4B08F3F8-AADC-4860-8420-2ADB2330868F}"/>
    <cellStyle name="Total 2 8" xfId="2094" xr:uid="{4123BFA6-AF30-4F13-8048-E72E79DA5D3C}"/>
    <cellStyle name="Total 3" xfId="803" xr:uid="{1B5FD441-D584-4FA1-A10E-B89AF6AA8451}"/>
    <cellStyle name="Total 4" xfId="804" xr:uid="{DA101A98-2A2A-408B-A5D4-2B154DF8E7A5}"/>
    <cellStyle name="Warning Text 2" xfId="805" xr:uid="{DDC98368-BEBA-48C0-AD2F-9B493AE4FE7E}"/>
    <cellStyle name="Warning Text 2 2" xfId="806" xr:uid="{BED6E314-71D1-4B35-9F4D-DFF22F082F3F}"/>
    <cellStyle name="Warning Text 2 3" xfId="807" xr:uid="{312609E7-C4FE-4CF5-B9E2-307D12E9A6E3}"/>
    <cellStyle name="Warning Text 3" xfId="808" xr:uid="{E013EA95-DD47-4158-A476-5DC0A25A4A42}"/>
    <cellStyle name="Warning Text 4" xfId="809" xr:uid="{8489AA89-BF14-4BED-9DA6-F10D0338B5B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535677</xdr:colOff>
      <xdr:row>48</xdr:row>
      <xdr:rowOff>19051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22077" cy="779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116032</xdr:colOff>
          <xdr:row>5</xdr:row>
          <xdr:rowOff>865</xdr:rowOff>
        </xdr:from>
        <xdr:to>
          <xdr:col>1</xdr:col>
          <xdr:colOff>1030432</xdr:colOff>
          <xdr:row>9</xdr:row>
          <xdr:rowOff>38965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1951</v>
      </c>
      <c r="B1" s="45"/>
      <c r="C1" s="45"/>
      <c r="D1" s="46"/>
      <c r="I1" s="2034" t="s">
        <v>405</v>
      </c>
      <c r="J1" s="2035"/>
      <c r="K1" s="2035"/>
      <c r="L1" s="2035"/>
      <c r="M1" s="2035"/>
      <c r="N1" s="2035"/>
      <c r="O1" s="2035"/>
      <c r="P1" s="2035"/>
      <c r="Q1" s="2035"/>
      <c r="R1" s="2035"/>
      <c r="S1" s="2035"/>
    </row>
    <row r="2" spans="1:28" ht="12" customHeight="1">
      <c r="A2" s="47" t="s">
        <v>1952</v>
      </c>
      <c r="D2" s="48"/>
      <c r="I2" s="2036" t="s">
        <v>979</v>
      </c>
      <c r="J2" s="2035"/>
      <c r="K2" s="2035"/>
      <c r="L2" s="2035"/>
      <c r="M2" s="2035"/>
      <c r="N2" s="2035"/>
      <c r="O2" s="2035"/>
      <c r="P2" s="2035"/>
      <c r="Q2" s="2035"/>
      <c r="R2" s="2035"/>
      <c r="S2" s="2035"/>
    </row>
    <row r="3" spans="1:28" ht="12" customHeight="1">
      <c r="A3" s="155" t="s">
        <v>1905</v>
      </c>
      <c r="B3" s="156"/>
      <c r="C3" s="156"/>
      <c r="D3" s="157"/>
      <c r="I3" s="2036" t="s">
        <v>52</v>
      </c>
      <c r="J3" s="2035"/>
      <c r="K3" s="2035"/>
      <c r="L3" s="2035"/>
      <c r="M3" s="2035"/>
      <c r="N3" s="2035"/>
      <c r="O3" s="2035"/>
      <c r="P3" s="2035"/>
      <c r="Q3" s="2035"/>
      <c r="R3" s="2035"/>
      <c r="S3" s="2035"/>
    </row>
    <row r="4" spans="1:28" ht="12" customHeight="1">
      <c r="A4" s="37"/>
      <c r="I4" s="2036" t="s">
        <v>524</v>
      </c>
      <c r="J4" s="2035"/>
      <c r="K4" s="2035"/>
      <c r="L4" s="2035"/>
      <c r="M4" s="2035"/>
      <c r="N4" s="2035"/>
      <c r="O4" s="2035"/>
      <c r="P4" s="2035"/>
      <c r="Q4" s="2035"/>
      <c r="R4" s="2035"/>
      <c r="S4" s="2035"/>
    </row>
    <row r="5" spans="1:28" ht="14.1" customHeight="1">
      <c r="B5" s="104" t="s">
        <v>2031</v>
      </c>
      <c r="C5" s="26" t="s">
        <v>910</v>
      </c>
      <c r="D5" s="84"/>
      <c r="E5" s="84"/>
      <c r="H5" s="38"/>
      <c r="I5" s="2043" t="s">
        <v>680</v>
      </c>
      <c r="J5" s="1988"/>
      <c r="K5" s="1988"/>
      <c r="L5" s="1988"/>
      <c r="M5" s="1988"/>
      <c r="N5" s="1988"/>
      <c r="O5" s="1988"/>
      <c r="P5" s="1988"/>
      <c r="Q5" s="1988"/>
      <c r="R5" s="1988"/>
      <c r="S5" s="1988"/>
    </row>
    <row r="6" spans="1:28" ht="14.1" customHeight="1">
      <c r="B6" s="104"/>
      <c r="C6" s="26" t="s">
        <v>911</v>
      </c>
      <c r="D6" s="84"/>
      <c r="E6" s="84"/>
      <c r="I6" s="2042" t="s">
        <v>883</v>
      </c>
      <c r="J6" s="1988"/>
      <c r="K6" s="1988"/>
      <c r="L6" s="1988"/>
      <c r="M6" s="1988"/>
      <c r="N6" s="1988"/>
      <c r="O6" s="1988"/>
      <c r="P6" s="1988"/>
      <c r="Q6" s="1988"/>
      <c r="R6" s="1988"/>
      <c r="S6" s="1988"/>
    </row>
    <row r="7" spans="1:28" ht="12.2" customHeight="1">
      <c r="I7" s="2037">
        <v>43646</v>
      </c>
      <c r="J7" s="2038"/>
      <c r="K7" s="2038"/>
      <c r="L7" s="2038"/>
      <c r="M7" s="2038"/>
      <c r="N7" s="2038"/>
      <c r="O7" s="2038"/>
      <c r="P7" s="2038"/>
      <c r="Q7" s="2038"/>
      <c r="R7" s="2038"/>
      <c r="S7" s="203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39" t="s">
        <v>674</v>
      </c>
      <c r="J9" s="2040"/>
      <c r="K9" s="2040"/>
      <c r="L9" s="2040"/>
      <c r="M9" s="2040"/>
      <c r="N9" s="2040"/>
      <c r="O9" s="2040"/>
      <c r="P9" s="2040"/>
      <c r="Q9" s="2040"/>
      <c r="R9" s="2040"/>
      <c r="S9" s="2041"/>
      <c r="T9" s="1984" t="s">
        <v>533</v>
      </c>
      <c r="U9" s="1985"/>
      <c r="V9" s="1985"/>
      <c r="W9" s="1985"/>
      <c r="X9" s="1985"/>
      <c r="Y9" s="1985"/>
      <c r="Z9" s="1985"/>
      <c r="AA9" s="1986"/>
    </row>
    <row r="10" spans="1:28" ht="13.5" customHeight="1">
      <c r="A10" s="1993" t="s">
        <v>675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c r="A11" s="1996" t="s">
        <v>955</v>
      </c>
      <c r="B11" s="1997"/>
      <c r="C11" s="1997"/>
      <c r="D11" s="1997"/>
      <c r="E11" s="1997"/>
      <c r="F11" s="1997"/>
      <c r="G11" s="1997"/>
      <c r="H11" s="1998"/>
      <c r="I11" s="27"/>
      <c r="J11" s="74"/>
      <c r="K11" s="27"/>
      <c r="O11" s="148" t="s">
        <v>2031</v>
      </c>
      <c r="P11" s="100" t="s">
        <v>201</v>
      </c>
      <c r="Q11" s="30"/>
      <c r="R11" s="28"/>
      <c r="S11" s="27"/>
      <c r="T11" s="1990"/>
      <c r="U11" s="1991"/>
      <c r="V11" s="1991"/>
      <c r="W11" s="1991"/>
      <c r="X11" s="1991"/>
      <c r="Y11" s="1991"/>
      <c r="Z11" s="1991"/>
      <c r="AA11" s="1992"/>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004">
        <v>47071231004</v>
      </c>
      <c r="B13" s="2005"/>
      <c r="C13" s="2005"/>
      <c r="D13" s="2005"/>
      <c r="E13" s="2005"/>
      <c r="F13" s="2005"/>
      <c r="G13" s="2005"/>
      <c r="H13" s="2006"/>
      <c r="I13" s="31"/>
      <c r="J13" s="30"/>
      <c r="K13" s="28"/>
      <c r="L13" s="30"/>
      <c r="M13" s="30"/>
      <c r="N13" s="30"/>
      <c r="O13" s="30"/>
      <c r="P13" s="30"/>
      <c r="Q13" s="30"/>
      <c r="R13" s="30"/>
      <c r="S13" s="30"/>
      <c r="T13" s="2009" t="s">
        <v>2023</v>
      </c>
      <c r="U13" s="2010"/>
      <c r="V13" s="2010"/>
      <c r="W13" s="2010"/>
      <c r="X13" s="2010"/>
      <c r="Y13" s="2011"/>
      <c r="Z13" s="2011"/>
      <c r="AA13" s="2012"/>
    </row>
    <row r="14" spans="1:28" ht="14.1" customHeight="1">
      <c r="A14" s="85" t="s">
        <v>713</v>
      </c>
      <c r="B14" s="76"/>
      <c r="C14" s="76"/>
      <c r="D14" s="76"/>
      <c r="E14" s="76"/>
      <c r="F14" s="76"/>
      <c r="G14" s="76"/>
      <c r="H14" s="53"/>
      <c r="I14" s="116"/>
      <c r="S14" s="48"/>
      <c r="T14" s="85" t="s">
        <v>1308</v>
      </c>
      <c r="U14" s="51"/>
      <c r="V14" s="51"/>
      <c r="W14" s="51"/>
      <c r="X14" s="51"/>
      <c r="Y14" s="45"/>
      <c r="Z14" s="45"/>
      <c r="AA14" s="46"/>
    </row>
    <row r="15" spans="1:28" ht="13.5" customHeight="1">
      <c r="A15" s="2002" t="s">
        <v>2032</v>
      </c>
      <c r="B15" s="2007"/>
      <c r="C15" s="2007"/>
      <c r="D15" s="2007"/>
      <c r="E15" s="2007"/>
      <c r="F15" s="2007"/>
      <c r="G15" s="2007"/>
      <c r="H15" s="2008"/>
      <c r="T15" s="1970" t="s">
        <v>2038</v>
      </c>
      <c r="U15" s="1971"/>
      <c r="V15" s="1971"/>
      <c r="W15" s="1971"/>
      <c r="X15" s="1971"/>
      <c r="Y15" s="2013"/>
      <c r="Z15" s="2013"/>
      <c r="AA15" s="201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62" t="s">
        <v>2188</v>
      </c>
      <c r="B17" s="2032"/>
      <c r="C17" s="2032"/>
      <c r="D17" s="2032"/>
      <c r="E17" s="2032"/>
      <c r="F17" s="2032"/>
      <c r="G17" s="2032"/>
      <c r="H17" s="2033"/>
      <c r="T17" s="2019" t="s">
        <v>2024</v>
      </c>
      <c r="U17" s="2020"/>
      <c r="V17" s="2020"/>
      <c r="W17" s="2020"/>
      <c r="X17" s="2020"/>
      <c r="Y17" s="2020"/>
      <c r="Z17" s="2020"/>
      <c r="AA17" s="2021"/>
    </row>
    <row r="18" spans="1:27" ht="13.5" customHeight="1">
      <c r="A18" s="85" t="s">
        <v>530</v>
      </c>
      <c r="B18" s="76"/>
      <c r="C18" s="72"/>
      <c r="D18" s="76"/>
      <c r="E18" s="76"/>
      <c r="F18" s="76"/>
      <c r="G18" s="76"/>
      <c r="H18" s="56"/>
      <c r="I18" s="202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c r="A19" s="2002" t="s">
        <v>2040</v>
      </c>
      <c r="B19" s="2003"/>
      <c r="C19" s="2003"/>
      <c r="D19" s="2003"/>
      <c r="E19" s="2003"/>
      <c r="F19" s="2003"/>
      <c r="G19" s="2003"/>
      <c r="H19" s="2001"/>
      <c r="I19" s="30"/>
      <c r="J19" s="99"/>
      <c r="K19" s="40"/>
      <c r="L19" s="38"/>
      <c r="M19" s="112" t="s">
        <v>315</v>
      </c>
      <c r="P19" s="27"/>
      <c r="Q19" s="27"/>
      <c r="R19" s="27"/>
      <c r="S19" s="31"/>
      <c r="T19" s="2002" t="s">
        <v>2025</v>
      </c>
      <c r="U19" s="2000"/>
      <c r="V19" s="2000"/>
      <c r="W19" s="2001"/>
      <c r="X19" s="2017" t="s">
        <v>2026</v>
      </c>
      <c r="Y19" s="2018"/>
      <c r="Z19" s="2015">
        <v>61081</v>
      </c>
      <c r="AA19" s="2016"/>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99" t="s">
        <v>2033</v>
      </c>
      <c r="B21" s="2000"/>
      <c r="C21" s="2000"/>
      <c r="D21" s="2000"/>
      <c r="E21" s="2000"/>
      <c r="F21" s="2000"/>
      <c r="G21" s="2000"/>
      <c r="H21" s="2001"/>
      <c r="I21" s="2025" t="s">
        <v>678</v>
      </c>
      <c r="J21" s="1988"/>
      <c r="K21" s="1988"/>
      <c r="L21" s="1988"/>
      <c r="M21" s="1988"/>
      <c r="N21" s="1988"/>
      <c r="O21" s="1988"/>
      <c r="P21" s="1988"/>
      <c r="Q21" s="1988"/>
      <c r="R21" s="1988"/>
      <c r="S21" s="1989"/>
      <c r="T21" s="1967" t="s">
        <v>2027</v>
      </c>
      <c r="U21" s="1968"/>
      <c r="V21" s="1968"/>
      <c r="W21" s="1968"/>
      <c r="X21" s="1981" t="s">
        <v>2028</v>
      </c>
      <c r="Y21" s="1982"/>
      <c r="Z21" s="1982"/>
      <c r="AA21" s="1983"/>
    </row>
    <row r="22" spans="1:27" ht="13.5" customHeight="1">
      <c r="A22" s="87" t="s">
        <v>531</v>
      </c>
      <c r="B22" s="59"/>
      <c r="C22" s="59"/>
      <c r="D22" s="59"/>
      <c r="E22" s="59"/>
      <c r="F22" s="59"/>
      <c r="G22" s="59"/>
      <c r="H22" s="60"/>
      <c r="I22" s="2026" t="s">
        <v>1408</v>
      </c>
      <c r="J22" s="2027"/>
      <c r="K22" s="2027"/>
      <c r="L22" s="2027"/>
      <c r="M22" s="2027"/>
      <c r="N22" s="2027"/>
      <c r="O22" s="2027"/>
      <c r="P22" s="2027"/>
      <c r="Q22" s="2027"/>
      <c r="R22" s="2027"/>
      <c r="S22" s="2028"/>
      <c r="T22" s="85" t="s">
        <v>1495</v>
      </c>
      <c r="U22" s="51"/>
      <c r="V22" s="72"/>
      <c r="W22" s="51"/>
      <c r="X22" s="160" t="s">
        <v>1297</v>
      </c>
      <c r="Z22" s="45"/>
      <c r="AA22" s="46"/>
    </row>
    <row r="23" spans="1:27" ht="13.5" customHeight="1">
      <c r="A23" s="2022" t="s">
        <v>2034</v>
      </c>
      <c r="B23" s="2023"/>
      <c r="C23" s="2023"/>
      <c r="D23" s="2023"/>
      <c r="E23" s="2023"/>
      <c r="F23" s="2023"/>
      <c r="G23" s="2023"/>
      <c r="H23" s="2024"/>
      <c r="T23" s="1962" t="s">
        <v>2029</v>
      </c>
      <c r="U23" s="1963"/>
      <c r="V23" s="1963"/>
      <c r="W23" s="1963"/>
      <c r="X23" s="1978">
        <v>44530</v>
      </c>
      <c r="Y23" s="1979"/>
      <c r="Z23" s="1979"/>
      <c r="AA23" s="1980"/>
    </row>
    <row r="24" spans="1:27" ht="14.1" customHeight="1">
      <c r="A24" s="88" t="s">
        <v>677</v>
      </c>
      <c r="B24" s="49"/>
      <c r="C24" s="49"/>
      <c r="D24" s="49"/>
      <c r="E24" s="49"/>
      <c r="F24" s="49"/>
      <c r="G24" s="49"/>
      <c r="H24" s="61"/>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5" t="s">
        <v>531</v>
      </c>
      <c r="U24" s="106"/>
      <c r="V24" s="106"/>
      <c r="W24" s="106"/>
      <c r="X24" s="107"/>
      <c r="Y24" s="107"/>
      <c r="Z24" s="107"/>
      <c r="AA24" s="108"/>
    </row>
    <row r="25" spans="1:27" ht="14.1" customHeight="1">
      <c r="A25" s="1999">
        <v>61068</v>
      </c>
      <c r="B25" s="2000"/>
      <c r="C25" s="2000"/>
      <c r="D25" s="2000"/>
      <c r="E25" s="2000"/>
      <c r="F25" s="2000"/>
      <c r="G25" s="2000"/>
      <c r="H25" s="2001"/>
      <c r="I25" s="113"/>
      <c r="J25" s="2066"/>
      <c r="K25" s="2066"/>
      <c r="L25" s="2066"/>
      <c r="M25" s="2066"/>
      <c r="N25" s="2066"/>
      <c r="O25" s="2066"/>
      <c r="P25" s="2066"/>
      <c r="Q25" s="2066"/>
      <c r="R25" s="2066"/>
      <c r="S25" s="2067"/>
      <c r="T25" s="1959" t="s">
        <v>2030</v>
      </c>
      <c r="U25" s="1960"/>
      <c r="V25" s="1960"/>
      <c r="W25" s="1960"/>
      <c r="X25" s="1960"/>
      <c r="Y25" s="1960"/>
      <c r="Z25" s="1960"/>
      <c r="AA25" s="196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57" t="s">
        <v>1490</v>
      </c>
      <c r="J27" s="2030"/>
      <c r="K27" s="2030"/>
      <c r="L27" s="2030"/>
      <c r="M27" s="2030"/>
      <c r="N27" s="2030"/>
      <c r="O27" s="2030"/>
      <c r="P27" s="2030"/>
      <c r="Q27" s="2030"/>
      <c r="R27" s="2030"/>
      <c r="S27" s="2031"/>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t="s">
        <v>2031</v>
      </c>
      <c r="C29" s="124" t="s">
        <v>820</v>
      </c>
      <c r="D29" s="114"/>
      <c r="E29" s="136"/>
      <c r="F29" s="141" t="s">
        <v>1295</v>
      </c>
      <c r="G29" s="114"/>
      <c r="I29" s="54"/>
      <c r="J29" s="148" t="s">
        <v>2031</v>
      </c>
      <c r="K29" s="28" t="s">
        <v>576</v>
      </c>
      <c r="L29" s="102"/>
      <c r="M29" s="40" t="s">
        <v>99</v>
      </c>
      <c r="N29" s="32" t="s">
        <v>1502</v>
      </c>
      <c r="O29" s="32"/>
      <c r="P29" s="32"/>
      <c r="Q29" s="32"/>
      <c r="R29" s="32"/>
      <c r="S29" s="123"/>
      <c r="T29" s="6"/>
      <c r="U29" s="6"/>
      <c r="V29" s="6"/>
      <c r="W29" s="6"/>
      <c r="X29" s="6"/>
      <c r="Y29" s="6"/>
      <c r="Z29" s="6"/>
      <c r="AA29" s="132"/>
    </row>
    <row r="30" spans="1:27" ht="13.5" customHeight="1">
      <c r="A30" s="153"/>
      <c r="B30" s="136" t="s">
        <v>2031</v>
      </c>
      <c r="C30" s="124" t="s">
        <v>1164</v>
      </c>
      <c r="D30" s="28"/>
      <c r="E30" s="28"/>
      <c r="F30" s="140"/>
      <c r="G30" s="114"/>
      <c r="H30" s="114"/>
      <c r="I30" s="54"/>
      <c r="J30" s="148" t="s">
        <v>2031</v>
      </c>
      <c r="K30" s="28" t="s">
        <v>576</v>
      </c>
      <c r="L30" s="102"/>
      <c r="M30" s="40" t="s">
        <v>99</v>
      </c>
      <c r="N30" s="32" t="s">
        <v>1491</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2031</v>
      </c>
      <c r="K31" s="40" t="s">
        <v>885</v>
      </c>
      <c r="L31" s="102"/>
      <c r="M31" s="40" t="s">
        <v>99</v>
      </c>
      <c r="N31" s="32" t="s">
        <v>1573</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2003"/>
      <c r="Q35" s="2000"/>
      <c r="R35" s="2000"/>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62" t="s">
        <v>2037</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c r="A39" s="2055" t="s">
        <v>531</v>
      </c>
      <c r="B39" s="2056"/>
      <c r="C39" s="72"/>
      <c r="D39" s="69"/>
      <c r="E39" s="69"/>
      <c r="F39" s="79"/>
      <c r="G39" s="69"/>
      <c r="H39" s="56"/>
      <c r="I39" s="2055" t="s">
        <v>531</v>
      </c>
      <c r="J39" s="2056"/>
      <c r="K39" s="2056"/>
      <c r="L39" s="2056"/>
      <c r="M39" s="2056"/>
      <c r="N39" s="67"/>
      <c r="O39" s="72"/>
      <c r="P39" s="72"/>
      <c r="Q39" s="78"/>
      <c r="R39" s="72"/>
      <c r="S39" s="56"/>
      <c r="T39" s="72" t="s">
        <v>531</v>
      </c>
      <c r="U39" s="51"/>
      <c r="V39" s="72"/>
      <c r="W39" s="50"/>
      <c r="X39" s="78"/>
      <c r="Y39" s="45"/>
      <c r="Z39" s="45"/>
      <c r="AA39" s="46"/>
    </row>
    <row r="40" spans="1:27" ht="13.5" customHeight="1">
      <c r="A40" s="2058" t="s">
        <v>2034</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48" t="s">
        <v>2035</v>
      </c>
      <c r="B42" s="2049"/>
      <c r="C42" s="2050"/>
      <c r="D42" s="2063" t="s">
        <v>2036</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c r="A45" s="41" t="s">
        <v>186</v>
      </c>
      <c r="Q45" s="41" t="s">
        <v>1398</v>
      </c>
      <c r="R45" s="41"/>
      <c r="S45" s="41"/>
      <c r="T45" s="147"/>
      <c r="U45" s="41"/>
      <c r="V45" s="41"/>
      <c r="W45" s="41"/>
      <c r="X45" s="41"/>
      <c r="Y45" s="41"/>
      <c r="Z45" s="41"/>
      <c r="AA45" s="41"/>
    </row>
    <row r="46" spans="1:27" ht="10.5" customHeight="1">
      <c r="A46" s="42" t="s">
        <v>1904</v>
      </c>
      <c r="D46" s="41"/>
      <c r="E46" s="41"/>
      <c r="F46" s="41"/>
      <c r="G46" s="41"/>
      <c r="Q46" s="29" t="s">
        <v>1399</v>
      </c>
      <c r="R46" s="41"/>
      <c r="S46" s="41"/>
      <c r="T46" s="41"/>
      <c r="U46" s="41"/>
      <c r="V46" s="41"/>
      <c r="W46" s="41"/>
      <c r="X46" s="41"/>
      <c r="Y46" s="41"/>
      <c r="Z46" s="41"/>
      <c r="AA46" s="41"/>
    </row>
    <row r="47" spans="1:27">
      <c r="A47" s="137"/>
      <c r="Q47" s="41" t="s">
        <v>1886</v>
      </c>
      <c r="R47" s="41"/>
      <c r="S47" s="41"/>
      <c r="T47" s="41"/>
      <c r="U47" s="41"/>
      <c r="V47" s="41"/>
      <c r="W47" s="41"/>
      <c r="X47" s="41"/>
      <c r="Y47" s="41"/>
      <c r="Z47" s="41"/>
      <c r="AA47" s="41"/>
    </row>
    <row r="48" spans="1:27">
      <c r="Q48" s="41" t="s">
        <v>1887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60" zoomScaleNormal="110" workbookViewId="0">
      <pane ySplit="2" topLeftCell="A355" activePane="bottomLeft" state="frozen"/>
      <selection activeCell="X29" sqref="X29"/>
      <selection pane="bottomLeft" activeCell="L361" sqref="L361"/>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42"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7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80" t="s">
        <v>297</v>
      </c>
      <c r="B3" s="2181"/>
      <c r="C3" s="1480"/>
      <c r="D3" s="1480"/>
      <c r="E3" s="1480"/>
      <c r="F3" s="1480"/>
      <c r="G3" s="1480"/>
      <c r="H3" s="1480"/>
      <c r="I3" s="1480"/>
      <c r="J3" s="1480"/>
      <c r="K3" s="1481"/>
      <c r="L3" s="1482"/>
      <c r="M3" s="609"/>
      <c r="N3" s="609"/>
    </row>
    <row r="4" spans="1:14" s="259" customFormat="1" ht="15.75" customHeight="1">
      <c r="A4" s="1538" t="s">
        <v>44</v>
      </c>
      <c r="B4" s="1539" t="s">
        <v>570</v>
      </c>
      <c r="C4" s="610"/>
      <c r="D4" s="610"/>
      <c r="E4" s="610"/>
      <c r="F4" s="610"/>
      <c r="G4" s="610"/>
      <c r="H4" s="610"/>
      <c r="I4" s="611"/>
      <c r="J4" s="610"/>
      <c r="K4" s="612"/>
      <c r="L4" s="610"/>
      <c r="M4" s="613"/>
      <c r="N4" s="613"/>
    </row>
    <row r="5" spans="1:14">
      <c r="A5" s="1436" t="s">
        <v>961</v>
      </c>
      <c r="B5" s="614">
        <v>1100</v>
      </c>
      <c r="C5" s="466">
        <v>4413377</v>
      </c>
      <c r="D5" s="466">
        <v>829627</v>
      </c>
      <c r="E5" s="466">
        <v>108197</v>
      </c>
      <c r="F5" s="466">
        <v>123402</v>
      </c>
      <c r="G5" s="466"/>
      <c r="H5" s="466"/>
      <c r="I5" s="467"/>
      <c r="J5" s="467"/>
      <c r="K5" s="1602">
        <f>SUM(C5:J5)</f>
        <v>5474603</v>
      </c>
      <c r="L5" s="466">
        <v>5616223</v>
      </c>
    </row>
    <row r="6" spans="1:14">
      <c r="A6" s="1436" t="s">
        <v>1412</v>
      </c>
      <c r="B6" s="614" t="s">
        <v>1410</v>
      </c>
      <c r="C6" s="477"/>
      <c r="D6" s="477"/>
      <c r="E6" s="466"/>
      <c r="F6" s="477"/>
      <c r="G6" s="477"/>
      <c r="H6" s="477"/>
      <c r="I6" s="477"/>
      <c r="J6" s="477"/>
      <c r="K6" s="1602">
        <f>SUM(C6,E6)</f>
        <v>0</v>
      </c>
      <c r="L6" s="466">
        <v>0</v>
      </c>
    </row>
    <row r="7" spans="1:14">
      <c r="A7" s="1436" t="s">
        <v>163</v>
      </c>
      <c r="B7" s="614" t="s">
        <v>967</v>
      </c>
      <c r="C7" s="467"/>
      <c r="D7" s="467"/>
      <c r="E7" s="467"/>
      <c r="F7" s="467"/>
      <c r="G7" s="467"/>
      <c r="H7" s="467"/>
      <c r="I7" s="467"/>
      <c r="J7" s="467"/>
      <c r="K7" s="1602">
        <f t="shared" ref="K7:K32" si="0">SUM(C7:J7)</f>
        <v>0</v>
      </c>
      <c r="L7" s="466">
        <v>0</v>
      </c>
    </row>
    <row r="8" spans="1:14">
      <c r="A8" s="1436" t="s">
        <v>164</v>
      </c>
      <c r="B8" s="614">
        <v>1200</v>
      </c>
      <c r="C8" s="466">
        <v>1116102</v>
      </c>
      <c r="D8" s="466">
        <v>260506</v>
      </c>
      <c r="E8" s="466">
        <v>515</v>
      </c>
      <c r="F8" s="466">
        <v>4840</v>
      </c>
      <c r="G8" s="466"/>
      <c r="H8" s="466"/>
      <c r="I8" s="467"/>
      <c r="J8" s="467"/>
      <c r="K8" s="1602">
        <f t="shared" si="0"/>
        <v>1381963</v>
      </c>
      <c r="L8" s="466">
        <v>1427483</v>
      </c>
    </row>
    <row r="9" spans="1:14">
      <c r="A9" s="1436" t="s">
        <v>721</v>
      </c>
      <c r="B9" s="614" t="s">
        <v>968</v>
      </c>
      <c r="C9" s="467">
        <v>219677</v>
      </c>
      <c r="D9" s="467">
        <v>38691</v>
      </c>
      <c r="E9" s="467"/>
      <c r="F9" s="467">
        <v>1554</v>
      </c>
      <c r="G9" s="467"/>
      <c r="H9" s="467"/>
      <c r="I9" s="467"/>
      <c r="J9" s="467"/>
      <c r="K9" s="1602">
        <f t="shared" si="0"/>
        <v>259922</v>
      </c>
      <c r="L9" s="466">
        <v>272914</v>
      </c>
    </row>
    <row r="10" spans="1:14">
      <c r="A10" s="1436" t="s">
        <v>722</v>
      </c>
      <c r="B10" s="614">
        <v>1250</v>
      </c>
      <c r="C10" s="466">
        <v>640236</v>
      </c>
      <c r="D10" s="466">
        <v>141628</v>
      </c>
      <c r="E10" s="466">
        <v>6404</v>
      </c>
      <c r="F10" s="466">
        <v>77440</v>
      </c>
      <c r="G10" s="466"/>
      <c r="H10" s="466"/>
      <c r="I10" s="467"/>
      <c r="J10" s="467"/>
      <c r="K10" s="1602">
        <f t="shared" si="0"/>
        <v>865708</v>
      </c>
      <c r="L10" s="466">
        <v>940837</v>
      </c>
    </row>
    <row r="11" spans="1:14">
      <c r="A11" s="1436" t="s">
        <v>1130</v>
      </c>
      <c r="B11" s="614" t="s">
        <v>161</v>
      </c>
      <c r="C11" s="467">
        <v>212736</v>
      </c>
      <c r="D11" s="467">
        <v>49951</v>
      </c>
      <c r="E11" s="467">
        <v>2072</v>
      </c>
      <c r="F11" s="467">
        <v>7703</v>
      </c>
      <c r="G11" s="467"/>
      <c r="H11" s="467"/>
      <c r="I11" s="467"/>
      <c r="J11" s="467"/>
      <c r="K11" s="1602">
        <f t="shared" si="0"/>
        <v>272462</v>
      </c>
      <c r="L11" s="466">
        <v>288947</v>
      </c>
    </row>
    <row r="12" spans="1:14">
      <c r="A12" s="1436" t="s">
        <v>962</v>
      </c>
      <c r="B12" s="614">
        <v>1300</v>
      </c>
      <c r="C12" s="466"/>
      <c r="D12" s="466"/>
      <c r="E12" s="466"/>
      <c r="F12" s="466"/>
      <c r="G12" s="466"/>
      <c r="H12" s="466"/>
      <c r="I12" s="467"/>
      <c r="J12" s="467"/>
      <c r="K12" s="1602">
        <f t="shared" si="0"/>
        <v>0</v>
      </c>
      <c r="L12" s="466">
        <v>0</v>
      </c>
    </row>
    <row r="13" spans="1:14">
      <c r="A13" s="1436" t="s">
        <v>723</v>
      </c>
      <c r="B13" s="614">
        <v>1400</v>
      </c>
      <c r="C13" s="466"/>
      <c r="D13" s="466"/>
      <c r="E13" s="466"/>
      <c r="F13" s="466"/>
      <c r="G13" s="466"/>
      <c r="H13" s="466"/>
      <c r="I13" s="467"/>
      <c r="J13" s="467"/>
      <c r="K13" s="1602">
        <f t="shared" si="0"/>
        <v>0</v>
      </c>
      <c r="L13" s="466">
        <v>0</v>
      </c>
    </row>
    <row r="14" spans="1:14">
      <c r="A14" s="1436" t="s">
        <v>963</v>
      </c>
      <c r="B14" s="614">
        <v>1500</v>
      </c>
      <c r="C14" s="466">
        <v>39929</v>
      </c>
      <c r="D14" s="466">
        <v>3572</v>
      </c>
      <c r="E14" s="466">
        <v>10189</v>
      </c>
      <c r="F14" s="466">
        <v>3435</v>
      </c>
      <c r="G14" s="466">
        <v>2965</v>
      </c>
      <c r="H14" s="466"/>
      <c r="I14" s="467"/>
      <c r="J14" s="467"/>
      <c r="K14" s="1602">
        <f t="shared" si="0"/>
        <v>60090</v>
      </c>
      <c r="L14" s="466">
        <v>69857</v>
      </c>
    </row>
    <row r="15" spans="1:14">
      <c r="A15" s="1436" t="s">
        <v>964</v>
      </c>
      <c r="B15" s="614">
        <v>1600</v>
      </c>
      <c r="C15" s="466"/>
      <c r="D15" s="466"/>
      <c r="E15" s="466"/>
      <c r="F15" s="466"/>
      <c r="G15" s="466"/>
      <c r="H15" s="466"/>
      <c r="I15" s="467"/>
      <c r="J15" s="467"/>
      <c r="K15" s="1602">
        <f t="shared" si="0"/>
        <v>0</v>
      </c>
      <c r="L15" s="466">
        <v>0</v>
      </c>
    </row>
    <row r="16" spans="1:14">
      <c r="A16" s="1436" t="s">
        <v>987</v>
      </c>
      <c r="B16" s="614" t="s">
        <v>424</v>
      </c>
      <c r="C16" s="466"/>
      <c r="D16" s="466"/>
      <c r="E16" s="466"/>
      <c r="F16" s="466"/>
      <c r="G16" s="466"/>
      <c r="H16" s="466"/>
      <c r="I16" s="467"/>
      <c r="J16" s="467"/>
      <c r="K16" s="1602">
        <f t="shared" si="0"/>
        <v>0</v>
      </c>
      <c r="L16" s="466">
        <v>0</v>
      </c>
    </row>
    <row r="17" spans="1:12">
      <c r="A17" s="1436" t="s">
        <v>724</v>
      </c>
      <c r="B17" s="614" t="s">
        <v>162</v>
      </c>
      <c r="C17" s="467"/>
      <c r="D17" s="467"/>
      <c r="E17" s="467"/>
      <c r="F17" s="467"/>
      <c r="G17" s="467"/>
      <c r="H17" s="467"/>
      <c r="I17" s="467"/>
      <c r="J17" s="467"/>
      <c r="K17" s="1602">
        <f t="shared" si="0"/>
        <v>0</v>
      </c>
      <c r="L17" s="466">
        <v>0</v>
      </c>
    </row>
    <row r="18" spans="1:12">
      <c r="A18" s="1436" t="s">
        <v>1087</v>
      </c>
      <c r="B18" s="614">
        <v>1800</v>
      </c>
      <c r="C18" s="466">
        <v>712319</v>
      </c>
      <c r="D18" s="466">
        <v>180486</v>
      </c>
      <c r="E18" s="466">
        <v>22039</v>
      </c>
      <c r="F18" s="466">
        <v>15477</v>
      </c>
      <c r="G18" s="466"/>
      <c r="H18" s="466">
        <v>5800</v>
      </c>
      <c r="I18" s="467"/>
      <c r="J18" s="467"/>
      <c r="K18" s="1602">
        <f t="shared" si="0"/>
        <v>936121</v>
      </c>
      <c r="L18" s="466">
        <v>974826</v>
      </c>
    </row>
    <row r="19" spans="1:12">
      <c r="A19" s="1436" t="s">
        <v>134</v>
      </c>
      <c r="B19" s="614">
        <v>1900</v>
      </c>
      <c r="C19" s="466"/>
      <c r="D19" s="466"/>
      <c r="E19" s="466"/>
      <c r="F19" s="466"/>
      <c r="G19" s="466"/>
      <c r="H19" s="466"/>
      <c r="I19" s="467"/>
      <c r="J19" s="467"/>
      <c r="K19" s="1602">
        <f t="shared" si="0"/>
        <v>0</v>
      </c>
      <c r="L19" s="466">
        <v>0</v>
      </c>
    </row>
    <row r="20" spans="1:12">
      <c r="A20" s="1437" t="s">
        <v>738</v>
      </c>
      <c r="B20" s="602" t="s">
        <v>725</v>
      </c>
      <c r="C20" s="477"/>
      <c r="D20" s="477"/>
      <c r="E20" s="477"/>
      <c r="F20" s="477"/>
      <c r="G20" s="477"/>
      <c r="H20" s="474"/>
      <c r="I20" s="616"/>
      <c r="J20" s="475"/>
      <c r="K20" s="1602">
        <f t="shared" si="0"/>
        <v>0</v>
      </c>
      <c r="L20" s="471">
        <v>0</v>
      </c>
    </row>
    <row r="21" spans="1:12">
      <c r="A21" s="1437" t="s">
        <v>739</v>
      </c>
      <c r="B21" s="602" t="s">
        <v>726</v>
      </c>
      <c r="C21" s="477"/>
      <c r="D21" s="477"/>
      <c r="E21" s="477"/>
      <c r="F21" s="477"/>
      <c r="G21" s="477"/>
      <c r="H21" s="474"/>
      <c r="I21" s="616"/>
      <c r="J21" s="477"/>
      <c r="K21" s="1602">
        <f t="shared" si="0"/>
        <v>0</v>
      </c>
      <c r="L21" s="471">
        <v>0</v>
      </c>
    </row>
    <row r="22" spans="1:12">
      <c r="A22" s="1437" t="s">
        <v>740</v>
      </c>
      <c r="B22" s="602" t="s">
        <v>727</v>
      </c>
      <c r="C22" s="477"/>
      <c r="D22" s="477"/>
      <c r="E22" s="477"/>
      <c r="F22" s="477"/>
      <c r="G22" s="477"/>
      <c r="H22" s="474"/>
      <c r="I22" s="616"/>
      <c r="J22" s="477"/>
      <c r="K22" s="1602">
        <f t="shared" si="0"/>
        <v>0</v>
      </c>
      <c r="L22" s="471">
        <v>0</v>
      </c>
    </row>
    <row r="23" spans="1:12">
      <c r="A23" s="1437" t="s">
        <v>741</v>
      </c>
      <c r="B23" s="602" t="s">
        <v>728</v>
      </c>
      <c r="C23" s="477"/>
      <c r="D23" s="477"/>
      <c r="E23" s="477"/>
      <c r="F23" s="477"/>
      <c r="G23" s="477"/>
      <c r="H23" s="474"/>
      <c r="I23" s="616"/>
      <c r="J23" s="477"/>
      <c r="K23" s="1602">
        <f t="shared" si="0"/>
        <v>0</v>
      </c>
      <c r="L23" s="471">
        <v>0</v>
      </c>
    </row>
    <row r="24" spans="1:12" ht="12.95" customHeight="1">
      <c r="A24" s="1437" t="s">
        <v>742</v>
      </c>
      <c r="B24" s="602" t="s">
        <v>729</v>
      </c>
      <c r="C24" s="477"/>
      <c r="D24" s="477"/>
      <c r="E24" s="477"/>
      <c r="F24" s="477"/>
      <c r="G24" s="477"/>
      <c r="H24" s="474"/>
      <c r="I24" s="616"/>
      <c r="J24" s="477"/>
      <c r="K24" s="1602">
        <f t="shared" si="0"/>
        <v>0</v>
      </c>
      <c r="L24" s="471">
        <v>0</v>
      </c>
    </row>
    <row r="25" spans="1:12" ht="12.95" customHeight="1">
      <c r="A25" s="1437" t="s">
        <v>802</v>
      </c>
      <c r="B25" s="602" t="s">
        <v>730</v>
      </c>
      <c r="C25" s="477"/>
      <c r="D25" s="477"/>
      <c r="E25" s="477"/>
      <c r="F25" s="477"/>
      <c r="G25" s="477"/>
      <c r="H25" s="474"/>
      <c r="I25" s="616"/>
      <c r="J25" s="477"/>
      <c r="K25" s="1602">
        <f t="shared" si="0"/>
        <v>0</v>
      </c>
      <c r="L25" s="471">
        <v>0</v>
      </c>
    </row>
    <row r="26" spans="1:12">
      <c r="A26" s="1437" t="s">
        <v>622</v>
      </c>
      <c r="B26" s="602" t="s">
        <v>731</v>
      </c>
      <c r="C26" s="477"/>
      <c r="D26" s="477"/>
      <c r="E26" s="477"/>
      <c r="F26" s="477"/>
      <c r="G26" s="477"/>
      <c r="H26" s="474"/>
      <c r="I26" s="616"/>
      <c r="J26" s="477"/>
      <c r="K26" s="1602">
        <f t="shared" si="0"/>
        <v>0</v>
      </c>
      <c r="L26" s="471">
        <v>0</v>
      </c>
    </row>
    <row r="27" spans="1:12">
      <c r="A27" s="1437" t="s">
        <v>623</v>
      </c>
      <c r="B27" s="602" t="s">
        <v>732</v>
      </c>
      <c r="C27" s="477"/>
      <c r="D27" s="477"/>
      <c r="E27" s="477"/>
      <c r="F27" s="477"/>
      <c r="G27" s="477"/>
      <c r="H27" s="474"/>
      <c r="I27" s="616"/>
      <c r="J27" s="477"/>
      <c r="K27" s="1602">
        <f t="shared" si="0"/>
        <v>0</v>
      </c>
      <c r="L27" s="471">
        <v>0</v>
      </c>
    </row>
    <row r="28" spans="1:12">
      <c r="A28" s="1437" t="s">
        <v>150</v>
      </c>
      <c r="B28" s="602" t="s">
        <v>733</v>
      </c>
      <c r="C28" s="477"/>
      <c r="D28" s="477"/>
      <c r="E28" s="477"/>
      <c r="F28" s="477"/>
      <c r="G28" s="477"/>
      <c r="H28" s="474"/>
      <c r="I28" s="616"/>
      <c r="J28" s="477"/>
      <c r="K28" s="1602">
        <f t="shared" si="0"/>
        <v>0</v>
      </c>
      <c r="L28" s="471">
        <v>0</v>
      </c>
    </row>
    <row r="29" spans="1:12">
      <c r="A29" s="1437" t="s">
        <v>151</v>
      </c>
      <c r="B29" s="602" t="s">
        <v>734</v>
      </c>
      <c r="C29" s="477"/>
      <c r="D29" s="477"/>
      <c r="E29" s="477"/>
      <c r="F29" s="477"/>
      <c r="G29" s="477"/>
      <c r="H29" s="474"/>
      <c r="I29" s="616"/>
      <c r="J29" s="477"/>
      <c r="K29" s="1602">
        <f t="shared" si="0"/>
        <v>0</v>
      </c>
      <c r="L29" s="471">
        <v>0</v>
      </c>
    </row>
    <row r="30" spans="1:12">
      <c r="A30" s="1437" t="s">
        <v>152</v>
      </c>
      <c r="B30" s="602" t="s">
        <v>735</v>
      </c>
      <c r="C30" s="477"/>
      <c r="D30" s="477"/>
      <c r="E30" s="477"/>
      <c r="F30" s="477"/>
      <c r="G30" s="477"/>
      <c r="H30" s="474"/>
      <c r="I30" s="616"/>
      <c r="J30" s="477"/>
      <c r="K30" s="1602">
        <f t="shared" si="0"/>
        <v>0</v>
      </c>
      <c r="L30" s="471">
        <v>0</v>
      </c>
    </row>
    <row r="31" spans="1:12">
      <c r="A31" s="1437" t="s">
        <v>153</v>
      </c>
      <c r="B31" s="602" t="s">
        <v>736</v>
      </c>
      <c r="C31" s="477"/>
      <c r="D31" s="477"/>
      <c r="E31" s="477"/>
      <c r="F31" s="477"/>
      <c r="G31" s="477"/>
      <c r="H31" s="474"/>
      <c r="I31" s="616"/>
      <c r="J31" s="477"/>
      <c r="K31" s="1602">
        <f t="shared" si="0"/>
        <v>0</v>
      </c>
      <c r="L31" s="471">
        <v>0</v>
      </c>
    </row>
    <row r="32" spans="1:12">
      <c r="A32" s="1438" t="s">
        <v>1129</v>
      </c>
      <c r="B32" s="614" t="s">
        <v>737</v>
      </c>
      <c r="C32" s="477"/>
      <c r="D32" s="477"/>
      <c r="E32" s="477"/>
      <c r="F32" s="477"/>
      <c r="G32" s="477"/>
      <c r="H32" s="474"/>
      <c r="I32" s="616"/>
      <c r="J32" s="480"/>
      <c r="K32" s="1602">
        <f t="shared" si="0"/>
        <v>0</v>
      </c>
      <c r="L32" s="471">
        <v>0</v>
      </c>
    </row>
    <row r="33" spans="1:14" ht="12.95" customHeight="1" thickBot="1">
      <c r="A33" s="1599" t="s">
        <v>1641</v>
      </c>
      <c r="B33" s="1600" t="s">
        <v>570</v>
      </c>
      <c r="C33" s="1601">
        <f>SUM(C5:C32)</f>
        <v>7354376</v>
      </c>
      <c r="D33" s="1601">
        <f t="shared" ref="D33:L33" si="1">SUM(D5:D32)</f>
        <v>1504461</v>
      </c>
      <c r="E33" s="1601">
        <f t="shared" si="1"/>
        <v>149416</v>
      </c>
      <c r="F33" s="1601">
        <f t="shared" si="1"/>
        <v>233851</v>
      </c>
      <c r="G33" s="1601">
        <f t="shared" si="1"/>
        <v>2965</v>
      </c>
      <c r="H33" s="1601">
        <f t="shared" si="1"/>
        <v>5800</v>
      </c>
      <c r="I33" s="1601">
        <f t="shared" si="1"/>
        <v>0</v>
      </c>
      <c r="J33" s="1601">
        <f t="shared" si="1"/>
        <v>0</v>
      </c>
      <c r="K33" s="1601">
        <f t="shared" si="1"/>
        <v>9250869</v>
      </c>
      <c r="L33" s="1601">
        <f t="shared" si="1"/>
        <v>9591087</v>
      </c>
    </row>
    <row r="34" spans="1:14" s="620" customFormat="1" ht="15.75" customHeight="1" thickTop="1">
      <c r="A34" s="1540" t="s">
        <v>46</v>
      </c>
      <c r="B34" s="1541"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6" t="s">
        <v>1089</v>
      </c>
      <c r="B36" s="614">
        <v>2110</v>
      </c>
      <c r="C36" s="481"/>
      <c r="D36" s="481"/>
      <c r="E36" s="481"/>
      <c r="F36" s="481"/>
      <c r="G36" s="481"/>
      <c r="H36" s="481"/>
      <c r="I36" s="467"/>
      <c r="J36" s="467"/>
      <c r="K36" s="1602">
        <f t="shared" ref="K36:K41" si="2">SUM(C36:J36)</f>
        <v>0</v>
      </c>
      <c r="L36" s="466">
        <v>0</v>
      </c>
    </row>
    <row r="37" spans="1:14">
      <c r="A37" s="1436" t="s">
        <v>1090</v>
      </c>
      <c r="B37" s="614">
        <v>2120</v>
      </c>
      <c r="C37" s="466">
        <v>238145</v>
      </c>
      <c r="D37" s="466">
        <v>40693</v>
      </c>
      <c r="E37" s="466">
        <v>297</v>
      </c>
      <c r="F37" s="466">
        <v>80</v>
      </c>
      <c r="G37" s="466"/>
      <c r="H37" s="466"/>
      <c r="I37" s="467"/>
      <c r="J37" s="467"/>
      <c r="K37" s="1602">
        <f t="shared" si="2"/>
        <v>279215</v>
      </c>
      <c r="L37" s="466">
        <v>324239</v>
      </c>
    </row>
    <row r="38" spans="1:14">
      <c r="A38" s="1436" t="s">
        <v>198</v>
      </c>
      <c r="B38" s="614">
        <v>2130</v>
      </c>
      <c r="C38" s="466">
        <v>128148</v>
      </c>
      <c r="D38" s="466">
        <v>26609</v>
      </c>
      <c r="E38" s="466">
        <v>4928</v>
      </c>
      <c r="F38" s="466">
        <v>1828</v>
      </c>
      <c r="G38" s="466"/>
      <c r="H38" s="466"/>
      <c r="I38" s="467"/>
      <c r="J38" s="467"/>
      <c r="K38" s="1602">
        <f t="shared" si="2"/>
        <v>161513</v>
      </c>
      <c r="L38" s="466">
        <v>170001</v>
      </c>
    </row>
    <row r="39" spans="1:14">
      <c r="A39" s="1436" t="s">
        <v>199</v>
      </c>
      <c r="B39" s="614">
        <v>2140</v>
      </c>
      <c r="C39" s="466"/>
      <c r="D39" s="466"/>
      <c r="E39" s="466"/>
      <c r="F39" s="466"/>
      <c r="G39" s="466"/>
      <c r="H39" s="466"/>
      <c r="I39" s="467"/>
      <c r="J39" s="467"/>
      <c r="K39" s="1602">
        <f t="shared" si="2"/>
        <v>0</v>
      </c>
      <c r="L39" s="466">
        <v>0</v>
      </c>
    </row>
    <row r="40" spans="1:14">
      <c r="A40" s="1436" t="s">
        <v>200</v>
      </c>
      <c r="B40" s="614">
        <v>2150</v>
      </c>
      <c r="C40" s="466">
        <v>22772</v>
      </c>
      <c r="D40" s="466">
        <v>3436</v>
      </c>
      <c r="E40" s="466">
        <v>198882</v>
      </c>
      <c r="F40" s="466">
        <v>296</v>
      </c>
      <c r="G40" s="466"/>
      <c r="H40" s="466"/>
      <c r="I40" s="467"/>
      <c r="J40" s="467"/>
      <c r="K40" s="1602">
        <f t="shared" si="2"/>
        <v>225386</v>
      </c>
      <c r="L40" s="466">
        <v>208609</v>
      </c>
    </row>
    <row r="41" spans="1:14">
      <c r="A41" s="1436" t="s">
        <v>1642</v>
      </c>
      <c r="B41" s="614">
        <v>2190</v>
      </c>
      <c r="C41" s="466">
        <v>64485</v>
      </c>
      <c r="D41" s="466">
        <v>11195</v>
      </c>
      <c r="E41" s="466"/>
      <c r="F41" s="466"/>
      <c r="G41" s="466"/>
      <c r="H41" s="466"/>
      <c r="I41" s="467"/>
      <c r="J41" s="467"/>
      <c r="K41" s="1602">
        <f t="shared" si="2"/>
        <v>75680</v>
      </c>
      <c r="L41" s="466">
        <v>67875</v>
      </c>
    </row>
    <row r="42" spans="1:14" ht="12.95" customHeight="1" thickBot="1">
      <c r="A42" s="1599" t="s">
        <v>560</v>
      </c>
      <c r="B42" s="1600" t="s">
        <v>716</v>
      </c>
      <c r="C42" s="1601">
        <f>SUM(C36:C41)</f>
        <v>453550</v>
      </c>
      <c r="D42" s="1601">
        <f t="shared" ref="D42:L42" si="3">SUM(D36:D41)</f>
        <v>81933</v>
      </c>
      <c r="E42" s="1601">
        <f t="shared" si="3"/>
        <v>204107</v>
      </c>
      <c r="F42" s="1601">
        <f t="shared" si="3"/>
        <v>2204</v>
      </c>
      <c r="G42" s="1601">
        <f t="shared" si="3"/>
        <v>0</v>
      </c>
      <c r="H42" s="1601">
        <f t="shared" si="3"/>
        <v>0</v>
      </c>
      <c r="I42" s="1601">
        <f t="shared" si="3"/>
        <v>0</v>
      </c>
      <c r="J42" s="1601">
        <f t="shared" si="3"/>
        <v>0</v>
      </c>
      <c r="K42" s="1601">
        <f t="shared" si="3"/>
        <v>741794</v>
      </c>
      <c r="L42" s="1601">
        <f t="shared" si="3"/>
        <v>770724</v>
      </c>
    </row>
    <row r="43" spans="1:14" ht="15.75" customHeight="1" thickTop="1">
      <c r="A43" s="624" t="s">
        <v>592</v>
      </c>
      <c r="B43" s="625"/>
      <c r="C43" s="626"/>
      <c r="D43" s="626"/>
      <c r="E43" s="626"/>
      <c r="F43" s="626"/>
      <c r="G43" s="626"/>
      <c r="H43" s="626"/>
      <c r="I43" s="616"/>
      <c r="J43" s="616"/>
      <c r="K43" s="626"/>
      <c r="L43" s="626"/>
    </row>
    <row r="44" spans="1:14">
      <c r="A44" s="1436" t="s">
        <v>814</v>
      </c>
      <c r="B44" s="614">
        <v>2210</v>
      </c>
      <c r="C44" s="481">
        <v>94466</v>
      </c>
      <c r="D44" s="481">
        <v>10888</v>
      </c>
      <c r="E44" s="481">
        <v>141878</v>
      </c>
      <c r="F44" s="481">
        <v>106838</v>
      </c>
      <c r="G44" s="481">
        <v>43009</v>
      </c>
      <c r="H44" s="481"/>
      <c r="I44" s="467"/>
      <c r="J44" s="467"/>
      <c r="K44" s="1603">
        <f>SUM(C44:J44)</f>
        <v>397079</v>
      </c>
      <c r="L44" s="481">
        <v>521025</v>
      </c>
    </row>
    <row r="45" spans="1:14">
      <c r="A45" s="1436" t="s">
        <v>815</v>
      </c>
      <c r="B45" s="614">
        <v>2220</v>
      </c>
      <c r="C45" s="466">
        <v>73414</v>
      </c>
      <c r="D45" s="466">
        <v>4943</v>
      </c>
      <c r="E45" s="466">
        <v>4267</v>
      </c>
      <c r="F45" s="466">
        <v>10588</v>
      </c>
      <c r="G45" s="466"/>
      <c r="H45" s="466"/>
      <c r="I45" s="467"/>
      <c r="J45" s="467"/>
      <c r="K45" s="1603">
        <f>SUM(C45:J45)</f>
        <v>93212</v>
      </c>
      <c r="L45" s="466">
        <v>94737</v>
      </c>
    </row>
    <row r="46" spans="1:14">
      <c r="A46" s="1436" t="s">
        <v>816</v>
      </c>
      <c r="B46" s="614">
        <v>2230</v>
      </c>
      <c r="C46" s="466"/>
      <c r="D46" s="466"/>
      <c r="E46" s="466">
        <v>28034</v>
      </c>
      <c r="F46" s="466"/>
      <c r="G46" s="466"/>
      <c r="H46" s="466"/>
      <c r="I46" s="467"/>
      <c r="J46" s="467"/>
      <c r="K46" s="1603">
        <f>SUM(C46:J46)</f>
        <v>28034</v>
      </c>
      <c r="L46" s="466">
        <v>35000</v>
      </c>
    </row>
    <row r="47" spans="1:14" ht="12.95" customHeight="1" thickBot="1">
      <c r="A47" s="1599" t="s">
        <v>561</v>
      </c>
      <c r="B47" s="1600" t="s">
        <v>32</v>
      </c>
      <c r="C47" s="1601">
        <f>SUM(C44:C46)</f>
        <v>167880</v>
      </c>
      <c r="D47" s="1601">
        <f t="shared" ref="D47:K47" si="4">SUM(D44:D46)</f>
        <v>15831</v>
      </c>
      <c r="E47" s="1601">
        <f t="shared" si="4"/>
        <v>174179</v>
      </c>
      <c r="F47" s="1601">
        <f t="shared" si="4"/>
        <v>117426</v>
      </c>
      <c r="G47" s="1601">
        <f t="shared" si="4"/>
        <v>43009</v>
      </c>
      <c r="H47" s="1601">
        <f t="shared" si="4"/>
        <v>0</v>
      </c>
      <c r="I47" s="1601">
        <f t="shared" si="4"/>
        <v>0</v>
      </c>
      <c r="J47" s="1601">
        <f t="shared" si="4"/>
        <v>0</v>
      </c>
      <c r="K47" s="1601">
        <f t="shared" si="4"/>
        <v>518325</v>
      </c>
      <c r="L47" s="1601">
        <f>SUM(L44:L46)</f>
        <v>650762</v>
      </c>
    </row>
    <row r="48" spans="1:14" ht="15.75" customHeight="1" thickTop="1">
      <c r="A48" s="624" t="s">
        <v>610</v>
      </c>
      <c r="B48" s="625"/>
      <c r="C48" s="626"/>
      <c r="D48" s="626"/>
      <c r="E48" s="626"/>
      <c r="F48" s="626"/>
      <c r="G48" s="626"/>
      <c r="H48" s="626"/>
      <c r="I48" s="616"/>
      <c r="J48" s="616"/>
      <c r="K48" s="626"/>
      <c r="L48" s="626"/>
    </row>
    <row r="49" spans="1:14">
      <c r="A49" s="1436" t="s">
        <v>817</v>
      </c>
      <c r="B49" s="614">
        <v>2310</v>
      </c>
      <c r="C49" s="481"/>
      <c r="D49" s="481">
        <v>1291</v>
      </c>
      <c r="E49" s="481">
        <v>175751</v>
      </c>
      <c r="F49" s="481">
        <v>2954</v>
      </c>
      <c r="G49" s="481"/>
      <c r="H49" s="481"/>
      <c r="I49" s="467"/>
      <c r="J49" s="467"/>
      <c r="K49" s="1603">
        <f>SUM(C49:J49)</f>
        <v>179996</v>
      </c>
      <c r="L49" s="481">
        <v>156000</v>
      </c>
    </row>
    <row r="50" spans="1:14">
      <c r="A50" s="1436" t="s">
        <v>818</v>
      </c>
      <c r="B50" s="614">
        <v>2320</v>
      </c>
      <c r="C50" s="466">
        <v>59049</v>
      </c>
      <c r="D50" s="466">
        <v>23975</v>
      </c>
      <c r="E50" s="466">
        <v>13445</v>
      </c>
      <c r="F50" s="466">
        <v>21276</v>
      </c>
      <c r="G50" s="466"/>
      <c r="H50" s="466"/>
      <c r="I50" s="467"/>
      <c r="J50" s="467"/>
      <c r="K50" s="1603">
        <f>SUM(C50:J50)</f>
        <v>117745</v>
      </c>
      <c r="L50" s="466">
        <v>118750</v>
      </c>
    </row>
    <row r="51" spans="1:14">
      <c r="A51" s="1436" t="s">
        <v>42</v>
      </c>
      <c r="B51" s="614">
        <v>2330</v>
      </c>
      <c r="C51" s="466"/>
      <c r="D51" s="466"/>
      <c r="E51" s="466"/>
      <c r="F51" s="466"/>
      <c r="G51" s="466"/>
      <c r="H51" s="466"/>
      <c r="I51" s="467"/>
      <c r="J51" s="467"/>
      <c r="K51" s="1603">
        <f>SUM(C51:J51)</f>
        <v>0</v>
      </c>
      <c r="L51" s="466">
        <v>0</v>
      </c>
    </row>
    <row r="52" spans="1:14" ht="22.5">
      <c r="A52" s="1437" t="s">
        <v>298</v>
      </c>
      <c r="B52" s="627" t="s">
        <v>366</v>
      </c>
      <c r="C52" s="474"/>
      <c r="D52" s="474"/>
      <c r="E52" s="474"/>
      <c r="F52" s="474"/>
      <c r="G52" s="474"/>
      <c r="H52" s="474"/>
      <c r="I52" s="474"/>
      <c r="J52" s="474"/>
      <c r="K52" s="1603">
        <f>SUM(C52:J52)</f>
        <v>0</v>
      </c>
      <c r="L52" s="474">
        <v>0</v>
      </c>
    </row>
    <row r="53" spans="1:14" ht="12.95" customHeight="1" thickBot="1">
      <c r="A53" s="1599" t="s">
        <v>717</v>
      </c>
      <c r="B53" s="1600" t="s">
        <v>33</v>
      </c>
      <c r="C53" s="1601">
        <f>SUM(C49:C52)</f>
        <v>59049</v>
      </c>
      <c r="D53" s="1601">
        <f t="shared" ref="D53:L53" si="5">SUM(D49:D52)</f>
        <v>25266</v>
      </c>
      <c r="E53" s="1601">
        <f t="shared" si="5"/>
        <v>189196</v>
      </c>
      <c r="F53" s="1601">
        <f t="shared" si="5"/>
        <v>24230</v>
      </c>
      <c r="G53" s="1601">
        <f t="shared" si="5"/>
        <v>0</v>
      </c>
      <c r="H53" s="1601">
        <f t="shared" si="5"/>
        <v>0</v>
      </c>
      <c r="I53" s="1601">
        <f t="shared" si="5"/>
        <v>0</v>
      </c>
      <c r="J53" s="1601">
        <f t="shared" si="5"/>
        <v>0</v>
      </c>
      <c r="K53" s="1601">
        <f t="shared" si="5"/>
        <v>297741</v>
      </c>
      <c r="L53" s="1601">
        <f t="shared" si="5"/>
        <v>274750</v>
      </c>
    </row>
    <row r="54" spans="1:14" ht="15.75" customHeight="1" thickTop="1">
      <c r="A54" s="624" t="s">
        <v>611</v>
      </c>
      <c r="B54" s="625"/>
      <c r="C54" s="626"/>
      <c r="D54" s="626"/>
      <c r="E54" s="626"/>
      <c r="F54" s="626"/>
      <c r="G54" s="626"/>
      <c r="H54" s="626"/>
      <c r="I54" s="616"/>
      <c r="J54" s="616"/>
      <c r="K54" s="626"/>
      <c r="L54" s="626"/>
    </row>
    <row r="55" spans="1:14">
      <c r="A55" s="1436" t="s">
        <v>1067</v>
      </c>
      <c r="B55" s="614">
        <v>2410</v>
      </c>
      <c r="C55" s="481">
        <v>776582</v>
      </c>
      <c r="D55" s="481">
        <v>223609</v>
      </c>
      <c r="E55" s="481">
        <v>16222</v>
      </c>
      <c r="F55" s="481"/>
      <c r="G55" s="481"/>
      <c r="H55" s="481"/>
      <c r="I55" s="467"/>
      <c r="J55" s="467"/>
      <c r="K55" s="1603">
        <f>SUM(C55:J55)</f>
        <v>1016413</v>
      </c>
      <c r="L55" s="481">
        <v>1052716</v>
      </c>
    </row>
    <row r="56" spans="1:14" ht="12.95" customHeight="1">
      <c r="A56" s="1440" t="s">
        <v>376</v>
      </c>
      <c r="B56" s="628">
        <v>2490</v>
      </c>
      <c r="C56" s="466"/>
      <c r="D56" s="466"/>
      <c r="E56" s="466"/>
      <c r="F56" s="466"/>
      <c r="G56" s="466"/>
      <c r="H56" s="466"/>
      <c r="I56" s="467"/>
      <c r="J56" s="467"/>
      <c r="K56" s="1603">
        <f>SUM(C56:J56)</f>
        <v>0</v>
      </c>
      <c r="L56" s="466">
        <v>0</v>
      </c>
    </row>
    <row r="57" spans="1:14" s="343" customFormat="1" ht="12.95" customHeight="1" thickBot="1">
      <c r="A57" s="1599" t="s">
        <v>263</v>
      </c>
      <c r="B57" s="1604" t="s">
        <v>34</v>
      </c>
      <c r="C57" s="1605">
        <f>SUM(C55:C56)</f>
        <v>776582</v>
      </c>
      <c r="D57" s="1605">
        <f t="shared" ref="D57:K57" si="6">SUM(D55:D56)</f>
        <v>223609</v>
      </c>
      <c r="E57" s="1605">
        <f t="shared" si="6"/>
        <v>16222</v>
      </c>
      <c r="F57" s="1605">
        <f t="shared" si="6"/>
        <v>0</v>
      </c>
      <c r="G57" s="1605">
        <f t="shared" si="6"/>
        <v>0</v>
      </c>
      <c r="H57" s="1605">
        <f t="shared" si="6"/>
        <v>0</v>
      </c>
      <c r="I57" s="1605">
        <f t="shared" si="6"/>
        <v>0</v>
      </c>
      <c r="J57" s="1605">
        <f t="shared" si="6"/>
        <v>0</v>
      </c>
      <c r="K57" s="1605">
        <f t="shared" si="6"/>
        <v>1016413</v>
      </c>
      <c r="L57" s="1601">
        <f>SUM(L55:L56)</f>
        <v>1052716</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6" t="s">
        <v>1068</v>
      </c>
      <c r="B59" s="614">
        <v>2510</v>
      </c>
      <c r="C59" s="481"/>
      <c r="D59" s="481"/>
      <c r="E59" s="481"/>
      <c r="F59" s="481"/>
      <c r="G59" s="481"/>
      <c r="H59" s="481"/>
      <c r="I59" s="467"/>
      <c r="J59" s="467"/>
      <c r="K59" s="1603">
        <f t="shared" ref="K59:K64" si="7">SUM(C59:J59)</f>
        <v>0</v>
      </c>
      <c r="L59" s="481">
        <v>0</v>
      </c>
      <c r="M59" s="609"/>
      <c r="N59" s="609"/>
    </row>
    <row r="60" spans="1:14" s="343" customFormat="1">
      <c r="A60" s="1436" t="s">
        <v>463</v>
      </c>
      <c r="B60" s="614">
        <v>2520</v>
      </c>
      <c r="C60" s="466">
        <v>17280</v>
      </c>
      <c r="D60" s="466">
        <v>4439</v>
      </c>
      <c r="E60" s="466">
        <v>36145</v>
      </c>
      <c r="F60" s="466">
        <v>1520</v>
      </c>
      <c r="G60" s="466"/>
      <c r="H60" s="466"/>
      <c r="I60" s="467"/>
      <c r="J60" s="467"/>
      <c r="K60" s="1603">
        <f t="shared" si="7"/>
        <v>59384</v>
      </c>
      <c r="L60" s="466">
        <v>58661</v>
      </c>
      <c r="M60" s="609"/>
      <c r="N60" s="609"/>
    </row>
    <row r="61" spans="1:14" s="343" customFormat="1">
      <c r="A61" s="1436" t="s">
        <v>197</v>
      </c>
      <c r="B61" s="614">
        <v>2540</v>
      </c>
      <c r="C61" s="466"/>
      <c r="D61" s="466"/>
      <c r="E61" s="466"/>
      <c r="F61" s="466"/>
      <c r="G61" s="466"/>
      <c r="H61" s="466"/>
      <c r="I61" s="467"/>
      <c r="J61" s="467"/>
      <c r="K61" s="1603">
        <f t="shared" si="7"/>
        <v>0</v>
      </c>
      <c r="L61" s="466">
        <v>0</v>
      </c>
      <c r="M61" s="609"/>
      <c r="N61" s="609"/>
    </row>
    <row r="62" spans="1:14" s="343" customFormat="1">
      <c r="A62" s="1436" t="s">
        <v>953</v>
      </c>
      <c r="B62" s="614">
        <v>2550</v>
      </c>
      <c r="C62" s="466"/>
      <c r="D62" s="466"/>
      <c r="E62" s="466"/>
      <c r="F62" s="466"/>
      <c r="G62" s="466"/>
      <c r="H62" s="466"/>
      <c r="I62" s="467"/>
      <c r="J62" s="467"/>
      <c r="K62" s="1603">
        <f t="shared" si="7"/>
        <v>0</v>
      </c>
      <c r="L62" s="466">
        <v>0</v>
      </c>
      <c r="M62" s="609"/>
      <c r="N62" s="609"/>
    </row>
    <row r="63" spans="1:14" s="609" customFormat="1">
      <c r="A63" s="1436" t="s">
        <v>100</v>
      </c>
      <c r="B63" s="614">
        <v>2560</v>
      </c>
      <c r="C63" s="466">
        <v>105685</v>
      </c>
      <c r="D63" s="466">
        <v>17432</v>
      </c>
      <c r="E63" s="466">
        <v>33258</v>
      </c>
      <c r="F63" s="466">
        <v>275917</v>
      </c>
      <c r="G63" s="466"/>
      <c r="H63" s="466"/>
      <c r="I63" s="467"/>
      <c r="J63" s="467"/>
      <c r="K63" s="1603">
        <f t="shared" si="7"/>
        <v>432292</v>
      </c>
      <c r="L63" s="466">
        <v>450284</v>
      </c>
    </row>
    <row r="64" spans="1:14" s="609" customFormat="1">
      <c r="A64" s="1441" t="s">
        <v>101</v>
      </c>
      <c r="B64" s="630">
        <v>2570</v>
      </c>
      <c r="C64" s="481"/>
      <c r="D64" s="481"/>
      <c r="E64" s="481"/>
      <c r="F64" s="481"/>
      <c r="G64" s="481"/>
      <c r="H64" s="481"/>
      <c r="I64" s="467"/>
      <c r="J64" s="467"/>
      <c r="K64" s="1603">
        <f t="shared" si="7"/>
        <v>0</v>
      </c>
      <c r="L64" s="481">
        <v>0</v>
      </c>
    </row>
    <row r="65" spans="1:14" s="343" customFormat="1" ht="12.95" customHeight="1" thickBot="1">
      <c r="A65" s="1599" t="s">
        <v>719</v>
      </c>
      <c r="B65" s="1600" t="s">
        <v>35</v>
      </c>
      <c r="C65" s="1601">
        <f>SUM(C59:C64)</f>
        <v>122965</v>
      </c>
      <c r="D65" s="1601">
        <f t="shared" ref="D65:L65" si="8">SUM(D59:D64)</f>
        <v>21871</v>
      </c>
      <c r="E65" s="1601">
        <f t="shared" si="8"/>
        <v>69403</v>
      </c>
      <c r="F65" s="1601">
        <f t="shared" si="8"/>
        <v>277437</v>
      </c>
      <c r="G65" s="1601">
        <f t="shared" si="8"/>
        <v>0</v>
      </c>
      <c r="H65" s="1601">
        <f t="shared" si="8"/>
        <v>0</v>
      </c>
      <c r="I65" s="1601">
        <f t="shared" si="8"/>
        <v>0</v>
      </c>
      <c r="J65" s="1601">
        <f t="shared" si="8"/>
        <v>0</v>
      </c>
      <c r="K65" s="1601">
        <f t="shared" si="8"/>
        <v>491676</v>
      </c>
      <c r="L65" s="1601">
        <f t="shared" si="8"/>
        <v>508945</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6" t="s">
        <v>1060</v>
      </c>
      <c r="B67" s="614">
        <v>2610</v>
      </c>
      <c r="C67" s="466"/>
      <c r="D67" s="466"/>
      <c r="E67" s="466"/>
      <c r="F67" s="466"/>
      <c r="G67" s="466"/>
      <c r="H67" s="466"/>
      <c r="I67" s="467"/>
      <c r="J67" s="467"/>
      <c r="K67" s="1603">
        <f>SUM(C67:J67)</f>
        <v>0</v>
      </c>
      <c r="L67" s="481">
        <v>0</v>
      </c>
      <c r="M67" s="609"/>
      <c r="N67" s="609"/>
    </row>
    <row r="68" spans="1:14" s="343" customFormat="1">
      <c r="A68" s="1436" t="s">
        <v>607</v>
      </c>
      <c r="B68" s="614">
        <v>2620</v>
      </c>
      <c r="C68" s="466"/>
      <c r="D68" s="466"/>
      <c r="E68" s="466"/>
      <c r="F68" s="466"/>
      <c r="G68" s="466"/>
      <c r="H68" s="466"/>
      <c r="I68" s="467"/>
      <c r="J68" s="467"/>
      <c r="K68" s="1603">
        <f>SUM(C68:J68)</f>
        <v>0</v>
      </c>
      <c r="L68" s="466">
        <v>0</v>
      </c>
      <c r="M68" s="609"/>
      <c r="N68" s="609"/>
    </row>
    <row r="69" spans="1:14" s="343" customFormat="1">
      <c r="A69" s="1436" t="s">
        <v>1061</v>
      </c>
      <c r="B69" s="614">
        <v>2630</v>
      </c>
      <c r="C69" s="466"/>
      <c r="D69" s="466"/>
      <c r="E69" s="466"/>
      <c r="F69" s="466"/>
      <c r="G69" s="466"/>
      <c r="H69" s="466"/>
      <c r="I69" s="467"/>
      <c r="J69" s="467"/>
      <c r="K69" s="1603">
        <f>SUM(C69:J69)</f>
        <v>0</v>
      </c>
      <c r="L69" s="466">
        <v>0</v>
      </c>
      <c r="M69" s="609"/>
      <c r="N69" s="609"/>
    </row>
    <row r="70" spans="1:14" s="343" customFormat="1">
      <c r="A70" s="1436" t="s">
        <v>403</v>
      </c>
      <c r="B70" s="614">
        <v>2640</v>
      </c>
      <c r="C70" s="466"/>
      <c r="D70" s="466"/>
      <c r="E70" s="466"/>
      <c r="F70" s="466"/>
      <c r="G70" s="466"/>
      <c r="H70" s="466"/>
      <c r="I70" s="467"/>
      <c r="J70" s="467"/>
      <c r="K70" s="1603">
        <f>SUM(C70:J70)</f>
        <v>0</v>
      </c>
      <c r="L70" s="466">
        <v>0</v>
      </c>
      <c r="M70" s="609"/>
      <c r="N70" s="609"/>
    </row>
    <row r="71" spans="1:14" s="343" customFormat="1">
      <c r="A71" s="1436" t="s">
        <v>404</v>
      </c>
      <c r="B71" s="614">
        <v>2660</v>
      </c>
      <c r="C71" s="466"/>
      <c r="D71" s="466"/>
      <c r="E71" s="466"/>
      <c r="F71" s="466"/>
      <c r="G71" s="466"/>
      <c r="H71" s="466"/>
      <c r="I71" s="467"/>
      <c r="J71" s="467"/>
      <c r="K71" s="1603">
        <f>SUM(C71:J71)</f>
        <v>0</v>
      </c>
      <c r="L71" s="466">
        <v>0</v>
      </c>
      <c r="M71" s="609"/>
      <c r="N71" s="609"/>
    </row>
    <row r="72" spans="1:14" s="343" customFormat="1" ht="12.95" customHeight="1" thickBot="1">
      <c r="A72" s="1599" t="s">
        <v>37</v>
      </c>
      <c r="B72" s="1606" t="s">
        <v>36</v>
      </c>
      <c r="C72" s="1601">
        <f>SUM(C67:C71)</f>
        <v>0</v>
      </c>
      <c r="D72" s="1601">
        <f t="shared" ref="D72:K72" si="9">SUM(D67:D71)</f>
        <v>0</v>
      </c>
      <c r="E72" s="1601">
        <f t="shared" si="9"/>
        <v>0</v>
      </c>
      <c r="F72" s="1601">
        <f t="shared" si="9"/>
        <v>0</v>
      </c>
      <c r="G72" s="1601">
        <f t="shared" si="9"/>
        <v>0</v>
      </c>
      <c r="H72" s="1601">
        <f t="shared" si="9"/>
        <v>0</v>
      </c>
      <c r="I72" s="1601">
        <f t="shared" si="9"/>
        <v>0</v>
      </c>
      <c r="J72" s="1601">
        <f t="shared" si="9"/>
        <v>0</v>
      </c>
      <c r="K72" s="1601">
        <f t="shared" si="9"/>
        <v>0</v>
      </c>
      <c r="L72" s="1601">
        <f>SUM(L67:L71)</f>
        <v>0</v>
      </c>
      <c r="M72" s="609"/>
      <c r="N72" s="609"/>
    </row>
    <row r="73" spans="1:14" s="343" customFormat="1" ht="14.25" thickTop="1" thickBot="1">
      <c r="A73" s="1442" t="s">
        <v>980</v>
      </c>
      <c r="B73" s="632" t="s">
        <v>574</v>
      </c>
      <c r="C73" s="573"/>
      <c r="D73" s="573"/>
      <c r="E73" s="573"/>
      <c r="F73" s="573"/>
      <c r="G73" s="573"/>
      <c r="H73" s="573"/>
      <c r="I73" s="531"/>
      <c r="J73" s="531"/>
      <c r="K73" s="1601">
        <f>SUM(C73:J73)</f>
        <v>0</v>
      </c>
      <c r="L73" s="576">
        <v>0</v>
      </c>
      <c r="M73" s="609"/>
      <c r="N73" s="609"/>
    </row>
    <row r="74" spans="1:14" ht="12.95" customHeight="1" thickTop="1" thickBot="1">
      <c r="A74" s="1599" t="s">
        <v>811</v>
      </c>
      <c r="B74" s="1607">
        <v>2000</v>
      </c>
      <c r="C74" s="1608">
        <f>SUM(C42,C47,C53,C57,C65,C72,C73)</f>
        <v>1580026</v>
      </c>
      <c r="D74" s="1608">
        <f t="shared" ref="D74:K74" si="10">SUM(D42,D47,D53,D57,D65,D72,D73)</f>
        <v>368510</v>
      </c>
      <c r="E74" s="1608">
        <f t="shared" si="10"/>
        <v>653107</v>
      </c>
      <c r="F74" s="1608">
        <f t="shared" si="10"/>
        <v>421297</v>
      </c>
      <c r="G74" s="1608">
        <f t="shared" si="10"/>
        <v>43009</v>
      </c>
      <c r="H74" s="1608">
        <f t="shared" si="10"/>
        <v>0</v>
      </c>
      <c r="I74" s="1608">
        <f t="shared" si="10"/>
        <v>0</v>
      </c>
      <c r="J74" s="1608">
        <f t="shared" si="10"/>
        <v>0</v>
      </c>
      <c r="K74" s="1608">
        <f t="shared" si="10"/>
        <v>3065949</v>
      </c>
      <c r="L74" s="1608">
        <f>SUM(L42,L47,L53,L57,L65,L72,L73)</f>
        <v>3257897</v>
      </c>
    </row>
    <row r="75" spans="1:14" s="259" customFormat="1" ht="15.75" customHeight="1" thickTop="1" thickBot="1">
      <c r="A75" s="1542" t="s">
        <v>47</v>
      </c>
      <c r="B75" s="1543" t="s">
        <v>575</v>
      </c>
      <c r="C75" s="573"/>
      <c r="D75" s="573"/>
      <c r="E75" s="573">
        <v>990</v>
      </c>
      <c r="F75" s="573">
        <v>1392</v>
      </c>
      <c r="G75" s="573"/>
      <c r="H75" s="573"/>
      <c r="I75" s="531"/>
      <c r="J75" s="531"/>
      <c r="K75" s="1601">
        <f>SUM(C75:J75)</f>
        <v>2382</v>
      </c>
      <c r="L75" s="576">
        <v>2382</v>
      </c>
      <c r="M75" s="613"/>
      <c r="N75" s="613"/>
    </row>
    <row r="76" spans="1:14" s="633" customFormat="1" ht="15.75" customHeight="1" thickTop="1">
      <c r="A76" s="1544" t="s">
        <v>365</v>
      </c>
      <c r="B76" s="1541"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6" t="s">
        <v>496</v>
      </c>
      <c r="B78" s="614">
        <v>4110</v>
      </c>
      <c r="C78" s="616"/>
      <c r="D78" s="616"/>
      <c r="E78" s="481"/>
      <c r="F78" s="616"/>
      <c r="G78" s="616"/>
      <c r="H78" s="634"/>
      <c r="I78" s="477"/>
      <c r="J78" s="477"/>
      <c r="K78" s="1602">
        <f t="shared" ref="K78:K83" si="11">SUM(C78:J78)</f>
        <v>0</v>
      </c>
      <c r="L78" s="481">
        <v>0</v>
      </c>
    </row>
    <row r="79" spans="1:14">
      <c r="A79" s="1436" t="s">
        <v>304</v>
      </c>
      <c r="B79" s="614">
        <v>4120</v>
      </c>
      <c r="C79" s="616"/>
      <c r="D79" s="616"/>
      <c r="E79" s="466"/>
      <c r="F79" s="616"/>
      <c r="G79" s="616"/>
      <c r="H79" s="466"/>
      <c r="I79" s="477"/>
      <c r="J79" s="477"/>
      <c r="K79" s="1602">
        <f t="shared" si="11"/>
        <v>0</v>
      </c>
      <c r="L79" s="466">
        <v>0</v>
      </c>
    </row>
    <row r="80" spans="1:14">
      <c r="A80" s="1436" t="s">
        <v>305</v>
      </c>
      <c r="B80" s="614">
        <v>4130</v>
      </c>
      <c r="C80" s="616"/>
      <c r="D80" s="616"/>
      <c r="E80" s="466"/>
      <c r="F80" s="616"/>
      <c r="G80" s="616"/>
      <c r="H80" s="466"/>
      <c r="I80" s="477"/>
      <c r="J80" s="477"/>
      <c r="K80" s="1602">
        <f t="shared" si="11"/>
        <v>0</v>
      </c>
      <c r="L80" s="466">
        <v>0</v>
      </c>
    </row>
    <row r="81" spans="1:12">
      <c r="A81" s="1436" t="s">
        <v>697</v>
      </c>
      <c r="B81" s="614">
        <v>4140</v>
      </c>
      <c r="C81" s="616"/>
      <c r="D81" s="616"/>
      <c r="E81" s="466"/>
      <c r="F81" s="616"/>
      <c r="G81" s="616"/>
      <c r="H81" s="466"/>
      <c r="I81" s="477"/>
      <c r="J81" s="477"/>
      <c r="K81" s="1602">
        <f t="shared" si="11"/>
        <v>0</v>
      </c>
      <c r="L81" s="466">
        <v>0</v>
      </c>
    </row>
    <row r="82" spans="1:12">
      <c r="A82" s="1436" t="s">
        <v>86</v>
      </c>
      <c r="B82" s="614">
        <v>4170</v>
      </c>
      <c r="C82" s="616"/>
      <c r="D82" s="616"/>
      <c r="E82" s="466"/>
      <c r="F82" s="616"/>
      <c r="G82" s="616"/>
      <c r="H82" s="466"/>
      <c r="I82" s="477"/>
      <c r="J82" s="477"/>
      <c r="K82" s="1602">
        <f t="shared" si="11"/>
        <v>0</v>
      </c>
      <c r="L82" s="466">
        <v>0</v>
      </c>
    </row>
    <row r="83" spans="1:12">
      <c r="A83" s="1440" t="s">
        <v>698</v>
      </c>
      <c r="B83" s="628">
        <v>4190</v>
      </c>
      <c r="C83" s="616"/>
      <c r="D83" s="616"/>
      <c r="E83" s="466"/>
      <c r="F83" s="616"/>
      <c r="G83" s="616"/>
      <c r="H83" s="466"/>
      <c r="I83" s="477"/>
      <c r="J83" s="477"/>
      <c r="K83" s="1602">
        <f t="shared" si="11"/>
        <v>0</v>
      </c>
      <c r="L83" s="466">
        <v>0</v>
      </c>
    </row>
    <row r="84" spans="1:12" ht="13.5" thickBot="1">
      <c r="A84" s="1599" t="s">
        <v>1464</v>
      </c>
      <c r="B84" s="1609">
        <v>4100</v>
      </c>
      <c r="C84" s="616"/>
      <c r="D84" s="616"/>
      <c r="E84" s="1601">
        <f>SUM(E78:E83)</f>
        <v>0</v>
      </c>
      <c r="F84" s="616"/>
      <c r="G84" s="616"/>
      <c r="H84" s="1601">
        <f>SUM(H78:H83)</f>
        <v>0</v>
      </c>
      <c r="I84" s="477"/>
      <c r="J84" s="477"/>
      <c r="K84" s="1601">
        <f>SUM(K78:K83)</f>
        <v>0</v>
      </c>
      <c r="L84" s="1601">
        <f>SUM(L78:L83)</f>
        <v>0</v>
      </c>
    </row>
    <row r="85" spans="1:12" ht="12.95" customHeight="1" thickTop="1" thickBot="1">
      <c r="A85" s="1443" t="s">
        <v>255</v>
      </c>
      <c r="B85" s="635">
        <v>4210</v>
      </c>
      <c r="C85" s="616"/>
      <c r="D85" s="616"/>
      <c r="E85" s="636"/>
      <c r="F85" s="616"/>
      <c r="G85" s="616"/>
      <c r="H85" s="535"/>
      <c r="I85" s="477"/>
      <c r="J85" s="477"/>
      <c r="K85" s="1608">
        <f>H85</f>
        <v>0</v>
      </c>
      <c r="L85" s="530">
        <v>0</v>
      </c>
    </row>
    <row r="86" spans="1:12" ht="12.95" customHeight="1" thickTop="1" thickBot="1">
      <c r="A86" s="1444" t="s">
        <v>699</v>
      </c>
      <c r="B86" s="637">
        <v>4220</v>
      </c>
      <c r="C86" s="616"/>
      <c r="D86" s="616"/>
      <c r="E86" s="638"/>
      <c r="F86" s="616"/>
      <c r="G86" s="616"/>
      <c r="H86" s="467">
        <v>605380</v>
      </c>
      <c r="I86" s="477"/>
      <c r="J86" s="477"/>
      <c r="K86" s="1608">
        <f t="shared" ref="K86:K98" si="12">H86</f>
        <v>605380</v>
      </c>
      <c r="L86" s="530">
        <v>589700</v>
      </c>
    </row>
    <row r="87" spans="1:12" ht="14.25" thickTop="1" thickBot="1">
      <c r="A87" s="1445" t="s">
        <v>700</v>
      </c>
      <c r="B87" s="639">
        <v>4230</v>
      </c>
      <c r="C87" s="616"/>
      <c r="D87" s="616"/>
      <c r="E87" s="638"/>
      <c r="F87" s="616"/>
      <c r="G87" s="616"/>
      <c r="H87" s="467"/>
      <c r="I87" s="477"/>
      <c r="J87" s="477"/>
      <c r="K87" s="1608">
        <f t="shared" si="12"/>
        <v>0</v>
      </c>
      <c r="L87" s="530">
        <v>0</v>
      </c>
    </row>
    <row r="88" spans="1:12" ht="12.95" customHeight="1" thickTop="1" thickBot="1">
      <c r="A88" s="1445" t="s">
        <v>765</v>
      </c>
      <c r="B88" s="639">
        <v>4240</v>
      </c>
      <c r="C88" s="616"/>
      <c r="D88" s="616"/>
      <c r="E88" s="638"/>
      <c r="F88" s="616"/>
      <c r="G88" s="616"/>
      <c r="H88" s="467"/>
      <c r="I88" s="477"/>
      <c r="J88" s="477"/>
      <c r="K88" s="1608">
        <f t="shared" si="12"/>
        <v>0</v>
      </c>
      <c r="L88" s="530">
        <v>0</v>
      </c>
    </row>
    <row r="89" spans="1:12" ht="12.95" customHeight="1" thickTop="1" thickBot="1">
      <c r="A89" s="1445" t="s">
        <v>701</v>
      </c>
      <c r="B89" s="639">
        <v>4270</v>
      </c>
      <c r="C89" s="616"/>
      <c r="D89" s="616"/>
      <c r="E89" s="638"/>
      <c r="F89" s="616"/>
      <c r="G89" s="616"/>
      <c r="H89" s="467"/>
      <c r="I89" s="477"/>
      <c r="J89" s="477"/>
      <c r="K89" s="1608">
        <f t="shared" si="12"/>
        <v>0</v>
      </c>
      <c r="L89" s="530">
        <v>0</v>
      </c>
    </row>
    <row r="90" spans="1:12" ht="12.95" customHeight="1" thickTop="1" thickBot="1">
      <c r="A90" s="1445" t="s">
        <v>686</v>
      </c>
      <c r="B90" s="639">
        <v>4280</v>
      </c>
      <c r="C90" s="616"/>
      <c r="D90" s="616"/>
      <c r="E90" s="638"/>
      <c r="F90" s="616"/>
      <c r="G90" s="616"/>
      <c r="H90" s="467"/>
      <c r="I90" s="477"/>
      <c r="J90" s="477"/>
      <c r="K90" s="1608">
        <f t="shared" si="12"/>
        <v>0</v>
      </c>
      <c r="L90" s="530">
        <v>0</v>
      </c>
    </row>
    <row r="91" spans="1:12" ht="12.95" customHeight="1" thickTop="1" thickBot="1">
      <c r="A91" s="1445" t="s">
        <v>687</v>
      </c>
      <c r="B91" s="639">
        <v>4290</v>
      </c>
      <c r="C91" s="616"/>
      <c r="D91" s="616"/>
      <c r="E91" s="638"/>
      <c r="F91" s="616"/>
      <c r="G91" s="616"/>
      <c r="H91" s="467"/>
      <c r="I91" s="477"/>
      <c r="J91" s="477"/>
      <c r="K91" s="1608">
        <f t="shared" si="12"/>
        <v>0</v>
      </c>
      <c r="L91" s="530">
        <v>0</v>
      </c>
    </row>
    <row r="92" spans="1:12" ht="14.25" thickTop="1" thickBot="1">
      <c r="A92" s="1611" t="s">
        <v>1539</v>
      </c>
      <c r="B92" s="1609">
        <v>4200</v>
      </c>
      <c r="C92" s="616"/>
      <c r="D92" s="616"/>
      <c r="E92" s="638"/>
      <c r="F92" s="616"/>
      <c r="G92" s="616"/>
      <c r="H92" s="1601">
        <f>SUM(H85:H91)</f>
        <v>605380</v>
      </c>
      <c r="I92" s="477"/>
      <c r="J92" s="477"/>
      <c r="K92" s="1608">
        <f t="shared" si="12"/>
        <v>605380</v>
      </c>
      <c r="L92" s="1601">
        <f>SUM(L85:L91)</f>
        <v>589700</v>
      </c>
    </row>
    <row r="93" spans="1:12" ht="14.25" thickTop="1" thickBot="1">
      <c r="A93" s="1444" t="s">
        <v>688</v>
      </c>
      <c r="B93" s="640">
        <v>4310</v>
      </c>
      <c r="C93" s="616"/>
      <c r="D93" s="616"/>
      <c r="E93" s="638"/>
      <c r="F93" s="616"/>
      <c r="G93" s="616"/>
      <c r="H93" s="641"/>
      <c r="I93" s="477"/>
      <c r="J93" s="477"/>
      <c r="K93" s="1608">
        <f t="shared" si="12"/>
        <v>0</v>
      </c>
      <c r="L93" s="532"/>
    </row>
    <row r="94" spans="1:12" ht="12.95" customHeight="1" thickTop="1" thickBot="1">
      <c r="A94" s="1445" t="s">
        <v>689</v>
      </c>
      <c r="B94" s="639">
        <v>4320</v>
      </c>
      <c r="C94" s="616"/>
      <c r="D94" s="616"/>
      <c r="E94" s="638"/>
      <c r="F94" s="616"/>
      <c r="G94" s="616"/>
      <c r="H94" s="467">
        <v>187546</v>
      </c>
      <c r="I94" s="477"/>
      <c r="J94" s="477"/>
      <c r="K94" s="1608">
        <f t="shared" si="12"/>
        <v>187546</v>
      </c>
      <c r="L94" s="530">
        <v>187546</v>
      </c>
    </row>
    <row r="95" spans="1:12" ht="15" customHeight="1" thickTop="1" thickBot="1">
      <c r="A95" s="1445" t="s">
        <v>1467</v>
      </c>
      <c r="B95" s="639">
        <v>4330</v>
      </c>
      <c r="C95" s="616"/>
      <c r="D95" s="616"/>
      <c r="E95" s="638"/>
      <c r="F95" s="616"/>
      <c r="G95" s="616"/>
      <c r="H95" s="467"/>
      <c r="I95" s="477"/>
      <c r="J95" s="477"/>
      <c r="K95" s="1608">
        <f t="shared" si="12"/>
        <v>0</v>
      </c>
      <c r="L95" s="530">
        <v>0</v>
      </c>
    </row>
    <row r="96" spans="1:12" ht="14.25" thickTop="1" thickBot="1">
      <c r="A96" s="1445" t="s">
        <v>690</v>
      </c>
      <c r="B96" s="639">
        <v>4340</v>
      </c>
      <c r="C96" s="616"/>
      <c r="D96" s="616"/>
      <c r="E96" s="638"/>
      <c r="F96" s="616"/>
      <c r="G96" s="616"/>
      <c r="H96" s="467"/>
      <c r="I96" s="477"/>
      <c r="J96" s="477"/>
      <c r="K96" s="1608">
        <f t="shared" si="12"/>
        <v>0</v>
      </c>
      <c r="L96" s="530">
        <v>0</v>
      </c>
    </row>
    <row r="97" spans="1:14" ht="12.95" customHeight="1" thickTop="1" thickBot="1">
      <c r="A97" s="1445" t="s">
        <v>763</v>
      </c>
      <c r="B97" s="639">
        <v>4370</v>
      </c>
      <c r="C97" s="616"/>
      <c r="D97" s="616"/>
      <c r="E97" s="638"/>
      <c r="F97" s="616"/>
      <c r="G97" s="616"/>
      <c r="H97" s="467"/>
      <c r="I97" s="477"/>
      <c r="J97" s="477"/>
      <c r="K97" s="1608">
        <f t="shared" si="12"/>
        <v>0</v>
      </c>
      <c r="L97" s="530">
        <v>0</v>
      </c>
    </row>
    <row r="98" spans="1:14" ht="14.25" thickTop="1" thickBot="1">
      <c r="A98" s="1445" t="s">
        <v>764</v>
      </c>
      <c r="B98" s="639">
        <v>4380</v>
      </c>
      <c r="C98" s="616"/>
      <c r="D98" s="616"/>
      <c r="E98" s="642"/>
      <c r="F98" s="616"/>
      <c r="G98" s="616"/>
      <c r="H98" s="467"/>
      <c r="I98" s="477"/>
      <c r="J98" s="477"/>
      <c r="K98" s="1608">
        <f t="shared" si="12"/>
        <v>0</v>
      </c>
      <c r="L98" s="530">
        <v>0</v>
      </c>
    </row>
    <row r="99" spans="1:14" ht="14.25" thickTop="1" thickBot="1">
      <c r="A99" s="1445" t="s">
        <v>367</v>
      </c>
      <c r="B99" s="639">
        <v>4390</v>
      </c>
      <c r="C99" s="616"/>
      <c r="D99" s="616"/>
      <c r="E99" s="532"/>
      <c r="F99" s="616"/>
      <c r="G99" s="616"/>
      <c r="H99" s="467"/>
      <c r="I99" s="477"/>
      <c r="J99" s="477"/>
      <c r="K99" s="1608">
        <f>SUM(E99,H99)</f>
        <v>0</v>
      </c>
      <c r="L99" s="530">
        <v>0</v>
      </c>
    </row>
    <row r="100" spans="1:14" ht="14.25" thickTop="1" thickBot="1">
      <c r="A100" s="1611" t="s">
        <v>1465</v>
      </c>
      <c r="B100" s="1612">
        <v>4300</v>
      </c>
      <c r="C100" s="616"/>
      <c r="D100" s="616"/>
      <c r="E100" s="1608">
        <f>SUM(E93:E99)</f>
        <v>0</v>
      </c>
      <c r="F100" s="616"/>
      <c r="G100" s="616"/>
      <c r="H100" s="1608">
        <f>SUM(H93:H99)</f>
        <v>187546</v>
      </c>
      <c r="I100" s="477"/>
      <c r="J100" s="477"/>
      <c r="K100" s="1608">
        <f>SUM(K93:K99)</f>
        <v>187546</v>
      </c>
      <c r="L100" s="1608">
        <f>SUM(L93:L99)</f>
        <v>187546</v>
      </c>
    </row>
    <row r="101" spans="1:14" ht="12.95" customHeight="1" thickTop="1" thickBot="1">
      <c r="A101" s="1442" t="s">
        <v>1468</v>
      </c>
      <c r="B101" s="643" t="s">
        <v>931</v>
      </c>
      <c r="C101" s="616"/>
      <c r="D101" s="616"/>
      <c r="E101" s="531"/>
      <c r="F101" s="616"/>
      <c r="G101" s="616"/>
      <c r="H101" s="531"/>
      <c r="I101" s="477"/>
      <c r="J101" s="477"/>
      <c r="K101" s="1610">
        <f>SUM(C101:J101)</f>
        <v>0</v>
      </c>
      <c r="L101" s="530"/>
    </row>
    <row r="102" spans="1:14" ht="12.95" customHeight="1" thickTop="1" thickBot="1">
      <c r="A102" s="1599" t="s">
        <v>1466</v>
      </c>
      <c r="B102" s="1609">
        <v>4000</v>
      </c>
      <c r="C102" s="616"/>
      <c r="D102" s="616"/>
      <c r="E102" s="1608">
        <f>SUM(E84,E92,E100,E101)</f>
        <v>0</v>
      </c>
      <c r="F102" s="616"/>
      <c r="G102" s="616"/>
      <c r="H102" s="1608">
        <f>SUM(H84,H92,H100,H101)</f>
        <v>792926</v>
      </c>
      <c r="I102" s="477"/>
      <c r="J102" s="477"/>
      <c r="K102" s="1608">
        <f>SUM(K84,K92,K100,K101)</f>
        <v>792926</v>
      </c>
      <c r="L102" s="1608">
        <f>SUM(L84,L92,L100,L101)</f>
        <v>777246</v>
      </c>
    </row>
    <row r="103" spans="1:14" s="633" customFormat="1" ht="15.75" customHeight="1" thickTop="1">
      <c r="A103" s="1544" t="s">
        <v>513</v>
      </c>
      <c r="B103" s="1541"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6" t="s">
        <v>87</v>
      </c>
      <c r="B105" s="614">
        <v>5110</v>
      </c>
      <c r="C105" s="616"/>
      <c r="D105" s="616"/>
      <c r="E105" s="616"/>
      <c r="F105" s="616"/>
      <c r="G105" s="616"/>
      <c r="H105" s="481"/>
      <c r="I105" s="468"/>
      <c r="J105" s="468"/>
      <c r="K105" s="1602">
        <f>H105</f>
        <v>0</v>
      </c>
      <c r="L105" s="481">
        <v>0</v>
      </c>
      <c r="M105" s="210"/>
      <c r="N105" s="210"/>
    </row>
    <row r="106" spans="1:14" s="597" customFormat="1">
      <c r="A106" s="1436" t="s">
        <v>88</v>
      </c>
      <c r="B106" s="614">
        <v>5120</v>
      </c>
      <c r="C106" s="616"/>
      <c r="D106" s="616"/>
      <c r="E106" s="616"/>
      <c r="F106" s="616"/>
      <c r="G106" s="616"/>
      <c r="H106" s="466"/>
      <c r="I106" s="468"/>
      <c r="J106" s="468"/>
      <c r="K106" s="1602">
        <f>H106</f>
        <v>0</v>
      </c>
      <c r="L106" s="466">
        <v>0</v>
      </c>
      <c r="M106" s="210"/>
      <c r="N106" s="210"/>
    </row>
    <row r="107" spans="1:14" s="597" customFormat="1" ht="12.95" customHeight="1">
      <c r="A107" s="1436" t="s">
        <v>1170</v>
      </c>
      <c r="B107" s="614">
        <v>5130</v>
      </c>
      <c r="C107" s="616"/>
      <c r="D107" s="616"/>
      <c r="E107" s="616"/>
      <c r="F107" s="616"/>
      <c r="G107" s="616"/>
      <c r="H107" s="466"/>
      <c r="I107" s="468"/>
      <c r="J107" s="468"/>
      <c r="K107" s="1602">
        <f>H107</f>
        <v>0</v>
      </c>
      <c r="L107" s="466">
        <v>0</v>
      </c>
      <c r="M107" s="210"/>
      <c r="N107" s="210"/>
    </row>
    <row r="108" spans="1:14" s="597" customFormat="1">
      <c r="A108" s="1436" t="s">
        <v>89</v>
      </c>
      <c r="B108" s="614" t="s">
        <v>589</v>
      </c>
      <c r="C108" s="616"/>
      <c r="D108" s="616"/>
      <c r="E108" s="616"/>
      <c r="F108" s="616"/>
      <c r="G108" s="616"/>
      <c r="H108" s="466"/>
      <c r="I108" s="468"/>
      <c r="J108" s="468"/>
      <c r="K108" s="1602">
        <f>H108</f>
        <v>0</v>
      </c>
      <c r="L108" s="466">
        <v>0</v>
      </c>
      <c r="M108" s="210"/>
      <c r="N108" s="210"/>
    </row>
    <row r="109" spans="1:14" s="597" customFormat="1">
      <c r="A109" s="1436" t="s">
        <v>254</v>
      </c>
      <c r="B109" s="628">
        <v>5150</v>
      </c>
      <c r="C109" s="616"/>
      <c r="D109" s="616"/>
      <c r="E109" s="616"/>
      <c r="F109" s="616"/>
      <c r="G109" s="616"/>
      <c r="H109" s="466"/>
      <c r="I109" s="468"/>
      <c r="J109" s="468"/>
      <c r="K109" s="1602">
        <f>H109</f>
        <v>0</v>
      </c>
      <c r="L109" s="466">
        <v>0</v>
      </c>
      <c r="M109" s="210"/>
      <c r="N109" s="210"/>
    </row>
    <row r="110" spans="1:14" s="597" customFormat="1" ht="12.95" customHeight="1" thickBot="1">
      <c r="A110" s="1599" t="s">
        <v>1102</v>
      </c>
      <c r="B110" s="1606" t="s">
        <v>718</v>
      </c>
      <c r="C110" s="616"/>
      <c r="D110" s="616"/>
      <c r="E110" s="616"/>
      <c r="F110" s="616"/>
      <c r="G110" s="616"/>
      <c r="H110" s="1601">
        <f>SUM(H105:H109)</f>
        <v>0</v>
      </c>
      <c r="I110" s="468"/>
      <c r="J110" s="468"/>
      <c r="K110" s="1601">
        <f>SUM(K105:K109)</f>
        <v>0</v>
      </c>
      <c r="L110" s="1601">
        <f>SUM(L105:L109)</f>
        <v>0</v>
      </c>
      <c r="M110" s="210"/>
      <c r="N110" s="210"/>
    </row>
    <row r="111" spans="1:14" s="597" customFormat="1" ht="12.95" customHeight="1" thickTop="1" thickBot="1">
      <c r="A111" s="1446" t="s">
        <v>368</v>
      </c>
      <c r="B111" s="647" t="s">
        <v>38</v>
      </c>
      <c r="C111" s="616"/>
      <c r="D111" s="616"/>
      <c r="E111" s="616"/>
      <c r="F111" s="616"/>
      <c r="G111" s="616"/>
      <c r="H111" s="535"/>
      <c r="I111" s="468"/>
      <c r="J111" s="468"/>
      <c r="K111" s="1614">
        <f>H111</f>
        <v>0</v>
      </c>
      <c r="L111" s="532">
        <v>0</v>
      </c>
      <c r="M111" s="210"/>
      <c r="N111" s="210"/>
    </row>
    <row r="112" spans="1:14" s="597" customFormat="1" ht="12.95" customHeight="1" thickTop="1" thickBot="1">
      <c r="A112" s="1599" t="s">
        <v>638</v>
      </c>
      <c r="B112" s="1600" t="s">
        <v>492</v>
      </c>
      <c r="C112" s="616"/>
      <c r="D112" s="616"/>
      <c r="E112" s="616"/>
      <c r="F112" s="616"/>
      <c r="G112" s="616"/>
      <c r="H112" s="1601">
        <f>SUM(H110:H111)</f>
        <v>0</v>
      </c>
      <c r="I112" s="468"/>
      <c r="J112" s="468"/>
      <c r="K112" s="1601">
        <f>SUM(K110:K111)</f>
        <v>0</v>
      </c>
      <c r="L112" s="1608">
        <f>SUM(L110,L111)</f>
        <v>0</v>
      </c>
      <c r="M112" s="210"/>
      <c r="N112" s="210"/>
    </row>
    <row r="113" spans="1:14" s="259" customFormat="1" ht="15.75" customHeight="1" thickTop="1" thickBot="1">
      <c r="A113" s="1538" t="s">
        <v>514</v>
      </c>
      <c r="B113" s="1545" t="s">
        <v>861</v>
      </c>
      <c r="C113" s="623"/>
      <c r="D113" s="623"/>
      <c r="E113" s="616"/>
      <c r="F113" s="616"/>
      <c r="G113" s="616"/>
      <c r="H113" s="623"/>
      <c r="I113" s="468"/>
      <c r="J113" s="468"/>
      <c r="K113" s="623"/>
      <c r="L113" s="531">
        <v>0</v>
      </c>
      <c r="M113" s="613"/>
      <c r="N113" s="613"/>
    </row>
    <row r="114" spans="1:14" ht="12.95" customHeight="1" thickTop="1" thickBot="1">
      <c r="A114" s="1599" t="s">
        <v>48</v>
      </c>
      <c r="B114" s="1613"/>
      <c r="C114" s="1601">
        <f>SUM(C33,C74,C75,C102,C112,C113)</f>
        <v>8934402</v>
      </c>
      <c r="D114" s="1601">
        <f t="shared" ref="D114:K114" si="13">SUM(D33,D74,D75,D102,D112,D113)</f>
        <v>1872971</v>
      </c>
      <c r="E114" s="1601">
        <f t="shared" si="13"/>
        <v>803513</v>
      </c>
      <c r="F114" s="1601">
        <f t="shared" si="13"/>
        <v>656540</v>
      </c>
      <c r="G114" s="1601">
        <f t="shared" si="13"/>
        <v>45974</v>
      </c>
      <c r="H114" s="1601">
        <f>SUM(H33,H74,H75,H102,H112,H113)</f>
        <v>798726</v>
      </c>
      <c r="I114" s="1601">
        <f t="shared" si="13"/>
        <v>0</v>
      </c>
      <c r="J114" s="1601">
        <f t="shared" si="13"/>
        <v>0</v>
      </c>
      <c r="K114" s="1601">
        <f t="shared" si="13"/>
        <v>13112126</v>
      </c>
      <c r="L114" s="1601">
        <f>SUM(L33,L74,L75,L102,L112,L113)</f>
        <v>13628612</v>
      </c>
    </row>
    <row r="115" spans="1:14" ht="13.5" thickTop="1">
      <c r="A115" s="2199" t="s">
        <v>996</v>
      </c>
      <c r="B115" s="2200"/>
      <c r="C115" s="618"/>
      <c r="D115" s="618"/>
      <c r="E115" s="618"/>
      <c r="F115" s="618"/>
      <c r="G115" s="618"/>
      <c r="H115" s="618"/>
      <c r="I115" s="618"/>
      <c r="J115" s="618"/>
      <c r="K115" s="1615">
        <f>'Revenues 9-14'!C268-'Expenditures 15-22'!K114</f>
        <v>-236938</v>
      </c>
      <c r="L115" s="618"/>
    </row>
    <row r="116" spans="1:14" s="180" customFormat="1" ht="9.1999999999999993" customHeight="1">
      <c r="A116" s="648"/>
      <c r="B116" s="649"/>
      <c r="C116" s="650"/>
      <c r="D116" s="650"/>
      <c r="E116" s="650"/>
      <c r="F116" s="650"/>
      <c r="G116" s="650"/>
      <c r="H116" s="650"/>
      <c r="I116" s="650"/>
      <c r="J116" s="650"/>
      <c r="K116" s="650"/>
      <c r="L116" s="650"/>
      <c r="M116" s="210"/>
      <c r="N116" s="210"/>
    </row>
    <row r="117" spans="1:14" s="651" customFormat="1" ht="16.7" customHeight="1">
      <c r="A117" s="2177" t="s">
        <v>296</v>
      </c>
      <c r="B117" s="2178"/>
      <c r="C117" s="1558"/>
      <c r="D117" s="1559"/>
      <c r="E117" s="1559"/>
      <c r="F117" s="1559"/>
      <c r="G117" s="1559"/>
      <c r="H117" s="1559"/>
      <c r="I117" s="1559"/>
      <c r="J117" s="1559"/>
      <c r="K117" s="1559"/>
      <c r="L117" s="1560"/>
      <c r="M117" s="175"/>
      <c r="N117" s="175"/>
    </row>
    <row r="118" spans="1:14" ht="15.75" customHeight="1">
      <c r="A118" s="1546" t="s">
        <v>1035</v>
      </c>
      <c r="B118" s="1547"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95" customHeight="1">
      <c r="A120" s="1440" t="s">
        <v>2019</v>
      </c>
      <c r="B120" s="628" t="s">
        <v>716</v>
      </c>
      <c r="C120" s="466"/>
      <c r="D120" s="466"/>
      <c r="E120" s="466"/>
      <c r="F120" s="466"/>
      <c r="G120" s="466"/>
      <c r="H120" s="466"/>
      <c r="I120" s="467"/>
      <c r="J120" s="467"/>
      <c r="K120" s="1602">
        <f>SUM(C120:J120)</f>
        <v>0</v>
      </c>
      <c r="L120" s="466">
        <v>0</v>
      </c>
    </row>
    <row r="121" spans="1:14" ht="15.75" customHeight="1">
      <c r="A121" s="653" t="s">
        <v>612</v>
      </c>
      <c r="B121" s="622"/>
      <c r="C121" s="521"/>
      <c r="D121" s="521"/>
      <c r="E121" s="521"/>
      <c r="F121" s="521"/>
      <c r="G121" s="521"/>
      <c r="H121" s="521"/>
      <c r="I121" s="616"/>
      <c r="J121" s="616"/>
      <c r="K121" s="623"/>
      <c r="L121" s="521"/>
    </row>
    <row r="122" spans="1:14" ht="13.5" thickBot="1">
      <c r="A122" s="1436" t="s">
        <v>1068</v>
      </c>
      <c r="B122" s="614">
        <v>2510</v>
      </c>
      <c r="C122" s="466"/>
      <c r="D122" s="466"/>
      <c r="E122" s="466"/>
      <c r="F122" s="466"/>
      <c r="G122" s="466"/>
      <c r="H122" s="466"/>
      <c r="I122" s="467"/>
      <c r="J122" s="467"/>
      <c r="K122" s="1601">
        <f>SUM(C122:J122)</f>
        <v>0</v>
      </c>
      <c r="L122" s="466">
        <v>0</v>
      </c>
    </row>
    <row r="123" spans="1:14" ht="14.25" thickTop="1" thickBot="1">
      <c r="A123" s="1436" t="s">
        <v>4</v>
      </c>
      <c r="B123" s="614">
        <v>2530</v>
      </c>
      <c r="C123" s="466"/>
      <c r="D123" s="466"/>
      <c r="E123" s="466"/>
      <c r="F123" s="466"/>
      <c r="G123" s="466"/>
      <c r="H123" s="466"/>
      <c r="I123" s="467"/>
      <c r="J123" s="467"/>
      <c r="K123" s="1601">
        <f>SUM(C123:J123)</f>
        <v>0</v>
      </c>
      <c r="L123" s="466">
        <v>0</v>
      </c>
    </row>
    <row r="124" spans="1:14" ht="14.25" thickTop="1" thickBot="1">
      <c r="A124" s="1436" t="s">
        <v>197</v>
      </c>
      <c r="B124" s="614">
        <v>2540</v>
      </c>
      <c r="C124" s="466">
        <v>444889</v>
      </c>
      <c r="D124" s="466">
        <v>67894</v>
      </c>
      <c r="E124" s="466">
        <v>324045</v>
      </c>
      <c r="F124" s="466">
        <v>346152</v>
      </c>
      <c r="G124" s="466">
        <v>211002</v>
      </c>
      <c r="H124" s="466">
        <v>7020</v>
      </c>
      <c r="I124" s="467"/>
      <c r="J124" s="467"/>
      <c r="K124" s="1601">
        <f>SUM(C124:J124)</f>
        <v>1401002</v>
      </c>
      <c r="L124" s="466">
        <v>1605231</v>
      </c>
    </row>
    <row r="125" spans="1:14" ht="14.25" thickTop="1" thickBot="1">
      <c r="A125" s="1436" t="s">
        <v>953</v>
      </c>
      <c r="B125" s="614">
        <v>2550</v>
      </c>
      <c r="C125" s="466"/>
      <c r="D125" s="466"/>
      <c r="E125" s="466"/>
      <c r="F125" s="466"/>
      <c r="G125" s="466"/>
      <c r="H125" s="466"/>
      <c r="I125" s="467"/>
      <c r="J125" s="467"/>
      <c r="K125" s="1601">
        <f>SUM(C125:J125)</f>
        <v>0</v>
      </c>
      <c r="L125" s="466">
        <v>0</v>
      </c>
    </row>
    <row r="126" spans="1:14" ht="14.25" thickTop="1" thickBot="1">
      <c r="A126" s="1436" t="s">
        <v>100</v>
      </c>
      <c r="B126" s="614">
        <v>2560</v>
      </c>
      <c r="C126" s="654"/>
      <c r="D126" s="654"/>
      <c r="E126" s="654"/>
      <c r="F126" s="654"/>
      <c r="G126" s="466"/>
      <c r="H126" s="654"/>
      <c r="I126" s="474"/>
      <c r="J126" s="616"/>
      <c r="K126" s="1601">
        <f>SUM(C126:J126)</f>
        <v>0</v>
      </c>
      <c r="L126" s="466">
        <v>0</v>
      </c>
    </row>
    <row r="127" spans="1:14" ht="12.95" customHeight="1" thickTop="1" thickBot="1">
      <c r="A127" s="1599" t="s">
        <v>719</v>
      </c>
      <c r="B127" s="1600" t="s">
        <v>35</v>
      </c>
      <c r="C127" s="1601">
        <f>SUM(C122:C126)</f>
        <v>444889</v>
      </c>
      <c r="D127" s="1601">
        <f t="shared" ref="D127:L127" si="14">SUM(D122:D126)</f>
        <v>67894</v>
      </c>
      <c r="E127" s="1601">
        <f t="shared" si="14"/>
        <v>324045</v>
      </c>
      <c r="F127" s="1601">
        <f t="shared" si="14"/>
        <v>346152</v>
      </c>
      <c r="G127" s="1601">
        <f t="shared" si="14"/>
        <v>211002</v>
      </c>
      <c r="H127" s="1601">
        <f t="shared" si="14"/>
        <v>7020</v>
      </c>
      <c r="I127" s="1601">
        <f t="shared" si="14"/>
        <v>0</v>
      </c>
      <c r="J127" s="1601">
        <f t="shared" si="14"/>
        <v>0</v>
      </c>
      <c r="K127" s="1601">
        <f t="shared" si="14"/>
        <v>1401002</v>
      </c>
      <c r="L127" s="1601">
        <f t="shared" si="14"/>
        <v>1605231</v>
      </c>
    </row>
    <row r="128" spans="1:14" ht="12.95" customHeight="1" thickTop="1">
      <c r="A128" s="1443" t="s">
        <v>980</v>
      </c>
      <c r="B128" s="655" t="s">
        <v>574</v>
      </c>
      <c r="C128" s="656"/>
      <c r="D128" s="656"/>
      <c r="E128" s="656"/>
      <c r="F128" s="656"/>
      <c r="G128" s="656"/>
      <c r="H128" s="656"/>
      <c r="I128" s="535"/>
      <c r="J128" s="535"/>
      <c r="K128" s="1616">
        <f>SUM(C128:J128)</f>
        <v>0</v>
      </c>
      <c r="L128" s="656">
        <v>0</v>
      </c>
    </row>
    <row r="129" spans="1:14" ht="12.95" customHeight="1" thickBot="1">
      <c r="A129" s="1617" t="s">
        <v>811</v>
      </c>
      <c r="B129" s="1618" t="s">
        <v>569</v>
      </c>
      <c r="C129" s="1608">
        <f>SUM(C120,C127,C128)</f>
        <v>444889</v>
      </c>
      <c r="D129" s="1608">
        <f t="shared" ref="D129:L129" si="15">SUM(D120,D127,D128)</f>
        <v>67894</v>
      </c>
      <c r="E129" s="1608">
        <f t="shared" si="15"/>
        <v>324045</v>
      </c>
      <c r="F129" s="1608">
        <f t="shared" si="15"/>
        <v>346152</v>
      </c>
      <c r="G129" s="1608">
        <f t="shared" si="15"/>
        <v>211002</v>
      </c>
      <c r="H129" s="1608">
        <f t="shared" si="15"/>
        <v>7020</v>
      </c>
      <c r="I129" s="1608">
        <f t="shared" si="15"/>
        <v>0</v>
      </c>
      <c r="J129" s="1608">
        <f t="shared" si="15"/>
        <v>0</v>
      </c>
      <c r="K129" s="1608">
        <f t="shared" si="15"/>
        <v>1401002</v>
      </c>
      <c r="L129" s="1608">
        <f t="shared" si="15"/>
        <v>1605231</v>
      </c>
    </row>
    <row r="130" spans="1:14" ht="15.75" customHeight="1" thickTop="1" thickBot="1">
      <c r="A130" s="1542" t="s">
        <v>1036</v>
      </c>
      <c r="B130" s="1543" t="s">
        <v>575</v>
      </c>
      <c r="C130" s="576"/>
      <c r="D130" s="576"/>
      <c r="E130" s="576"/>
      <c r="F130" s="576"/>
      <c r="G130" s="576"/>
      <c r="H130" s="576"/>
      <c r="I130" s="531"/>
      <c r="J130" s="531"/>
      <c r="K130" s="1601">
        <f>SUM(C130:J130)</f>
        <v>0</v>
      </c>
      <c r="L130" s="576">
        <v>0</v>
      </c>
    </row>
    <row r="131" spans="1:14" ht="15.75" customHeight="1" thickTop="1">
      <c r="A131" s="1548" t="s">
        <v>616</v>
      </c>
      <c r="B131" s="1541"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2" t="s">
        <v>496</v>
      </c>
      <c r="B133" s="1772" t="s">
        <v>1805</v>
      </c>
      <c r="C133" s="468"/>
      <c r="D133" s="468"/>
      <c r="E133" s="641"/>
      <c r="F133" s="468"/>
      <c r="G133" s="468"/>
      <c r="H133" s="641"/>
      <c r="I133" s="468"/>
      <c r="J133" s="468"/>
      <c r="K133" s="1752">
        <f>SUM(E133,H133)</f>
        <v>0</v>
      </c>
      <c r="L133" s="641">
        <v>0</v>
      </c>
      <c r="M133" s="206"/>
      <c r="N133" s="206"/>
    </row>
    <row r="134" spans="1:14">
      <c r="A134" s="1436" t="s">
        <v>304</v>
      </c>
      <c r="B134" s="614">
        <v>4120</v>
      </c>
      <c r="C134" s="616"/>
      <c r="D134" s="616"/>
      <c r="E134" s="478"/>
      <c r="F134" s="616"/>
      <c r="G134" s="616"/>
      <c r="H134" s="481"/>
      <c r="I134" s="477"/>
      <c r="J134" s="616"/>
      <c r="K134" s="1603">
        <f>SUM(E134,H134)</f>
        <v>0</v>
      </c>
      <c r="L134" s="481">
        <v>0</v>
      </c>
    </row>
    <row r="135" spans="1:14">
      <c r="A135" s="1436" t="s">
        <v>697</v>
      </c>
      <c r="B135" s="614">
        <v>4140</v>
      </c>
      <c r="C135" s="616"/>
      <c r="D135" s="616"/>
      <c r="E135" s="467"/>
      <c r="F135" s="616"/>
      <c r="G135" s="616"/>
      <c r="H135" s="466"/>
      <c r="I135" s="477"/>
      <c r="J135" s="616"/>
      <c r="K135" s="1603">
        <f>SUM(E135,H135)</f>
        <v>0</v>
      </c>
      <c r="L135" s="466">
        <v>0</v>
      </c>
    </row>
    <row r="136" spans="1:14">
      <c r="A136" s="1440" t="s">
        <v>698</v>
      </c>
      <c r="B136" s="628">
        <v>4190</v>
      </c>
      <c r="C136" s="616"/>
      <c r="D136" s="616"/>
      <c r="E136" s="467"/>
      <c r="F136" s="616"/>
      <c r="G136" s="616"/>
      <c r="H136" s="466"/>
      <c r="I136" s="477"/>
      <c r="J136" s="616"/>
      <c r="K136" s="1603">
        <f>SUM(E136,H136)</f>
        <v>0</v>
      </c>
      <c r="L136" s="466">
        <v>0</v>
      </c>
    </row>
    <row r="137" spans="1:14" ht="12.95" customHeight="1" thickBot="1">
      <c r="A137" s="1599" t="s">
        <v>480</v>
      </c>
      <c r="B137" s="1609">
        <v>4100</v>
      </c>
      <c r="C137" s="616"/>
      <c r="D137" s="616"/>
      <c r="E137" s="1601">
        <f>SUM(E133:E136)</f>
        <v>0</v>
      </c>
      <c r="F137" s="616"/>
      <c r="G137" s="616"/>
      <c r="H137" s="1601">
        <f>SUM(H133:H136)</f>
        <v>0</v>
      </c>
      <c r="I137" s="477"/>
      <c r="J137" s="616"/>
      <c r="K137" s="1601">
        <f>SUM(K133:K136)</f>
        <v>0</v>
      </c>
      <c r="L137" s="1601">
        <f>SUM(L133:L136)</f>
        <v>0</v>
      </c>
    </row>
    <row r="138" spans="1:14" ht="12.95" customHeight="1" thickTop="1" thickBot="1">
      <c r="A138" s="1442" t="s">
        <v>96</v>
      </c>
      <c r="B138" s="643" t="s">
        <v>931</v>
      </c>
      <c r="C138" s="616"/>
      <c r="D138" s="616"/>
      <c r="E138" s="479"/>
      <c r="F138" s="616"/>
      <c r="G138" s="616"/>
      <c r="H138" s="576"/>
      <c r="I138" s="477"/>
      <c r="J138" s="616"/>
      <c r="K138" s="1603">
        <f>SUM(E138,H138)</f>
        <v>0</v>
      </c>
      <c r="L138" s="576">
        <v>0</v>
      </c>
    </row>
    <row r="139" spans="1:14" ht="12.95" customHeight="1" thickTop="1" thickBot="1">
      <c r="A139" s="1599" t="s">
        <v>1466</v>
      </c>
      <c r="B139" s="1609">
        <v>4000</v>
      </c>
      <c r="C139" s="616"/>
      <c r="D139" s="616"/>
      <c r="E139" s="1601">
        <f>SUM(E137,E138)</f>
        <v>0</v>
      </c>
      <c r="F139" s="616"/>
      <c r="G139" s="616"/>
      <c r="H139" s="1610">
        <f>SUM(H137:H138)</f>
        <v>0</v>
      </c>
      <c r="I139" s="477"/>
      <c r="J139" s="616"/>
      <c r="K139" s="1603">
        <f>SUM(K137,K138)</f>
        <v>0</v>
      </c>
      <c r="L139" s="1610">
        <f>SUM(L137,L138)</f>
        <v>0</v>
      </c>
    </row>
    <row r="140" spans="1:14" ht="15.75" customHeight="1" thickTop="1">
      <c r="A140" s="1544" t="s">
        <v>1037</v>
      </c>
      <c r="B140" s="1545"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6" t="s">
        <v>87</v>
      </c>
      <c r="B142" s="614">
        <v>5110</v>
      </c>
      <c r="C142" s="616"/>
      <c r="D142" s="616"/>
      <c r="E142" s="616"/>
      <c r="F142" s="616"/>
      <c r="G142" s="616"/>
      <c r="H142" s="481"/>
      <c r="I142" s="468"/>
      <c r="J142" s="616"/>
      <c r="K142" s="1603">
        <f>SUM(H142)</f>
        <v>0</v>
      </c>
      <c r="L142" s="481">
        <v>0</v>
      </c>
    </row>
    <row r="143" spans="1:14">
      <c r="A143" s="1436" t="s">
        <v>88</v>
      </c>
      <c r="B143" s="614">
        <v>5120</v>
      </c>
      <c r="C143" s="616"/>
      <c r="D143" s="616"/>
      <c r="E143" s="616"/>
      <c r="F143" s="616"/>
      <c r="G143" s="616"/>
      <c r="H143" s="466"/>
      <c r="I143" s="468"/>
      <c r="J143" s="616"/>
      <c r="K143" s="1603">
        <f>SUM(H143)</f>
        <v>0</v>
      </c>
      <c r="L143" s="466">
        <v>0</v>
      </c>
    </row>
    <row r="144" spans="1:14" ht="12.95" customHeight="1">
      <c r="A144" s="1436" t="s">
        <v>1170</v>
      </c>
      <c r="B144" s="628" t="s">
        <v>617</v>
      </c>
      <c r="C144" s="616"/>
      <c r="D144" s="616"/>
      <c r="E144" s="616"/>
      <c r="F144" s="616"/>
      <c r="G144" s="616"/>
      <c r="H144" s="466"/>
      <c r="I144" s="468"/>
      <c r="J144" s="616"/>
      <c r="K144" s="1603">
        <f>SUM(H144)</f>
        <v>0</v>
      </c>
      <c r="L144" s="466">
        <v>0</v>
      </c>
    </row>
    <row r="145" spans="1:14">
      <c r="A145" s="1436" t="s">
        <v>89</v>
      </c>
      <c r="B145" s="614" t="s">
        <v>589</v>
      </c>
      <c r="C145" s="616"/>
      <c r="D145" s="616"/>
      <c r="E145" s="616"/>
      <c r="F145" s="616"/>
      <c r="G145" s="616"/>
      <c r="H145" s="466"/>
      <c r="I145" s="468"/>
      <c r="J145" s="616"/>
      <c r="K145" s="1603">
        <f>SUM(H145)</f>
        <v>0</v>
      </c>
      <c r="L145" s="466">
        <v>0</v>
      </c>
    </row>
    <row r="146" spans="1:14" ht="12.95" customHeight="1">
      <c r="A146" s="1436" t="s">
        <v>619</v>
      </c>
      <c r="B146" s="614" t="s">
        <v>618</v>
      </c>
      <c r="C146" s="616"/>
      <c r="D146" s="616"/>
      <c r="E146" s="616"/>
      <c r="F146" s="616"/>
      <c r="G146" s="616"/>
      <c r="H146" s="466"/>
      <c r="I146" s="468"/>
      <c r="J146" s="616"/>
      <c r="K146" s="1603">
        <f>SUM(H146)</f>
        <v>0</v>
      </c>
      <c r="L146" s="466">
        <v>0</v>
      </c>
    </row>
    <row r="147" spans="1:14" ht="12.95" customHeight="1" thickBot="1">
      <c r="A147" s="1447" t="s">
        <v>626</v>
      </c>
      <c r="B147" s="659" t="s">
        <v>718</v>
      </c>
      <c r="C147" s="616"/>
      <c r="D147" s="616"/>
      <c r="E147" s="616"/>
      <c r="F147" s="616"/>
      <c r="G147" s="616"/>
      <c r="H147" s="1619">
        <f>SUM(H142:H146)</f>
        <v>0</v>
      </c>
      <c r="I147" s="468"/>
      <c r="J147" s="616"/>
      <c r="K147" s="1601">
        <f>SUM(K142:K146)</f>
        <v>0</v>
      </c>
      <c r="L147" s="1619">
        <f>SUM(L142:L146)</f>
        <v>0</v>
      </c>
    </row>
    <row r="148" spans="1:14" ht="15.75" customHeight="1" thickTop="1">
      <c r="A148" s="660" t="s">
        <v>1103</v>
      </c>
      <c r="B148" s="661" t="s">
        <v>38</v>
      </c>
      <c r="C148" s="616"/>
      <c r="D148" s="616"/>
      <c r="E148" s="616"/>
      <c r="F148" s="616"/>
      <c r="G148" s="616"/>
      <c r="H148" s="479"/>
      <c r="I148" s="468"/>
      <c r="J148" s="616"/>
      <c r="K148" s="1603">
        <f>SUM(H148)</f>
        <v>0</v>
      </c>
      <c r="L148" s="492">
        <v>0</v>
      </c>
    </row>
    <row r="149" spans="1:14" ht="12.95" customHeight="1" thickBot="1">
      <c r="A149" s="1439" t="s">
        <v>638</v>
      </c>
      <c r="B149" s="617" t="s">
        <v>492</v>
      </c>
      <c r="C149" s="616"/>
      <c r="D149" s="616"/>
      <c r="E149" s="616"/>
      <c r="F149" s="616"/>
      <c r="G149" s="616"/>
      <c r="H149" s="1601">
        <f>SUM(H147,H148)</f>
        <v>0</v>
      </c>
      <c r="I149" s="468"/>
      <c r="J149" s="616"/>
      <c r="K149" s="1601">
        <f>SUM(K147:K148)</f>
        <v>0</v>
      </c>
      <c r="L149" s="1601">
        <f>SUM(L142:L146,L148)</f>
        <v>0</v>
      </c>
    </row>
    <row r="150" spans="1:14" ht="15.75" customHeight="1" thickTop="1" thickBot="1">
      <c r="A150" s="1538" t="s">
        <v>1038</v>
      </c>
      <c r="B150" s="1545" t="s">
        <v>861</v>
      </c>
      <c r="C150" s="616"/>
      <c r="D150" s="616"/>
      <c r="E150" s="616"/>
      <c r="F150" s="616"/>
      <c r="G150" s="616"/>
      <c r="H150" s="662"/>
      <c r="I150" s="521"/>
      <c r="J150" s="616"/>
      <c r="K150" s="623"/>
      <c r="L150" s="573">
        <v>0</v>
      </c>
    </row>
    <row r="151" spans="1:14" ht="12.95" customHeight="1" thickTop="1" thickBot="1">
      <c r="A151" s="2189" t="s">
        <v>620</v>
      </c>
      <c r="B151" s="2171"/>
      <c r="C151" s="1601">
        <f>SUM(C129,C130,C139,C149,C150)</f>
        <v>444889</v>
      </c>
      <c r="D151" s="1601">
        <f t="shared" ref="D151:K151" si="16">SUM(D129,D130,D139,D149,D150)</f>
        <v>67894</v>
      </c>
      <c r="E151" s="1601">
        <f t="shared" si="16"/>
        <v>324045</v>
      </c>
      <c r="F151" s="1601">
        <f t="shared" si="16"/>
        <v>346152</v>
      </c>
      <c r="G151" s="1601">
        <f t="shared" si="16"/>
        <v>211002</v>
      </c>
      <c r="H151" s="1601">
        <f t="shared" si="16"/>
        <v>7020</v>
      </c>
      <c r="I151" s="1601">
        <f t="shared" si="16"/>
        <v>0</v>
      </c>
      <c r="J151" s="1601">
        <f t="shared" si="16"/>
        <v>0</v>
      </c>
      <c r="K151" s="1601">
        <f t="shared" si="16"/>
        <v>1401002</v>
      </c>
      <c r="L151" s="1601">
        <f>SUM(L129,L130,L139,L149,L150)</f>
        <v>1605231</v>
      </c>
    </row>
    <row r="152" spans="1:14" ht="12.95" customHeight="1" thickTop="1">
      <c r="A152" s="2192" t="s">
        <v>1178</v>
      </c>
      <c r="B152" s="2193"/>
      <c r="C152" s="618"/>
      <c r="D152" s="618"/>
      <c r="E152" s="618"/>
      <c r="F152" s="618"/>
      <c r="G152" s="618"/>
      <c r="H152" s="618"/>
      <c r="I152" s="618"/>
      <c r="J152" s="616"/>
      <c r="K152" s="1615">
        <f>'Revenues 9-14'!D268-'Expenditures 15-22'!K151</f>
        <v>-42067</v>
      </c>
      <c r="L152" s="618"/>
    </row>
    <row r="153" spans="1:14" s="666" customFormat="1" ht="9.1999999999999993" customHeight="1">
      <c r="A153" s="663"/>
      <c r="B153" s="664"/>
      <c r="C153" s="650"/>
      <c r="D153" s="650"/>
      <c r="E153" s="650"/>
      <c r="F153" s="650"/>
      <c r="G153" s="650"/>
      <c r="H153" s="650"/>
      <c r="I153" s="650"/>
      <c r="J153" s="650"/>
      <c r="K153" s="650"/>
      <c r="L153" s="650"/>
      <c r="M153" s="665"/>
      <c r="N153" s="665"/>
    </row>
    <row r="154" spans="1:14" s="668" customFormat="1" ht="16.7" customHeight="1">
      <c r="A154" s="2177" t="s">
        <v>621</v>
      </c>
      <c r="B154" s="2179"/>
      <c r="C154" s="1558"/>
      <c r="D154" s="1559"/>
      <c r="E154" s="1559"/>
      <c r="F154" s="1559"/>
      <c r="G154" s="1559"/>
      <c r="H154" s="1559"/>
      <c r="I154" s="1559"/>
      <c r="J154" s="1559"/>
      <c r="K154" s="1559"/>
      <c r="L154" s="1560"/>
      <c r="M154" s="667"/>
      <c r="N154" s="667"/>
    </row>
    <row r="155" spans="1:14" s="620" customFormat="1" ht="15.75" customHeight="1" thickBot="1">
      <c r="A155" s="1549" t="s">
        <v>81</v>
      </c>
      <c r="B155" s="1550" t="s">
        <v>860</v>
      </c>
      <c r="C155" s="616"/>
      <c r="D155" s="616"/>
      <c r="E155" s="616"/>
      <c r="F155" s="616"/>
      <c r="G155" s="616"/>
      <c r="H155" s="1773"/>
      <c r="I155" s="616"/>
      <c r="J155" s="616"/>
      <c r="K155" s="1756"/>
      <c r="L155" s="1773"/>
      <c r="M155" s="619"/>
      <c r="N155" s="619"/>
    </row>
    <row r="156" spans="1:14" s="620" customFormat="1" ht="15.75" customHeight="1" thickTop="1">
      <c r="A156" s="1753" t="s">
        <v>1806</v>
      </c>
      <c r="B156" s="1754"/>
      <c r="C156" s="616"/>
      <c r="D156" s="616"/>
      <c r="E156" s="616"/>
      <c r="F156" s="616"/>
      <c r="G156" s="616"/>
      <c r="H156" s="1774"/>
      <c r="I156" s="616"/>
      <c r="J156" s="616"/>
      <c r="K156" s="1755"/>
      <c r="L156" s="1774"/>
      <c r="M156" s="619"/>
      <c r="N156" s="619"/>
    </row>
    <row r="157" spans="1:14" s="620" customFormat="1" ht="12">
      <c r="A157" s="1757" t="s">
        <v>496</v>
      </c>
      <c r="B157" s="1758" t="s">
        <v>1805</v>
      </c>
      <c r="C157" s="616"/>
      <c r="D157" s="616"/>
      <c r="E157" s="616"/>
      <c r="F157" s="616"/>
      <c r="G157" s="616"/>
      <c r="H157" s="641"/>
      <c r="I157" s="616"/>
      <c r="J157" s="616"/>
      <c r="K157" s="1602">
        <f>H157</f>
        <v>0</v>
      </c>
      <c r="L157" s="467">
        <v>0</v>
      </c>
      <c r="M157" s="619"/>
      <c r="N157" s="619"/>
    </row>
    <row r="158" spans="1:14" s="620" customFormat="1" ht="12">
      <c r="A158" s="1757" t="s">
        <v>304</v>
      </c>
      <c r="B158" s="1758" t="s">
        <v>1807</v>
      </c>
      <c r="C158" s="616"/>
      <c r="D158" s="616"/>
      <c r="E158" s="616"/>
      <c r="F158" s="616"/>
      <c r="G158" s="616"/>
      <c r="H158" s="467"/>
      <c r="I158" s="616"/>
      <c r="J158" s="616"/>
      <c r="K158" s="1602">
        <f>H158</f>
        <v>0</v>
      </c>
      <c r="L158" s="467">
        <v>0</v>
      </c>
      <c r="M158" s="619"/>
      <c r="N158" s="619"/>
    </row>
    <row r="159" spans="1:14" s="620" customFormat="1" ht="12">
      <c r="A159" s="1757" t="s">
        <v>1808</v>
      </c>
      <c r="B159" s="1758" t="s">
        <v>558</v>
      </c>
      <c r="C159" s="616"/>
      <c r="D159" s="616"/>
      <c r="E159" s="616"/>
      <c r="F159" s="616"/>
      <c r="G159" s="616"/>
      <c r="H159" s="467"/>
      <c r="I159" s="616"/>
      <c r="J159" s="616"/>
      <c r="K159" s="1602">
        <f>H159</f>
        <v>0</v>
      </c>
      <c r="L159" s="467">
        <v>0</v>
      </c>
      <c r="M159" s="619"/>
      <c r="N159" s="619"/>
    </row>
    <row r="160" spans="1:14" s="620" customFormat="1" ht="15.75" customHeight="1" thickBot="1">
      <c r="A160" s="1759" t="s">
        <v>1809</v>
      </c>
      <c r="B160" s="1760" t="s">
        <v>860</v>
      </c>
      <c r="C160" s="616"/>
      <c r="D160" s="616"/>
      <c r="E160" s="616"/>
      <c r="F160" s="616"/>
      <c r="G160" s="616"/>
      <c r="H160" s="1619">
        <f>SUM(H157:H159)</f>
        <v>0</v>
      </c>
      <c r="I160" s="616"/>
      <c r="J160" s="616"/>
      <c r="K160" s="1601">
        <f>SUM(K157:K159)</f>
        <v>0</v>
      </c>
      <c r="L160" s="1619">
        <f>SUM(L157:L159)</f>
        <v>0</v>
      </c>
      <c r="M160" s="619"/>
      <c r="N160" s="619"/>
    </row>
    <row r="161" spans="1:14" s="259" customFormat="1" ht="15.75" customHeight="1" thickTop="1">
      <c r="A161" s="1544" t="s">
        <v>82</v>
      </c>
      <c r="B161" s="1545"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6" t="s">
        <v>87</v>
      </c>
      <c r="B163" s="614">
        <v>5110</v>
      </c>
      <c r="C163" s="616"/>
      <c r="D163" s="616"/>
      <c r="E163" s="616"/>
      <c r="F163" s="616"/>
      <c r="G163" s="616"/>
      <c r="H163" s="466"/>
      <c r="I163" s="616"/>
      <c r="J163" s="616"/>
      <c r="K163" s="1602">
        <f>SUM(C163:J163)</f>
        <v>0</v>
      </c>
      <c r="L163" s="466">
        <v>0</v>
      </c>
    </row>
    <row r="164" spans="1:14">
      <c r="A164" s="1436" t="s">
        <v>88</v>
      </c>
      <c r="B164" s="614">
        <v>5120</v>
      </c>
      <c r="C164" s="616"/>
      <c r="D164" s="616"/>
      <c r="E164" s="616"/>
      <c r="F164" s="616"/>
      <c r="G164" s="616"/>
      <c r="H164" s="466"/>
      <c r="I164" s="616"/>
      <c r="J164" s="616"/>
      <c r="K164" s="1602">
        <f>SUM(C164:J164)</f>
        <v>0</v>
      </c>
      <c r="L164" s="466">
        <v>0</v>
      </c>
    </row>
    <row r="165" spans="1:14" ht="12.95" customHeight="1">
      <c r="A165" s="1436" t="s">
        <v>1170</v>
      </c>
      <c r="B165" s="614" t="s">
        <v>617</v>
      </c>
      <c r="C165" s="616"/>
      <c r="D165" s="616"/>
      <c r="E165" s="616"/>
      <c r="F165" s="616"/>
      <c r="G165" s="616"/>
      <c r="H165" s="466"/>
      <c r="I165" s="616"/>
      <c r="J165" s="616"/>
      <c r="K165" s="1602">
        <f>SUM(C165:J165)</f>
        <v>0</v>
      </c>
      <c r="L165" s="466">
        <v>0</v>
      </c>
    </row>
    <row r="166" spans="1:14">
      <c r="A166" s="1436" t="s">
        <v>89</v>
      </c>
      <c r="B166" s="628" t="s">
        <v>589</v>
      </c>
      <c r="C166" s="616"/>
      <c r="D166" s="616"/>
      <c r="E166" s="616"/>
      <c r="F166" s="616"/>
      <c r="G166" s="616"/>
      <c r="H166" s="466"/>
      <c r="I166" s="616"/>
      <c r="J166" s="616"/>
      <c r="K166" s="1602">
        <f>SUM(C166:J166)</f>
        <v>0</v>
      </c>
      <c r="L166" s="466">
        <v>0</v>
      </c>
    </row>
    <row r="167" spans="1:14" ht="12.95" customHeight="1">
      <c r="A167" s="1436" t="s">
        <v>619</v>
      </c>
      <c r="B167" s="614" t="s">
        <v>618</v>
      </c>
      <c r="C167" s="616"/>
      <c r="D167" s="616"/>
      <c r="E167" s="616"/>
      <c r="F167" s="616"/>
      <c r="G167" s="616"/>
      <c r="H167" s="466"/>
      <c r="I167" s="616"/>
      <c r="J167" s="616"/>
      <c r="K167" s="1602">
        <f>SUM(C167:J167)</f>
        <v>0</v>
      </c>
      <c r="L167" s="466">
        <v>0</v>
      </c>
    </row>
    <row r="168" spans="1:14" ht="13.5" thickBot="1">
      <c r="A168" s="1599" t="s">
        <v>276</v>
      </c>
      <c r="B168" s="1606" t="s">
        <v>718</v>
      </c>
      <c r="C168" s="616"/>
      <c r="D168" s="616"/>
      <c r="E168" s="616"/>
      <c r="F168" s="616"/>
      <c r="G168" s="616"/>
      <c r="H168" s="1601">
        <f>SUM(H163:H167)</f>
        <v>0</v>
      </c>
      <c r="I168" s="616"/>
      <c r="J168" s="616"/>
      <c r="K168" s="1601">
        <f>SUM(K163:K167)</f>
        <v>0</v>
      </c>
      <c r="L168" s="1601">
        <f>SUM(L163:L167)</f>
        <v>0</v>
      </c>
    </row>
    <row r="169" spans="1:14" ht="15.75" customHeight="1" thickTop="1">
      <c r="A169" s="669" t="s">
        <v>83</v>
      </c>
      <c r="B169" s="670" t="s">
        <v>38</v>
      </c>
      <c r="C169" s="616"/>
      <c r="D169" s="616"/>
      <c r="E169" s="616"/>
      <c r="F169" s="616"/>
      <c r="G169" s="616"/>
      <c r="H169" s="656">
        <v>377697</v>
      </c>
      <c r="I169" s="616"/>
      <c r="J169" s="616"/>
      <c r="K169" s="1602">
        <f>SUM(C169:H169)</f>
        <v>377697</v>
      </c>
      <c r="L169" s="656">
        <v>377697</v>
      </c>
    </row>
    <row r="170" spans="1:14" ht="33.75" customHeight="1">
      <c r="A170" s="669" t="s">
        <v>1643</v>
      </c>
      <c r="B170" s="671" t="s">
        <v>31</v>
      </c>
      <c r="C170" s="616"/>
      <c r="D170" s="616"/>
      <c r="E170" s="616"/>
      <c r="F170" s="616"/>
      <c r="G170" s="616"/>
      <c r="H170" s="569">
        <v>1081555</v>
      </c>
      <c r="I170" s="616"/>
      <c r="J170" s="616"/>
      <c r="K170" s="1602">
        <f>SUM(C170:J170)</f>
        <v>1081555</v>
      </c>
      <c r="L170" s="569">
        <v>1081555</v>
      </c>
    </row>
    <row r="171" spans="1:14" ht="15.75" customHeight="1">
      <c r="A171" s="621" t="s">
        <v>766</v>
      </c>
      <c r="B171" s="672" t="s">
        <v>84</v>
      </c>
      <c r="C171" s="616"/>
      <c r="D171" s="616"/>
      <c r="E171" s="466"/>
      <c r="F171" s="616"/>
      <c r="G171" s="616"/>
      <c r="H171" s="569"/>
      <c r="I171" s="477"/>
      <c r="J171" s="616"/>
      <c r="K171" s="1602">
        <f>SUM(C171:J171)</f>
        <v>0</v>
      </c>
      <c r="L171" s="569"/>
    </row>
    <row r="172" spans="1:14" ht="12.95" customHeight="1" thickBot="1">
      <c r="A172" s="1599" t="s">
        <v>638</v>
      </c>
      <c r="B172" s="1600" t="s">
        <v>492</v>
      </c>
      <c r="C172" s="616"/>
      <c r="D172" s="616"/>
      <c r="E172" s="1608">
        <f>SUM(E168,E169,E170,E171)</f>
        <v>0</v>
      </c>
      <c r="F172" s="616"/>
      <c r="G172" s="616"/>
      <c r="H172" s="1608">
        <f>SUM(H168,H169,H170,H171)</f>
        <v>1459252</v>
      </c>
      <c r="I172" s="638"/>
      <c r="J172" s="616"/>
      <c r="K172" s="1608">
        <f>SUM(K168,K169,K170,K171)</f>
        <v>1459252</v>
      </c>
      <c r="L172" s="1608">
        <f>SUM(L168,L169,L170,L171)</f>
        <v>1459252</v>
      </c>
    </row>
    <row r="173" spans="1:14" ht="15.75" customHeight="1" thickTop="1" thickBot="1">
      <c r="A173" s="1551" t="s">
        <v>85</v>
      </c>
      <c r="B173" s="1543" t="s">
        <v>861</v>
      </c>
      <c r="C173" s="616"/>
      <c r="D173" s="616"/>
      <c r="E173" s="623"/>
      <c r="F173" s="616"/>
      <c r="G173" s="616"/>
      <c r="H173" s="626"/>
      <c r="I173" s="638"/>
      <c r="J173" s="616"/>
      <c r="K173" s="623"/>
      <c r="L173" s="576">
        <v>0</v>
      </c>
    </row>
    <row r="174" spans="1:14" ht="12.95" customHeight="1" thickTop="1" thickBot="1">
      <c r="A174" s="1620" t="s">
        <v>90</v>
      </c>
      <c r="B174" s="1621"/>
      <c r="C174" s="616"/>
      <c r="D174" s="616"/>
      <c r="E174" s="1608">
        <f>SUM(E172,E173)</f>
        <v>0</v>
      </c>
      <c r="F174" s="616"/>
      <c r="G174" s="616"/>
      <c r="H174" s="1608">
        <f>SUM(H160,H172,H173)</f>
        <v>1459252</v>
      </c>
      <c r="I174" s="638"/>
      <c r="J174" s="616"/>
      <c r="K174" s="1608">
        <f>SUM(K160,K172,K173)</f>
        <v>1459252</v>
      </c>
      <c r="L174" s="1608">
        <f>SUM(L160,L172,L173)</f>
        <v>1459252</v>
      </c>
    </row>
    <row r="175" spans="1:14" ht="13.5" thickTop="1">
      <c r="A175" s="2199" t="s">
        <v>996</v>
      </c>
      <c r="B175" s="2200"/>
      <c r="C175" s="616"/>
      <c r="D175" s="616"/>
      <c r="E175" s="616"/>
      <c r="F175" s="616"/>
      <c r="G175" s="616"/>
      <c r="H175" s="618"/>
      <c r="I175" s="616"/>
      <c r="J175" s="616"/>
      <c r="K175" s="1615">
        <f>'Revenues 9-14'!E268-'Expenditures 15-22'!K174</f>
        <v>-148344</v>
      </c>
      <c r="L175" s="618"/>
    </row>
    <row r="176" spans="1:14" s="666" customFormat="1" ht="9.1999999999999993" customHeight="1">
      <c r="A176" s="663"/>
      <c r="B176" s="673"/>
      <c r="C176" s="650"/>
      <c r="D176" s="650"/>
      <c r="E176" s="650"/>
      <c r="F176" s="650"/>
      <c r="G176" s="650"/>
      <c r="H176" s="650"/>
      <c r="I176" s="650"/>
      <c r="J176" s="650"/>
      <c r="K176" s="650"/>
      <c r="L176" s="650"/>
      <c r="M176" s="665"/>
      <c r="N176" s="665"/>
    </row>
    <row r="177" spans="1:14" s="343" customFormat="1" ht="16.7" customHeight="1">
      <c r="A177" s="1486" t="s">
        <v>937</v>
      </c>
      <c r="B177" s="1487"/>
      <c r="C177" s="1483"/>
      <c r="D177" s="1484"/>
      <c r="E177" s="1484"/>
      <c r="F177" s="1484"/>
      <c r="G177" s="1484"/>
      <c r="H177" s="1484"/>
      <c r="I177" s="1484"/>
      <c r="J177" s="1484"/>
      <c r="K177" s="1484"/>
      <c r="L177" s="1485"/>
      <c r="M177" s="609"/>
      <c r="N177" s="609"/>
    </row>
    <row r="178" spans="1:14" s="674" customFormat="1" ht="15.75" customHeight="1">
      <c r="A178" s="1552" t="s">
        <v>938</v>
      </c>
      <c r="B178" s="1553"/>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95" customHeight="1">
      <c r="A180" s="1436" t="s">
        <v>2019</v>
      </c>
      <c r="B180" s="614" t="s">
        <v>716</v>
      </c>
      <c r="C180" s="466"/>
      <c r="D180" s="466"/>
      <c r="E180" s="466"/>
      <c r="F180" s="466"/>
      <c r="G180" s="466"/>
      <c r="H180" s="466"/>
      <c r="I180" s="467"/>
      <c r="J180" s="467"/>
      <c r="K180" s="1602">
        <f>SUM(C180:J180)</f>
        <v>0</v>
      </c>
      <c r="L180" s="466">
        <v>0</v>
      </c>
    </row>
    <row r="181" spans="1:14" ht="15.75" customHeight="1">
      <c r="A181" s="624" t="s">
        <v>612</v>
      </c>
      <c r="B181" s="676"/>
      <c r="C181" s="570"/>
      <c r="D181" s="570"/>
      <c r="E181" s="570"/>
      <c r="F181" s="570"/>
      <c r="G181" s="570"/>
      <c r="H181" s="570"/>
      <c r="I181" s="468"/>
      <c r="J181" s="468"/>
      <c r="K181" s="570"/>
      <c r="L181" s="570"/>
    </row>
    <row r="182" spans="1:14" ht="12.95" customHeight="1">
      <c r="A182" s="1436" t="s">
        <v>953</v>
      </c>
      <c r="B182" s="614">
        <v>2550</v>
      </c>
      <c r="C182" s="466"/>
      <c r="D182" s="466"/>
      <c r="E182" s="466">
        <v>132760</v>
      </c>
      <c r="F182" s="466">
        <v>15409</v>
      </c>
      <c r="G182" s="466">
        <v>123096</v>
      </c>
      <c r="H182" s="466"/>
      <c r="I182" s="467"/>
      <c r="J182" s="467"/>
      <c r="K182" s="1602">
        <f>SUM(C182:J182)</f>
        <v>271265</v>
      </c>
      <c r="L182" s="466">
        <v>272171</v>
      </c>
    </row>
    <row r="183" spans="1:14" ht="12.95" customHeight="1" thickBot="1">
      <c r="A183" s="1441" t="s">
        <v>980</v>
      </c>
      <c r="B183" s="677">
        <v>2900</v>
      </c>
      <c r="C183" s="573"/>
      <c r="D183" s="573"/>
      <c r="E183" s="573"/>
      <c r="F183" s="573"/>
      <c r="G183" s="573"/>
      <c r="H183" s="573"/>
      <c r="I183" s="532"/>
      <c r="J183" s="532"/>
      <c r="K183" s="1608">
        <f>SUM(C183:J183)</f>
        <v>0</v>
      </c>
      <c r="L183" s="573">
        <v>0</v>
      </c>
    </row>
    <row r="184" spans="1:14" ht="12.95" customHeight="1" thickTop="1" thickBot="1">
      <c r="A184" s="1622" t="s">
        <v>811</v>
      </c>
      <c r="B184" s="1600" t="s">
        <v>569</v>
      </c>
      <c r="C184" s="1608">
        <f>SUM(C180,C182,C183)</f>
        <v>0</v>
      </c>
      <c r="D184" s="1608">
        <f t="shared" ref="D184:J184" si="17">SUM(D180,D182,D183)</f>
        <v>0</v>
      </c>
      <c r="E184" s="1608">
        <f t="shared" si="17"/>
        <v>132760</v>
      </c>
      <c r="F184" s="1608">
        <f t="shared" si="17"/>
        <v>15409</v>
      </c>
      <c r="G184" s="1608">
        <f t="shared" si="17"/>
        <v>123096</v>
      </c>
      <c r="H184" s="1608">
        <f t="shared" si="17"/>
        <v>0</v>
      </c>
      <c r="I184" s="1608">
        <f t="shared" si="17"/>
        <v>0</v>
      </c>
      <c r="J184" s="1608">
        <f t="shared" si="17"/>
        <v>0</v>
      </c>
      <c r="K184" s="1608">
        <f>SUM(K180,K182,K183)</f>
        <v>271265</v>
      </c>
      <c r="L184" s="1608">
        <f>SUM(L180, L182:L183)</f>
        <v>272171</v>
      </c>
    </row>
    <row r="185" spans="1:14" ht="15.75" customHeight="1" thickTop="1" thickBot="1">
      <c r="A185" s="1554" t="s">
        <v>939</v>
      </c>
      <c r="B185" s="1543">
        <v>3000</v>
      </c>
      <c r="C185" s="576"/>
      <c r="D185" s="576"/>
      <c r="E185" s="576"/>
      <c r="F185" s="576"/>
      <c r="G185" s="576"/>
      <c r="H185" s="576"/>
      <c r="I185" s="531"/>
      <c r="J185" s="531"/>
      <c r="K185" s="1601">
        <f>SUM(C185:J185)</f>
        <v>0</v>
      </c>
      <c r="L185" s="576">
        <v>0</v>
      </c>
    </row>
    <row r="186" spans="1:14" s="674" customFormat="1" ht="15.75" customHeight="1" thickTop="1">
      <c r="A186" s="1538" t="s">
        <v>91</v>
      </c>
      <c r="B186" s="1541"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6" t="s">
        <v>496</v>
      </c>
      <c r="B188" s="614">
        <v>4110</v>
      </c>
      <c r="C188" s="616"/>
      <c r="D188" s="616"/>
      <c r="E188" s="466"/>
      <c r="F188" s="616"/>
      <c r="G188" s="616"/>
      <c r="H188" s="466"/>
      <c r="I188" s="477"/>
      <c r="J188" s="616"/>
      <c r="K188" s="1602">
        <f t="shared" ref="K188:K193" si="18">SUM(E188,H188)</f>
        <v>0</v>
      </c>
      <c r="L188" s="466">
        <v>0</v>
      </c>
    </row>
    <row r="189" spans="1:14">
      <c r="A189" s="1436" t="s">
        <v>304</v>
      </c>
      <c r="B189" s="614">
        <v>4120</v>
      </c>
      <c r="C189" s="616"/>
      <c r="D189" s="616"/>
      <c r="E189" s="466"/>
      <c r="F189" s="616"/>
      <c r="G189" s="616"/>
      <c r="H189" s="466">
        <v>230945</v>
      </c>
      <c r="I189" s="477"/>
      <c r="J189" s="616"/>
      <c r="K189" s="1602">
        <f t="shared" si="18"/>
        <v>230945</v>
      </c>
      <c r="L189" s="466">
        <v>230000</v>
      </c>
    </row>
    <row r="190" spans="1:14">
      <c r="A190" s="1436" t="s">
        <v>305</v>
      </c>
      <c r="B190" s="628">
        <v>4130</v>
      </c>
      <c r="C190" s="616"/>
      <c r="D190" s="616"/>
      <c r="E190" s="466"/>
      <c r="F190" s="616"/>
      <c r="G190" s="616"/>
      <c r="H190" s="466"/>
      <c r="I190" s="477"/>
      <c r="J190" s="616"/>
      <c r="K190" s="1602">
        <f t="shared" si="18"/>
        <v>0</v>
      </c>
      <c r="L190" s="466">
        <v>0</v>
      </c>
    </row>
    <row r="191" spans="1:14">
      <c r="A191" s="1436" t="s">
        <v>697</v>
      </c>
      <c r="B191" s="614">
        <v>4140</v>
      </c>
      <c r="C191" s="616"/>
      <c r="D191" s="616"/>
      <c r="E191" s="466"/>
      <c r="F191" s="616"/>
      <c r="G191" s="616"/>
      <c r="H191" s="466"/>
      <c r="I191" s="477"/>
      <c r="J191" s="616"/>
      <c r="K191" s="1602">
        <f t="shared" si="18"/>
        <v>0</v>
      </c>
      <c r="L191" s="466">
        <v>0</v>
      </c>
    </row>
    <row r="192" spans="1:14">
      <c r="A192" s="1436" t="s">
        <v>86</v>
      </c>
      <c r="B192" s="614">
        <v>4170</v>
      </c>
      <c r="C192" s="616"/>
      <c r="D192" s="616"/>
      <c r="E192" s="466"/>
      <c r="F192" s="616"/>
      <c r="G192" s="616"/>
      <c r="H192" s="466"/>
      <c r="I192" s="477"/>
      <c r="J192" s="616"/>
      <c r="K192" s="1602">
        <f t="shared" si="18"/>
        <v>0</v>
      </c>
      <c r="L192" s="466">
        <v>0</v>
      </c>
    </row>
    <row r="193" spans="1:14">
      <c r="A193" s="1440" t="s">
        <v>698</v>
      </c>
      <c r="B193" s="628">
        <v>4190</v>
      </c>
      <c r="C193" s="616"/>
      <c r="D193" s="616"/>
      <c r="E193" s="466"/>
      <c r="F193" s="616"/>
      <c r="G193" s="616"/>
      <c r="H193" s="466">
        <v>653964</v>
      </c>
      <c r="I193" s="477"/>
      <c r="J193" s="616"/>
      <c r="K193" s="1602">
        <f t="shared" si="18"/>
        <v>653964</v>
      </c>
      <c r="L193" s="466">
        <v>700000</v>
      </c>
    </row>
    <row r="194" spans="1:14" ht="12.95" customHeight="1" thickBot="1">
      <c r="A194" s="1599" t="s">
        <v>1140</v>
      </c>
      <c r="B194" s="1600" t="s">
        <v>559</v>
      </c>
      <c r="C194" s="616"/>
      <c r="D194" s="616"/>
      <c r="E194" s="1601">
        <f>SUM(E188:E193)</f>
        <v>0</v>
      </c>
      <c r="F194" s="616"/>
      <c r="G194" s="616"/>
      <c r="H194" s="1601">
        <f>SUM(H188:H193)</f>
        <v>884909</v>
      </c>
      <c r="I194" s="477"/>
      <c r="J194" s="616"/>
      <c r="K194" s="1601">
        <f>SUM(K188:K193)</f>
        <v>884909</v>
      </c>
      <c r="L194" s="1601">
        <f>SUM(L188:L193)</f>
        <v>930000</v>
      </c>
    </row>
    <row r="195" spans="1:14" ht="15.75" customHeight="1" thickTop="1">
      <c r="A195" s="669" t="s">
        <v>92</v>
      </c>
      <c r="B195" s="678" t="s">
        <v>931</v>
      </c>
      <c r="C195" s="616"/>
      <c r="D195" s="616"/>
      <c r="E195" s="656"/>
      <c r="F195" s="616"/>
      <c r="G195" s="616"/>
      <c r="H195" s="656"/>
      <c r="I195" s="477"/>
      <c r="J195" s="616"/>
      <c r="K195" s="1616">
        <f>SUM(E195,H195)</f>
        <v>0</v>
      </c>
      <c r="L195" s="656">
        <v>0</v>
      </c>
    </row>
    <row r="196" spans="1:14" ht="12.95" customHeight="1" thickBot="1">
      <c r="A196" s="1599" t="s">
        <v>1466</v>
      </c>
      <c r="B196" s="1600" t="s">
        <v>860</v>
      </c>
      <c r="C196" s="616"/>
      <c r="D196" s="616"/>
      <c r="E196" s="1608">
        <f>SUM(E194,E195)</f>
        <v>0</v>
      </c>
      <c r="F196" s="616"/>
      <c r="G196" s="616"/>
      <c r="H196" s="1608">
        <f>SUM(H194,H195)</f>
        <v>884909</v>
      </c>
      <c r="I196" s="477"/>
      <c r="J196" s="616"/>
      <c r="K196" s="1608">
        <f>SUM(K194,K195)</f>
        <v>884909</v>
      </c>
      <c r="L196" s="1608">
        <f>SUM(L194,L195)</f>
        <v>930000</v>
      </c>
    </row>
    <row r="197" spans="1:14" s="674" customFormat="1" ht="15.75" customHeight="1" thickTop="1">
      <c r="A197" s="1544" t="s">
        <v>940</v>
      </c>
      <c r="B197" s="1541"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6" t="s">
        <v>87</v>
      </c>
      <c r="B199" s="614">
        <v>5110</v>
      </c>
      <c r="C199" s="616"/>
      <c r="D199" s="616"/>
      <c r="E199" s="616"/>
      <c r="F199" s="616"/>
      <c r="G199" s="616"/>
      <c r="H199" s="466"/>
      <c r="I199" s="616"/>
      <c r="J199" s="616"/>
      <c r="K199" s="1602">
        <f>SUM(H199)</f>
        <v>0</v>
      </c>
      <c r="L199" s="466">
        <v>0</v>
      </c>
    </row>
    <row r="200" spans="1:14">
      <c r="A200" s="1436" t="s">
        <v>88</v>
      </c>
      <c r="B200" s="614">
        <v>5120</v>
      </c>
      <c r="C200" s="616"/>
      <c r="D200" s="616"/>
      <c r="E200" s="616"/>
      <c r="F200" s="616"/>
      <c r="G200" s="616"/>
      <c r="H200" s="466"/>
      <c r="I200" s="616"/>
      <c r="J200" s="616"/>
      <c r="K200" s="1602">
        <f>SUM(H200)</f>
        <v>0</v>
      </c>
      <c r="L200" s="466">
        <v>0</v>
      </c>
    </row>
    <row r="201" spans="1:14" ht="12.95" customHeight="1">
      <c r="A201" s="1436" t="s">
        <v>1170</v>
      </c>
      <c r="B201" s="628" t="s">
        <v>617</v>
      </c>
      <c r="C201" s="616"/>
      <c r="D201" s="616"/>
      <c r="E201" s="616"/>
      <c r="F201" s="616"/>
      <c r="G201" s="616"/>
      <c r="H201" s="466"/>
      <c r="I201" s="616"/>
      <c r="J201" s="616"/>
      <c r="K201" s="1602">
        <f>SUM(H201)</f>
        <v>0</v>
      </c>
      <c r="L201" s="466">
        <v>0</v>
      </c>
    </row>
    <row r="202" spans="1:14">
      <c r="A202" s="1436" t="s">
        <v>89</v>
      </c>
      <c r="B202" s="614" t="s">
        <v>589</v>
      </c>
      <c r="C202" s="616"/>
      <c r="D202" s="616"/>
      <c r="E202" s="616"/>
      <c r="F202" s="616"/>
      <c r="G202" s="616"/>
      <c r="H202" s="466"/>
      <c r="I202" s="616"/>
      <c r="J202" s="616"/>
      <c r="K202" s="1602">
        <f>SUM(H202)</f>
        <v>0</v>
      </c>
      <c r="L202" s="466">
        <v>0</v>
      </c>
    </row>
    <row r="203" spans="1:14">
      <c r="A203" s="1448" t="s">
        <v>619</v>
      </c>
      <c r="B203" s="614" t="s">
        <v>618</v>
      </c>
      <c r="C203" s="616"/>
      <c r="D203" s="616"/>
      <c r="E203" s="616"/>
      <c r="F203" s="616"/>
      <c r="G203" s="616"/>
      <c r="H203" s="471"/>
      <c r="I203" s="616"/>
      <c r="J203" s="616"/>
      <c r="K203" s="1602">
        <f>SUM(H203)</f>
        <v>0</v>
      </c>
      <c r="L203" s="471">
        <v>0</v>
      </c>
    </row>
    <row r="204" spans="1:14" ht="13.5" thickBot="1">
      <c r="A204" s="1599" t="s">
        <v>276</v>
      </c>
      <c r="B204" s="1600" t="s">
        <v>718</v>
      </c>
      <c r="C204" s="616"/>
      <c r="D204" s="616"/>
      <c r="E204" s="616"/>
      <c r="F204" s="616"/>
      <c r="G204" s="616"/>
      <c r="H204" s="1601">
        <f>SUM(H199:H203)</f>
        <v>0</v>
      </c>
      <c r="I204" s="616"/>
      <c r="J204" s="616"/>
      <c r="K204" s="1601">
        <f>SUM(K199:K203)</f>
        <v>0</v>
      </c>
      <c r="L204" s="1601">
        <f>SUM(L199:L203)</f>
        <v>0</v>
      </c>
    </row>
    <row r="205" spans="1:14" ht="15.75" customHeight="1" thickTop="1">
      <c r="A205" s="679" t="s">
        <v>83</v>
      </c>
      <c r="B205" s="680" t="s">
        <v>38</v>
      </c>
      <c r="C205" s="616"/>
      <c r="D205" s="616"/>
      <c r="E205" s="616"/>
      <c r="F205" s="616"/>
      <c r="G205" s="616"/>
      <c r="H205" s="535"/>
      <c r="I205" s="616"/>
      <c r="J205" s="616"/>
      <c r="K205" s="1616">
        <f>SUM(H205)</f>
        <v>0</v>
      </c>
      <c r="L205" s="535">
        <v>0</v>
      </c>
    </row>
    <row r="206" spans="1:14" ht="30" customHeight="1">
      <c r="A206" s="681" t="s">
        <v>1644</v>
      </c>
      <c r="B206" s="672" t="s">
        <v>31</v>
      </c>
      <c r="C206" s="616"/>
      <c r="D206" s="616"/>
      <c r="E206" s="616"/>
      <c r="F206" s="616"/>
      <c r="G206" s="616"/>
      <c r="H206" s="466"/>
      <c r="I206" s="616"/>
      <c r="J206" s="616"/>
      <c r="K206" s="1602">
        <f>SUM(H206)</f>
        <v>0</v>
      </c>
      <c r="L206" s="466">
        <v>0</v>
      </c>
    </row>
    <row r="207" spans="1:14" ht="15.75" customHeight="1">
      <c r="A207" s="621" t="s">
        <v>766</v>
      </c>
      <c r="B207" s="672" t="s">
        <v>84</v>
      </c>
      <c r="C207" s="616"/>
      <c r="D207" s="616"/>
      <c r="E207" s="616"/>
      <c r="F207" s="616"/>
      <c r="G207" s="616"/>
      <c r="H207" s="467"/>
      <c r="I207" s="616"/>
      <c r="J207" s="616"/>
      <c r="K207" s="1602">
        <f>H207</f>
        <v>0</v>
      </c>
      <c r="L207" s="466">
        <v>0</v>
      </c>
    </row>
    <row r="208" spans="1:14" ht="12.95" customHeight="1" thickBot="1">
      <c r="A208" s="1617" t="s">
        <v>638</v>
      </c>
      <c r="B208" s="1618" t="s">
        <v>492</v>
      </c>
      <c r="C208" s="616"/>
      <c r="D208" s="616"/>
      <c r="E208" s="616"/>
      <c r="F208" s="616"/>
      <c r="G208" s="616"/>
      <c r="H208" s="1608">
        <f>SUM(H204,H205,H206,H207)</f>
        <v>0</v>
      </c>
      <c r="I208" s="616"/>
      <c r="J208" s="616"/>
      <c r="K208" s="1608">
        <f>SUM(K204,K205,K206,K207)</f>
        <v>0</v>
      </c>
      <c r="L208" s="1608">
        <f>SUM(L204,L205,L206,L207)</f>
        <v>0</v>
      </c>
    </row>
    <row r="209" spans="1:14" ht="15.75" customHeight="1" thickTop="1" thickBot="1">
      <c r="A209" s="1538" t="s">
        <v>872</v>
      </c>
      <c r="B209" s="1545" t="s">
        <v>861</v>
      </c>
      <c r="C209" s="623"/>
      <c r="D209" s="623"/>
      <c r="E209" s="623"/>
      <c r="F209" s="623"/>
      <c r="G209" s="623"/>
      <c r="H209" s="623"/>
      <c r="I209" s="616"/>
      <c r="J209" s="616"/>
      <c r="K209" s="623"/>
      <c r="L209" s="576">
        <v>0</v>
      </c>
    </row>
    <row r="210" spans="1:14" ht="12.95" customHeight="1" thickTop="1" thickBot="1">
      <c r="A210" s="1623" t="s">
        <v>277</v>
      </c>
      <c r="B210" s="1624"/>
      <c r="C210" s="1601">
        <f>SUM(C184,C185)</f>
        <v>0</v>
      </c>
      <c r="D210" s="1601">
        <f>SUM(D184,D185)</f>
        <v>0</v>
      </c>
      <c r="E210" s="1601">
        <f>SUM(E184,E185,E196)</f>
        <v>132760</v>
      </c>
      <c r="F210" s="1601">
        <f>SUM(F184,F185)</f>
        <v>15409</v>
      </c>
      <c r="G210" s="1601">
        <f>SUM(G184,G185)</f>
        <v>123096</v>
      </c>
      <c r="H210" s="1601">
        <f>SUM(H184,H185,H196,H208,H209)</f>
        <v>884909</v>
      </c>
      <c r="I210" s="1601">
        <f>SUM(I184,I185)</f>
        <v>0</v>
      </c>
      <c r="J210" s="1601">
        <f>SUM(J184,J185)</f>
        <v>0</v>
      </c>
      <c r="K210" s="1602">
        <f>SUM(K184,K185,K196,K208,K209)</f>
        <v>1156174</v>
      </c>
      <c r="L210" s="1601">
        <f>SUM(L184,L185,L196,L208,L209)</f>
        <v>1202171</v>
      </c>
    </row>
    <row r="211" spans="1:14" ht="13.5" thickTop="1">
      <c r="A211" s="2199" t="s">
        <v>996</v>
      </c>
      <c r="B211" s="2200"/>
      <c r="C211" s="618"/>
      <c r="D211" s="618"/>
      <c r="E211" s="618"/>
      <c r="F211" s="618"/>
      <c r="G211" s="618"/>
      <c r="H211" s="618"/>
      <c r="I211" s="616"/>
      <c r="J211" s="616"/>
      <c r="K211" s="1615">
        <f>'Revenues 9-14'!F268-'Expenditures 15-22'!K210</f>
        <v>-217628</v>
      </c>
      <c r="L211" s="618"/>
    </row>
    <row r="212" spans="1:14" s="666" customFormat="1" ht="9.1999999999999993" customHeight="1">
      <c r="A212" s="663"/>
      <c r="B212" s="673"/>
      <c r="C212" s="650"/>
      <c r="D212" s="650"/>
      <c r="E212" s="650"/>
      <c r="F212" s="650"/>
      <c r="G212" s="650"/>
      <c r="H212" s="650"/>
      <c r="I212" s="650"/>
      <c r="J212" s="650"/>
      <c r="K212" s="650"/>
      <c r="L212" s="650"/>
      <c r="M212" s="665"/>
      <c r="N212" s="665"/>
    </row>
    <row r="213" spans="1:14" s="343" customFormat="1" ht="16.7" customHeight="1">
      <c r="A213" s="2194" t="s">
        <v>965</v>
      </c>
      <c r="B213" s="2195"/>
      <c r="C213" s="1483"/>
      <c r="D213" s="1484"/>
      <c r="E213" s="1484"/>
      <c r="F213" s="1484"/>
      <c r="G213" s="1484"/>
      <c r="H213" s="1484"/>
      <c r="I213" s="1484"/>
      <c r="J213" s="1484"/>
      <c r="K213" s="1484"/>
      <c r="L213" s="1485"/>
      <c r="M213" s="609"/>
      <c r="N213" s="609"/>
    </row>
    <row r="214" spans="1:14" s="674" customFormat="1" ht="15.75" customHeight="1">
      <c r="A214" s="1555" t="s">
        <v>873</v>
      </c>
      <c r="B214" s="1547" t="s">
        <v>570</v>
      </c>
      <c r="C214" s="616"/>
      <c r="D214" s="623"/>
      <c r="E214" s="616"/>
      <c r="F214" s="616"/>
      <c r="G214" s="616"/>
      <c r="H214" s="616"/>
      <c r="I214" s="616"/>
      <c r="J214" s="616"/>
      <c r="K214" s="623"/>
      <c r="L214" s="623"/>
      <c r="M214" s="665"/>
      <c r="N214" s="665"/>
    </row>
    <row r="215" spans="1:14">
      <c r="A215" s="1436" t="s">
        <v>961</v>
      </c>
      <c r="B215" s="614">
        <v>1100</v>
      </c>
      <c r="C215" s="616"/>
      <c r="D215" s="466">
        <v>77738</v>
      </c>
      <c r="E215" s="616"/>
      <c r="F215" s="616"/>
      <c r="G215" s="616"/>
      <c r="H215" s="616"/>
      <c r="I215" s="616"/>
      <c r="J215" s="616"/>
      <c r="K215" s="1602">
        <f>D215</f>
        <v>77738</v>
      </c>
      <c r="L215" s="466">
        <v>78927</v>
      </c>
    </row>
    <row r="216" spans="1:14">
      <c r="A216" s="1436" t="s">
        <v>163</v>
      </c>
      <c r="B216" s="614" t="s">
        <v>967</v>
      </c>
      <c r="C216" s="616"/>
      <c r="D216" s="467"/>
      <c r="E216" s="616"/>
      <c r="F216" s="616"/>
      <c r="G216" s="616"/>
      <c r="H216" s="616"/>
      <c r="I216" s="616"/>
      <c r="J216" s="616"/>
      <c r="K216" s="1602">
        <f t="shared" ref="K216:K228" si="19">D216</f>
        <v>0</v>
      </c>
      <c r="L216" s="466">
        <v>0</v>
      </c>
    </row>
    <row r="217" spans="1:14">
      <c r="A217" s="1436" t="s">
        <v>164</v>
      </c>
      <c r="B217" s="614">
        <v>1200</v>
      </c>
      <c r="C217" s="616"/>
      <c r="D217" s="466">
        <v>70582</v>
      </c>
      <c r="E217" s="616"/>
      <c r="F217" s="616"/>
      <c r="G217" s="616"/>
      <c r="H217" s="616"/>
      <c r="I217" s="616"/>
      <c r="J217" s="616"/>
      <c r="K217" s="1602">
        <f t="shared" si="19"/>
        <v>70582</v>
      </c>
      <c r="L217" s="466">
        <v>81543</v>
      </c>
    </row>
    <row r="218" spans="1:14">
      <c r="A218" s="1436" t="s">
        <v>278</v>
      </c>
      <c r="B218" s="614" t="s">
        <v>968</v>
      </c>
      <c r="C218" s="616"/>
      <c r="D218" s="467">
        <v>11606</v>
      </c>
      <c r="E218" s="616"/>
      <c r="F218" s="616"/>
      <c r="G218" s="616"/>
      <c r="H218" s="616"/>
      <c r="I218" s="616"/>
      <c r="J218" s="616"/>
      <c r="K218" s="1602">
        <f t="shared" si="19"/>
        <v>11606</v>
      </c>
      <c r="L218" s="466">
        <v>13524</v>
      </c>
    </row>
    <row r="219" spans="1:14">
      <c r="A219" s="1436" t="s">
        <v>279</v>
      </c>
      <c r="B219" s="614">
        <v>1250</v>
      </c>
      <c r="C219" s="616"/>
      <c r="D219" s="466">
        <v>22093</v>
      </c>
      <c r="E219" s="616"/>
      <c r="F219" s="616"/>
      <c r="G219" s="616"/>
      <c r="H219" s="616"/>
      <c r="I219" s="616"/>
      <c r="J219" s="616"/>
      <c r="K219" s="1602">
        <f t="shared" si="19"/>
        <v>22093</v>
      </c>
      <c r="L219" s="466">
        <v>23970</v>
      </c>
    </row>
    <row r="220" spans="1:14">
      <c r="A220" s="1436" t="s">
        <v>280</v>
      </c>
      <c r="B220" s="614" t="s">
        <v>161</v>
      </c>
      <c r="C220" s="616"/>
      <c r="D220" s="467">
        <v>12530</v>
      </c>
      <c r="E220" s="616"/>
      <c r="F220" s="616"/>
      <c r="G220" s="616"/>
      <c r="H220" s="616"/>
      <c r="I220" s="616"/>
      <c r="J220" s="616"/>
      <c r="K220" s="1602">
        <f t="shared" si="19"/>
        <v>12530</v>
      </c>
      <c r="L220" s="466">
        <v>13666</v>
      </c>
    </row>
    <row r="221" spans="1:14">
      <c r="A221" s="1436" t="s">
        <v>962</v>
      </c>
      <c r="B221" s="614">
        <v>1300</v>
      </c>
      <c r="C221" s="616"/>
      <c r="D221" s="466"/>
      <c r="E221" s="616"/>
      <c r="F221" s="616"/>
      <c r="G221" s="616"/>
      <c r="H221" s="616"/>
      <c r="I221" s="616"/>
      <c r="J221" s="616"/>
      <c r="K221" s="1602">
        <f t="shared" si="19"/>
        <v>0</v>
      </c>
      <c r="L221" s="466">
        <v>0</v>
      </c>
    </row>
    <row r="222" spans="1:14">
      <c r="A222" s="1436" t="s">
        <v>723</v>
      </c>
      <c r="B222" s="614">
        <v>1400</v>
      </c>
      <c r="C222" s="616"/>
      <c r="D222" s="466"/>
      <c r="E222" s="616"/>
      <c r="F222" s="616"/>
      <c r="G222" s="616"/>
      <c r="H222" s="616"/>
      <c r="I222" s="616"/>
      <c r="J222" s="616"/>
      <c r="K222" s="1602">
        <f t="shared" si="19"/>
        <v>0</v>
      </c>
      <c r="L222" s="466">
        <v>0</v>
      </c>
    </row>
    <row r="223" spans="1:14">
      <c r="A223" s="1436" t="s">
        <v>963</v>
      </c>
      <c r="B223" s="614">
        <v>1500</v>
      </c>
      <c r="C223" s="616"/>
      <c r="D223" s="466">
        <v>1517</v>
      </c>
      <c r="E223" s="616"/>
      <c r="F223" s="616"/>
      <c r="G223" s="616"/>
      <c r="H223" s="616"/>
      <c r="I223" s="616"/>
      <c r="J223" s="616"/>
      <c r="K223" s="1602">
        <f t="shared" si="19"/>
        <v>1517</v>
      </c>
      <c r="L223" s="466">
        <v>1441</v>
      </c>
    </row>
    <row r="224" spans="1:14">
      <c r="A224" s="1436" t="s">
        <v>964</v>
      </c>
      <c r="B224" s="614">
        <v>1600</v>
      </c>
      <c r="C224" s="616"/>
      <c r="D224" s="466"/>
      <c r="E224" s="616"/>
      <c r="F224" s="616"/>
      <c r="G224" s="616"/>
      <c r="H224" s="616"/>
      <c r="I224" s="616"/>
      <c r="J224" s="616"/>
      <c r="K224" s="1602">
        <f t="shared" si="19"/>
        <v>0</v>
      </c>
      <c r="L224" s="466">
        <v>0</v>
      </c>
    </row>
    <row r="225" spans="1:12">
      <c r="A225" s="1436" t="s">
        <v>987</v>
      </c>
      <c r="B225" s="614">
        <v>1650</v>
      </c>
      <c r="C225" s="616"/>
      <c r="D225" s="466"/>
      <c r="E225" s="616"/>
      <c r="F225" s="616"/>
      <c r="G225" s="616"/>
      <c r="H225" s="616"/>
      <c r="I225" s="616"/>
      <c r="J225" s="616"/>
      <c r="K225" s="1602">
        <f t="shared" si="19"/>
        <v>0</v>
      </c>
      <c r="L225" s="466">
        <v>0</v>
      </c>
    </row>
    <row r="226" spans="1:12">
      <c r="A226" s="1436" t="s">
        <v>724</v>
      </c>
      <c r="B226" s="614" t="s">
        <v>162</v>
      </c>
      <c r="C226" s="616"/>
      <c r="D226" s="467"/>
      <c r="E226" s="616"/>
      <c r="F226" s="616"/>
      <c r="G226" s="616"/>
      <c r="H226" s="616"/>
      <c r="I226" s="616"/>
      <c r="J226" s="616"/>
      <c r="K226" s="1602">
        <f t="shared" si="19"/>
        <v>0</v>
      </c>
      <c r="L226" s="466">
        <v>0</v>
      </c>
    </row>
    <row r="227" spans="1:12">
      <c r="A227" s="1436" t="s">
        <v>1087</v>
      </c>
      <c r="B227" s="614">
        <v>1800</v>
      </c>
      <c r="C227" s="616"/>
      <c r="D227" s="466">
        <v>24567</v>
      </c>
      <c r="E227" s="616"/>
      <c r="F227" s="616"/>
      <c r="G227" s="616"/>
      <c r="H227" s="616"/>
      <c r="I227" s="616"/>
      <c r="J227" s="616"/>
      <c r="K227" s="1602">
        <f t="shared" si="19"/>
        <v>24567</v>
      </c>
      <c r="L227" s="466">
        <v>28713</v>
      </c>
    </row>
    <row r="228" spans="1:12">
      <c r="A228" s="1436" t="s">
        <v>1088</v>
      </c>
      <c r="B228" s="614">
        <v>1900</v>
      </c>
      <c r="C228" s="616"/>
      <c r="D228" s="466"/>
      <c r="E228" s="616"/>
      <c r="F228" s="616"/>
      <c r="G228" s="616"/>
      <c r="H228" s="616"/>
      <c r="I228" s="616"/>
      <c r="J228" s="616"/>
      <c r="K228" s="1602">
        <f t="shared" si="19"/>
        <v>0</v>
      </c>
      <c r="L228" s="466">
        <v>0</v>
      </c>
    </row>
    <row r="229" spans="1:12" ht="12.95" customHeight="1" thickBot="1">
      <c r="A229" s="1599" t="s">
        <v>715</v>
      </c>
      <c r="B229" s="1606" t="s">
        <v>570</v>
      </c>
      <c r="C229" s="616"/>
      <c r="D229" s="1601">
        <f>SUM(D215:D228)</f>
        <v>220633</v>
      </c>
      <c r="E229" s="616"/>
      <c r="F229" s="616"/>
      <c r="G229" s="616"/>
      <c r="H229" s="616"/>
      <c r="I229" s="616"/>
      <c r="J229" s="616"/>
      <c r="K229" s="1601">
        <f>SUM(K215:K228)</f>
        <v>220633</v>
      </c>
      <c r="L229" s="1601">
        <f>SUM(L215:L228)</f>
        <v>241784</v>
      </c>
    </row>
    <row r="230" spans="1:12" ht="15.75" customHeight="1" thickTop="1">
      <c r="A230" s="1544" t="s">
        <v>874</v>
      </c>
      <c r="B230" s="1545"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6" t="s">
        <v>1089</v>
      </c>
      <c r="B232" s="614">
        <v>2110</v>
      </c>
      <c r="C232" s="616"/>
      <c r="D232" s="466"/>
      <c r="E232" s="616"/>
      <c r="F232" s="616"/>
      <c r="G232" s="616"/>
      <c r="H232" s="616"/>
      <c r="I232" s="616"/>
      <c r="J232" s="616"/>
      <c r="K232" s="1602">
        <f t="shared" ref="K232:K237" si="20">D232</f>
        <v>0</v>
      </c>
      <c r="L232" s="466">
        <v>0</v>
      </c>
    </row>
    <row r="233" spans="1:12">
      <c r="A233" s="1436" t="s">
        <v>1090</v>
      </c>
      <c r="B233" s="614">
        <v>2120</v>
      </c>
      <c r="C233" s="616"/>
      <c r="D233" s="466">
        <v>3961</v>
      </c>
      <c r="E233" s="616"/>
      <c r="F233" s="616"/>
      <c r="G233" s="616"/>
      <c r="H233" s="616"/>
      <c r="I233" s="616"/>
      <c r="J233" s="616"/>
      <c r="K233" s="1602">
        <f t="shared" si="20"/>
        <v>3961</v>
      </c>
      <c r="L233" s="466">
        <v>4044</v>
      </c>
    </row>
    <row r="234" spans="1:12">
      <c r="A234" s="1436" t="s">
        <v>198</v>
      </c>
      <c r="B234" s="614">
        <v>2130</v>
      </c>
      <c r="C234" s="616"/>
      <c r="D234" s="466">
        <v>15547</v>
      </c>
      <c r="E234" s="616"/>
      <c r="F234" s="616"/>
      <c r="G234" s="616"/>
      <c r="H234" s="616"/>
      <c r="I234" s="616"/>
      <c r="J234" s="616"/>
      <c r="K234" s="1602">
        <f t="shared" si="20"/>
        <v>15547</v>
      </c>
      <c r="L234" s="466">
        <v>17903</v>
      </c>
    </row>
    <row r="235" spans="1:12">
      <c r="A235" s="1436" t="s">
        <v>199</v>
      </c>
      <c r="B235" s="614">
        <v>2140</v>
      </c>
      <c r="C235" s="616"/>
      <c r="D235" s="466"/>
      <c r="E235" s="616"/>
      <c r="F235" s="616"/>
      <c r="G235" s="616"/>
      <c r="H235" s="616"/>
      <c r="I235" s="616"/>
      <c r="J235" s="616"/>
      <c r="K235" s="1602">
        <f t="shared" si="20"/>
        <v>0</v>
      </c>
      <c r="L235" s="466">
        <v>0</v>
      </c>
    </row>
    <row r="236" spans="1:12">
      <c r="A236" s="1436" t="s">
        <v>200</v>
      </c>
      <c r="B236" s="614">
        <v>2150</v>
      </c>
      <c r="C236" s="616"/>
      <c r="D236" s="466">
        <v>419</v>
      </c>
      <c r="E236" s="616"/>
      <c r="F236" s="616"/>
      <c r="G236" s="616"/>
      <c r="H236" s="616"/>
      <c r="I236" s="616"/>
      <c r="J236" s="616"/>
      <c r="K236" s="1602">
        <f t="shared" si="20"/>
        <v>419</v>
      </c>
      <c r="L236" s="466">
        <v>285</v>
      </c>
    </row>
    <row r="237" spans="1:12">
      <c r="A237" s="1436" t="s">
        <v>165</v>
      </c>
      <c r="B237" s="614">
        <v>2190</v>
      </c>
      <c r="C237" s="616"/>
      <c r="D237" s="466">
        <v>4227</v>
      </c>
      <c r="E237" s="616"/>
      <c r="F237" s="616"/>
      <c r="G237" s="616"/>
      <c r="H237" s="616"/>
      <c r="I237" s="616"/>
      <c r="J237" s="616"/>
      <c r="K237" s="1602">
        <f t="shared" si="20"/>
        <v>4227</v>
      </c>
      <c r="L237" s="466">
        <v>4085</v>
      </c>
    </row>
    <row r="238" spans="1:12" ht="12.95" customHeight="1" thickBot="1">
      <c r="A238" s="1599" t="s">
        <v>560</v>
      </c>
      <c r="B238" s="1606" t="s">
        <v>716</v>
      </c>
      <c r="C238" s="616"/>
      <c r="D238" s="1601">
        <f>SUM(D232:D237)</f>
        <v>24154</v>
      </c>
      <c r="E238" s="616"/>
      <c r="F238" s="616"/>
      <c r="G238" s="616"/>
      <c r="H238" s="616"/>
      <c r="I238" s="616"/>
      <c r="J238" s="616"/>
      <c r="K238" s="1601">
        <f>SUM(K232:K237)</f>
        <v>24154</v>
      </c>
      <c r="L238" s="1601">
        <f>SUM(L232:L237)</f>
        <v>26317</v>
      </c>
    </row>
    <row r="239" spans="1:12" ht="15.75" customHeight="1" thickTop="1">
      <c r="A239" s="624" t="s">
        <v>592</v>
      </c>
      <c r="B239" s="631"/>
      <c r="C239" s="616"/>
      <c r="D239" s="626"/>
      <c r="E239" s="616"/>
      <c r="F239" s="616"/>
      <c r="G239" s="616"/>
      <c r="H239" s="616"/>
      <c r="I239" s="616"/>
      <c r="J239" s="616"/>
      <c r="K239" s="626"/>
      <c r="L239" s="626"/>
    </row>
    <row r="240" spans="1:12">
      <c r="A240" s="1436" t="s">
        <v>814</v>
      </c>
      <c r="B240" s="614">
        <v>2210</v>
      </c>
      <c r="C240" s="616"/>
      <c r="D240" s="481">
        <v>1421</v>
      </c>
      <c r="E240" s="616"/>
      <c r="F240" s="616"/>
      <c r="G240" s="616"/>
      <c r="H240" s="616"/>
      <c r="I240" s="616"/>
      <c r="J240" s="616"/>
      <c r="K240" s="1603">
        <f>D240</f>
        <v>1421</v>
      </c>
      <c r="L240" s="481">
        <v>6858</v>
      </c>
    </row>
    <row r="241" spans="1:12">
      <c r="A241" s="1436" t="s">
        <v>815</v>
      </c>
      <c r="B241" s="614">
        <v>2220</v>
      </c>
      <c r="C241" s="616"/>
      <c r="D241" s="466">
        <v>15759</v>
      </c>
      <c r="E241" s="616"/>
      <c r="F241" s="616"/>
      <c r="G241" s="616"/>
      <c r="H241" s="616"/>
      <c r="I241" s="616"/>
      <c r="J241" s="616"/>
      <c r="K241" s="1603">
        <f>D241</f>
        <v>15759</v>
      </c>
      <c r="L241" s="466">
        <v>9562</v>
      </c>
    </row>
    <row r="242" spans="1:12">
      <c r="A242" s="1436" t="s">
        <v>816</v>
      </c>
      <c r="B242" s="614">
        <v>2230</v>
      </c>
      <c r="C242" s="616"/>
      <c r="D242" s="466"/>
      <c r="E242" s="616"/>
      <c r="F242" s="616"/>
      <c r="G242" s="616"/>
      <c r="H242" s="616"/>
      <c r="I242" s="616"/>
      <c r="J242" s="616"/>
      <c r="K242" s="1603">
        <f>D242</f>
        <v>0</v>
      </c>
      <c r="L242" s="466">
        <v>0</v>
      </c>
    </row>
    <row r="243" spans="1:12" ht="12.95" customHeight="1" thickBot="1">
      <c r="A243" s="1625" t="s">
        <v>561</v>
      </c>
      <c r="B243" s="1626">
        <v>2200</v>
      </c>
      <c r="C243" s="616"/>
      <c r="D243" s="1601">
        <f>SUM(D240:D242)</f>
        <v>17180</v>
      </c>
      <c r="E243" s="616"/>
      <c r="F243" s="616"/>
      <c r="G243" s="616"/>
      <c r="H243" s="616"/>
      <c r="I243" s="616"/>
      <c r="J243" s="616"/>
      <c r="K243" s="1601">
        <f>SUM(K240:K242)</f>
        <v>17180</v>
      </c>
      <c r="L243" s="1601">
        <f>SUM(L240:L242)</f>
        <v>16420</v>
      </c>
    </row>
    <row r="244" spans="1:12" ht="15.75" customHeight="1" thickTop="1">
      <c r="A244" s="624" t="s">
        <v>610</v>
      </c>
      <c r="B244" s="682"/>
      <c r="C244" s="616"/>
      <c r="D244" s="626"/>
      <c r="E244" s="616"/>
      <c r="F244" s="616"/>
      <c r="G244" s="616"/>
      <c r="H244" s="616"/>
      <c r="I244" s="616"/>
      <c r="J244" s="616"/>
      <c r="K244" s="626"/>
      <c r="L244" s="626"/>
    </row>
    <row r="245" spans="1:12">
      <c r="A245" s="1436" t="s">
        <v>817</v>
      </c>
      <c r="B245" s="614">
        <v>2310</v>
      </c>
      <c r="C245" s="616"/>
      <c r="D245" s="481"/>
      <c r="E245" s="616"/>
      <c r="F245" s="616"/>
      <c r="G245" s="616"/>
      <c r="H245" s="616"/>
      <c r="I245" s="616"/>
      <c r="J245" s="616"/>
      <c r="K245" s="1603">
        <f>D245</f>
        <v>0</v>
      </c>
      <c r="L245" s="481">
        <v>0</v>
      </c>
    </row>
    <row r="246" spans="1:12">
      <c r="A246" s="1436" t="s">
        <v>818</v>
      </c>
      <c r="B246" s="614">
        <v>2320</v>
      </c>
      <c r="C246" s="616"/>
      <c r="D246" s="466">
        <v>1161</v>
      </c>
      <c r="E246" s="616"/>
      <c r="F246" s="616"/>
      <c r="G246" s="616"/>
      <c r="H246" s="616"/>
      <c r="I246" s="616"/>
      <c r="J246" s="616"/>
      <c r="K246" s="1603">
        <f t="shared" ref="K246:K256" si="21">D246</f>
        <v>1161</v>
      </c>
      <c r="L246" s="466">
        <v>1161</v>
      </c>
    </row>
    <row r="247" spans="1:12">
      <c r="A247" s="1436" t="s">
        <v>819</v>
      </c>
      <c r="B247" s="614">
        <v>2330</v>
      </c>
      <c r="C247" s="616"/>
      <c r="D247" s="466"/>
      <c r="E247" s="616"/>
      <c r="F247" s="616"/>
      <c r="G247" s="616"/>
      <c r="H247" s="616"/>
      <c r="I247" s="616"/>
      <c r="J247" s="616"/>
      <c r="K247" s="1603">
        <f t="shared" si="21"/>
        <v>0</v>
      </c>
      <c r="L247" s="466">
        <v>0</v>
      </c>
    </row>
    <row r="248" spans="1:12">
      <c r="A248" s="1437" t="s">
        <v>299</v>
      </c>
      <c r="B248" s="602" t="s">
        <v>281</v>
      </c>
      <c r="C248" s="616"/>
      <c r="D248" s="474"/>
      <c r="E248" s="616"/>
      <c r="F248" s="616"/>
      <c r="G248" s="616"/>
      <c r="H248" s="616"/>
      <c r="I248" s="616"/>
      <c r="J248" s="616"/>
      <c r="K248" s="1603">
        <f t="shared" si="21"/>
        <v>0</v>
      </c>
      <c r="L248" s="466">
        <v>0</v>
      </c>
    </row>
    <row r="249" spans="1:12">
      <c r="A249" s="1438" t="s">
        <v>1767</v>
      </c>
      <c r="B249" s="683" t="s">
        <v>282</v>
      </c>
      <c r="C249" s="616"/>
      <c r="D249" s="474"/>
      <c r="E249" s="616"/>
      <c r="F249" s="616"/>
      <c r="G249" s="616"/>
      <c r="H249" s="616"/>
      <c r="I249" s="616"/>
      <c r="J249" s="616"/>
      <c r="K249" s="1603">
        <f t="shared" si="21"/>
        <v>0</v>
      </c>
      <c r="L249" s="466">
        <v>0</v>
      </c>
    </row>
    <row r="250" spans="1:12">
      <c r="A250" s="1437" t="s">
        <v>1768</v>
      </c>
      <c r="B250" s="602" t="s">
        <v>283</v>
      </c>
      <c r="C250" s="616"/>
      <c r="D250" s="474"/>
      <c r="E250" s="616"/>
      <c r="F250" s="616"/>
      <c r="G250" s="616"/>
      <c r="H250" s="616"/>
      <c r="I250" s="616"/>
      <c r="J250" s="616"/>
      <c r="K250" s="1603">
        <f t="shared" si="21"/>
        <v>0</v>
      </c>
      <c r="L250" s="466">
        <v>0</v>
      </c>
    </row>
    <row r="251" spans="1:12">
      <c r="A251" s="1437" t="s">
        <v>238</v>
      </c>
      <c r="B251" s="602" t="s">
        <v>284</v>
      </c>
      <c r="C251" s="616"/>
      <c r="D251" s="474"/>
      <c r="E251" s="616"/>
      <c r="F251" s="616"/>
      <c r="G251" s="616"/>
      <c r="H251" s="616"/>
      <c r="I251" s="616"/>
      <c r="J251" s="616"/>
      <c r="K251" s="1603">
        <f t="shared" si="21"/>
        <v>0</v>
      </c>
      <c r="L251" s="466">
        <v>0</v>
      </c>
    </row>
    <row r="252" spans="1:12">
      <c r="A252" s="1437" t="s">
        <v>702</v>
      </c>
      <c r="B252" s="602" t="s">
        <v>285</v>
      </c>
      <c r="C252" s="616"/>
      <c r="D252" s="474"/>
      <c r="E252" s="616"/>
      <c r="F252" s="616"/>
      <c r="G252" s="616"/>
      <c r="H252" s="616"/>
      <c r="I252" s="616"/>
      <c r="J252" s="616"/>
      <c r="K252" s="1603">
        <f t="shared" si="21"/>
        <v>0</v>
      </c>
      <c r="L252" s="466">
        <v>0</v>
      </c>
    </row>
    <row r="253" spans="1:12">
      <c r="A253" s="1437" t="s">
        <v>239</v>
      </c>
      <c r="B253" s="602" t="s">
        <v>286</v>
      </c>
      <c r="C253" s="616"/>
      <c r="D253" s="474"/>
      <c r="E253" s="616"/>
      <c r="F253" s="616"/>
      <c r="G253" s="616"/>
      <c r="H253" s="616"/>
      <c r="I253" s="616"/>
      <c r="J253" s="616"/>
      <c r="K253" s="1603">
        <f t="shared" si="21"/>
        <v>0</v>
      </c>
      <c r="L253" s="466">
        <v>0</v>
      </c>
    </row>
    <row r="254" spans="1:12" ht="22.5">
      <c r="A254" s="1437" t="s">
        <v>1029</v>
      </c>
      <c r="B254" s="683" t="s">
        <v>287</v>
      </c>
      <c r="C254" s="616"/>
      <c r="D254" s="474"/>
      <c r="E254" s="616"/>
      <c r="F254" s="616"/>
      <c r="G254" s="616"/>
      <c r="H254" s="616"/>
      <c r="I254" s="616"/>
      <c r="J254" s="616"/>
      <c r="K254" s="1603">
        <f t="shared" si="21"/>
        <v>0</v>
      </c>
      <c r="L254" s="466">
        <v>0</v>
      </c>
    </row>
    <row r="255" spans="1:12">
      <c r="A255" s="1437" t="s">
        <v>1030</v>
      </c>
      <c r="B255" s="602" t="s">
        <v>288</v>
      </c>
      <c r="C255" s="616"/>
      <c r="D255" s="474"/>
      <c r="E255" s="616"/>
      <c r="F255" s="616"/>
      <c r="G255" s="616"/>
      <c r="H255" s="616"/>
      <c r="I255" s="616"/>
      <c r="J255" s="616"/>
      <c r="K255" s="1603">
        <f t="shared" si="21"/>
        <v>0</v>
      </c>
      <c r="L255" s="466">
        <v>0</v>
      </c>
    </row>
    <row r="256" spans="1:12">
      <c r="A256" s="1437" t="s">
        <v>971</v>
      </c>
      <c r="B256" s="614" t="s">
        <v>289</v>
      </c>
      <c r="C256" s="616"/>
      <c r="D256" s="474"/>
      <c r="E256" s="616"/>
      <c r="F256" s="616"/>
      <c r="G256" s="616"/>
      <c r="H256" s="616"/>
      <c r="I256" s="616"/>
      <c r="J256" s="616"/>
      <c r="K256" s="1603">
        <f t="shared" si="21"/>
        <v>0</v>
      </c>
      <c r="L256" s="466">
        <v>0</v>
      </c>
    </row>
    <row r="257" spans="1:14" ht="12.95" customHeight="1" thickBot="1">
      <c r="A257" s="1599" t="s">
        <v>717</v>
      </c>
      <c r="B257" s="1627">
        <v>2300</v>
      </c>
      <c r="C257" s="616"/>
      <c r="D257" s="1601">
        <f>SUM(D245:D256)</f>
        <v>1161</v>
      </c>
      <c r="E257" s="616"/>
      <c r="F257" s="616"/>
      <c r="G257" s="616"/>
      <c r="H257" s="616"/>
      <c r="I257" s="616"/>
      <c r="J257" s="616"/>
      <c r="K257" s="1601">
        <f>SUM(K245:K256)</f>
        <v>1161</v>
      </c>
      <c r="L257" s="1601">
        <f>SUM(L245:L256)</f>
        <v>1161</v>
      </c>
    </row>
    <row r="258" spans="1:14" ht="15.75" customHeight="1" thickTop="1">
      <c r="A258" s="624" t="s">
        <v>611</v>
      </c>
      <c r="B258" s="684"/>
      <c r="C258" s="616"/>
      <c r="D258" s="626"/>
      <c r="E258" s="616"/>
      <c r="F258" s="616"/>
      <c r="G258" s="616"/>
      <c r="H258" s="616"/>
      <c r="I258" s="616"/>
      <c r="J258" s="616"/>
      <c r="K258" s="626"/>
      <c r="L258" s="626"/>
    </row>
    <row r="259" spans="1:14">
      <c r="A259" s="1436" t="s">
        <v>1067</v>
      </c>
      <c r="B259" s="685">
        <v>2410</v>
      </c>
      <c r="C259" s="616"/>
      <c r="D259" s="481">
        <v>33770</v>
      </c>
      <c r="E259" s="616"/>
      <c r="F259" s="616"/>
      <c r="G259" s="616"/>
      <c r="H259" s="616"/>
      <c r="I259" s="616"/>
      <c r="J259" s="616"/>
      <c r="K259" s="1603">
        <f>D259</f>
        <v>33770</v>
      </c>
      <c r="L259" s="481">
        <v>35260</v>
      </c>
    </row>
    <row r="260" spans="1:14" s="597" customFormat="1">
      <c r="A260" s="1454" t="s">
        <v>1766</v>
      </c>
      <c r="B260" s="628">
        <v>2490</v>
      </c>
      <c r="C260" s="616"/>
      <c r="D260" s="466"/>
      <c r="E260" s="616"/>
      <c r="F260" s="616"/>
      <c r="G260" s="616"/>
      <c r="H260" s="616"/>
      <c r="I260" s="616"/>
      <c r="J260" s="616"/>
      <c r="K260" s="1603">
        <f>D260</f>
        <v>0</v>
      </c>
      <c r="L260" s="466">
        <v>0</v>
      </c>
      <c r="M260" s="210"/>
      <c r="N260" s="210"/>
    </row>
    <row r="261" spans="1:14" ht="12.95" customHeight="1" thickBot="1">
      <c r="A261" s="1623" t="s">
        <v>263</v>
      </c>
      <c r="B261" s="1628" t="s">
        <v>34</v>
      </c>
      <c r="C261" s="616"/>
      <c r="D261" s="1601">
        <f>SUM(D259:D260)</f>
        <v>33770</v>
      </c>
      <c r="E261" s="616"/>
      <c r="F261" s="616"/>
      <c r="G261" s="616"/>
      <c r="H261" s="616"/>
      <c r="I261" s="616"/>
      <c r="J261" s="616"/>
      <c r="K261" s="1601">
        <f>SUM(K259:K260)</f>
        <v>33770</v>
      </c>
      <c r="L261" s="1601">
        <f>SUM(L259:L260)</f>
        <v>35260</v>
      </c>
    </row>
    <row r="262" spans="1:14" ht="15.75" customHeight="1" thickTop="1">
      <c r="A262" s="624" t="s">
        <v>612</v>
      </c>
      <c r="B262" s="684"/>
      <c r="C262" s="616"/>
      <c r="D262" s="616"/>
      <c r="E262" s="616"/>
      <c r="F262" s="616"/>
      <c r="G262" s="616"/>
      <c r="H262" s="616"/>
      <c r="I262" s="616"/>
      <c r="J262" s="616"/>
      <c r="K262" s="626"/>
      <c r="L262" s="626"/>
    </row>
    <row r="263" spans="1:14">
      <c r="A263" s="1436" t="s">
        <v>1068</v>
      </c>
      <c r="B263" s="685">
        <v>2510</v>
      </c>
      <c r="C263" s="616"/>
      <c r="D263" s="466"/>
      <c r="E263" s="616"/>
      <c r="F263" s="616"/>
      <c r="G263" s="616"/>
      <c r="H263" s="616"/>
      <c r="I263" s="616"/>
      <c r="J263" s="616"/>
      <c r="K263" s="1603">
        <f>D263</f>
        <v>0</v>
      </c>
      <c r="L263" s="481">
        <v>0</v>
      </c>
    </row>
    <row r="264" spans="1:14">
      <c r="A264" s="1436" t="s">
        <v>463</v>
      </c>
      <c r="B264" s="685">
        <v>2520</v>
      </c>
      <c r="C264" s="616"/>
      <c r="D264" s="466">
        <v>1322</v>
      </c>
      <c r="E264" s="616"/>
      <c r="F264" s="616"/>
      <c r="G264" s="616"/>
      <c r="H264" s="616"/>
      <c r="I264" s="616"/>
      <c r="J264" s="616"/>
      <c r="K264" s="1603">
        <f t="shared" ref="K264:K269" si="22">D264</f>
        <v>1322</v>
      </c>
      <c r="L264" s="466">
        <v>1323</v>
      </c>
    </row>
    <row r="265" spans="1:14">
      <c r="A265" s="1436" t="s">
        <v>4</v>
      </c>
      <c r="B265" s="614">
        <v>2530</v>
      </c>
      <c r="C265" s="616"/>
      <c r="D265" s="466"/>
      <c r="E265" s="616"/>
      <c r="F265" s="616"/>
      <c r="G265" s="616"/>
      <c r="H265" s="616"/>
      <c r="I265" s="616"/>
      <c r="J265" s="616"/>
      <c r="K265" s="1603">
        <f t="shared" si="22"/>
        <v>0</v>
      </c>
      <c r="L265" s="466">
        <v>0</v>
      </c>
    </row>
    <row r="266" spans="1:14">
      <c r="A266" s="1436" t="s">
        <v>197</v>
      </c>
      <c r="B266" s="614">
        <v>2540</v>
      </c>
      <c r="C266" s="616"/>
      <c r="D266" s="466">
        <v>68351</v>
      </c>
      <c r="E266" s="616"/>
      <c r="F266" s="616"/>
      <c r="G266" s="616"/>
      <c r="H266" s="616"/>
      <c r="I266" s="616"/>
      <c r="J266" s="616"/>
      <c r="K266" s="1603">
        <f t="shared" si="22"/>
        <v>68351</v>
      </c>
      <c r="L266" s="466">
        <v>73297</v>
      </c>
    </row>
    <row r="267" spans="1:14">
      <c r="A267" s="1436" t="s">
        <v>953</v>
      </c>
      <c r="B267" s="614">
        <v>2550</v>
      </c>
      <c r="C267" s="616"/>
      <c r="D267" s="466"/>
      <c r="E267" s="616"/>
      <c r="F267" s="616"/>
      <c r="G267" s="616"/>
      <c r="H267" s="616"/>
      <c r="I267" s="616"/>
      <c r="J267" s="616"/>
      <c r="K267" s="1603">
        <f t="shared" si="22"/>
        <v>0</v>
      </c>
      <c r="L267" s="466">
        <v>0</v>
      </c>
    </row>
    <row r="268" spans="1:14">
      <c r="A268" s="1436" t="s">
        <v>100</v>
      </c>
      <c r="B268" s="614">
        <v>2560</v>
      </c>
      <c r="C268" s="616"/>
      <c r="D268" s="466">
        <v>21677</v>
      </c>
      <c r="E268" s="616"/>
      <c r="F268" s="616"/>
      <c r="G268" s="616"/>
      <c r="H268" s="616"/>
      <c r="I268" s="616"/>
      <c r="J268" s="616"/>
      <c r="K268" s="1603">
        <f t="shared" si="22"/>
        <v>21677</v>
      </c>
      <c r="L268" s="466">
        <v>22266</v>
      </c>
    </row>
    <row r="269" spans="1:14">
      <c r="A269" s="1436" t="s">
        <v>101</v>
      </c>
      <c r="B269" s="614">
        <v>2570</v>
      </c>
      <c r="C269" s="616"/>
      <c r="D269" s="466"/>
      <c r="E269" s="616"/>
      <c r="F269" s="616"/>
      <c r="G269" s="616"/>
      <c r="H269" s="616"/>
      <c r="I269" s="616"/>
      <c r="J269" s="616"/>
      <c r="K269" s="1603">
        <f t="shared" si="22"/>
        <v>0</v>
      </c>
      <c r="L269" s="466">
        <v>0</v>
      </c>
    </row>
    <row r="270" spans="1:14" ht="12.95" customHeight="1" thickBot="1">
      <c r="A270" s="1599" t="s">
        <v>719</v>
      </c>
      <c r="B270" s="1606" t="s">
        <v>35</v>
      </c>
      <c r="C270" s="616"/>
      <c r="D270" s="1601">
        <f>SUM(D263:D269)</f>
        <v>91350</v>
      </c>
      <c r="E270" s="616"/>
      <c r="F270" s="616"/>
      <c r="G270" s="616"/>
      <c r="H270" s="616"/>
      <c r="I270" s="616"/>
      <c r="J270" s="616"/>
      <c r="K270" s="1601">
        <f>SUM(K263:K269)</f>
        <v>91350</v>
      </c>
      <c r="L270" s="1601">
        <f>SUM(L263:L269)</f>
        <v>96886</v>
      </c>
    </row>
    <row r="271" spans="1:14" ht="15.75" customHeight="1" thickTop="1">
      <c r="A271" s="669" t="s">
        <v>613</v>
      </c>
      <c r="B271" s="625"/>
      <c r="C271" s="616"/>
      <c r="D271" s="626"/>
      <c r="E271" s="616"/>
      <c r="F271" s="616"/>
      <c r="G271" s="616"/>
      <c r="H271" s="616"/>
      <c r="I271" s="616"/>
      <c r="J271" s="616"/>
      <c r="K271" s="626"/>
      <c r="L271" s="626"/>
    </row>
    <row r="272" spans="1:14">
      <c r="A272" s="1436" t="s">
        <v>1060</v>
      </c>
      <c r="B272" s="614">
        <v>2610</v>
      </c>
      <c r="C272" s="616"/>
      <c r="D272" s="481"/>
      <c r="E272" s="616"/>
      <c r="F272" s="616"/>
      <c r="G272" s="616"/>
      <c r="H272" s="616"/>
      <c r="I272" s="616"/>
      <c r="J272" s="616"/>
      <c r="K272" s="1603">
        <f>D272</f>
        <v>0</v>
      </c>
      <c r="L272" s="481">
        <v>0</v>
      </c>
    </row>
    <row r="273" spans="1:12">
      <c r="A273" s="1436" t="s">
        <v>607</v>
      </c>
      <c r="B273" s="628">
        <v>2620</v>
      </c>
      <c r="C273" s="616"/>
      <c r="D273" s="466"/>
      <c r="E273" s="616"/>
      <c r="F273" s="616"/>
      <c r="G273" s="616"/>
      <c r="H273" s="616"/>
      <c r="I273" s="616"/>
      <c r="J273" s="616"/>
      <c r="K273" s="1603">
        <f>D273</f>
        <v>0</v>
      </c>
      <c r="L273" s="466">
        <v>0</v>
      </c>
    </row>
    <row r="274" spans="1:12" ht="12" customHeight="1">
      <c r="A274" s="1436" t="s">
        <v>1061</v>
      </c>
      <c r="B274" s="614">
        <v>2630</v>
      </c>
      <c r="C274" s="616"/>
      <c r="D274" s="466"/>
      <c r="E274" s="616"/>
      <c r="F274" s="616"/>
      <c r="G274" s="616"/>
      <c r="H274" s="616"/>
      <c r="I274" s="616"/>
      <c r="J274" s="616"/>
      <c r="K274" s="1603">
        <f>D274</f>
        <v>0</v>
      </c>
      <c r="L274" s="466">
        <v>0</v>
      </c>
    </row>
    <row r="275" spans="1:12">
      <c r="A275" s="1436" t="s">
        <v>403</v>
      </c>
      <c r="B275" s="614">
        <v>2640</v>
      </c>
      <c r="C275" s="616"/>
      <c r="D275" s="466"/>
      <c r="E275" s="616"/>
      <c r="F275" s="616"/>
      <c r="G275" s="616"/>
      <c r="H275" s="616"/>
      <c r="I275" s="616"/>
      <c r="J275" s="616"/>
      <c r="K275" s="1603">
        <f>D275</f>
        <v>0</v>
      </c>
      <c r="L275" s="466">
        <v>0</v>
      </c>
    </row>
    <row r="276" spans="1:12">
      <c r="A276" s="1436" t="s">
        <v>404</v>
      </c>
      <c r="B276" s="614">
        <v>2660</v>
      </c>
      <c r="C276" s="616"/>
      <c r="D276" s="466"/>
      <c r="E276" s="616"/>
      <c r="F276" s="616"/>
      <c r="G276" s="616"/>
      <c r="H276" s="616"/>
      <c r="I276" s="616"/>
      <c r="J276" s="616"/>
      <c r="K276" s="1603">
        <f>D276</f>
        <v>0</v>
      </c>
      <c r="L276" s="466">
        <v>0</v>
      </c>
    </row>
    <row r="277" spans="1:12" ht="12.95" customHeight="1" thickBot="1">
      <c r="A277" s="1622" t="s">
        <v>37</v>
      </c>
      <c r="B277" s="1600" t="s">
        <v>36</v>
      </c>
      <c r="C277" s="616"/>
      <c r="D277" s="1601">
        <f>SUM(D272:D276)</f>
        <v>0</v>
      </c>
      <c r="E277" s="616"/>
      <c r="F277" s="616"/>
      <c r="G277" s="616"/>
      <c r="H277" s="616"/>
      <c r="I277" s="616"/>
      <c r="J277" s="616"/>
      <c r="K277" s="1601">
        <f>SUM(K272:K276)</f>
        <v>0</v>
      </c>
      <c r="L277" s="1601">
        <f>SUM(L272:L276)</f>
        <v>0</v>
      </c>
    </row>
    <row r="278" spans="1:12" ht="13.5" customHeight="1" thickTop="1">
      <c r="A278" s="1442" t="s">
        <v>980</v>
      </c>
      <c r="B278" s="655" t="s">
        <v>574</v>
      </c>
      <c r="C278" s="616"/>
      <c r="D278" s="656"/>
      <c r="E278" s="616"/>
      <c r="F278" s="616"/>
      <c r="G278" s="616"/>
      <c r="H278" s="616"/>
      <c r="I278" s="616"/>
      <c r="J278" s="616"/>
      <c r="K278" s="1616">
        <f>D278</f>
        <v>0</v>
      </c>
      <c r="L278" s="656">
        <v>0</v>
      </c>
    </row>
    <row r="279" spans="1:12" ht="12.95" customHeight="1" thickBot="1">
      <c r="A279" s="1629" t="s">
        <v>811</v>
      </c>
      <c r="B279" s="1612">
        <v>2000</v>
      </c>
      <c r="C279" s="616"/>
      <c r="D279" s="1608">
        <f>SUM(D238,D243,D257,D261,D270,D277,D278)</f>
        <v>167615</v>
      </c>
      <c r="E279" s="616"/>
      <c r="F279" s="616"/>
      <c r="G279" s="616"/>
      <c r="H279" s="616"/>
      <c r="I279" s="616"/>
      <c r="J279" s="616"/>
      <c r="K279" s="1608">
        <f>SUM(K238,K243,K257,K261,K270,K277,K278)</f>
        <v>167615</v>
      </c>
      <c r="L279" s="1608">
        <f>SUM(L238,L243,L257,L261,L270,L277,L278)</f>
        <v>176044</v>
      </c>
    </row>
    <row r="280" spans="1:12" ht="15.75" customHeight="1" thickTop="1" thickBot="1">
      <c r="A280" s="1556" t="s">
        <v>875</v>
      </c>
      <c r="B280" s="1545">
        <v>3000</v>
      </c>
      <c r="C280" s="616"/>
      <c r="D280" s="576"/>
      <c r="E280" s="616"/>
      <c r="F280" s="616"/>
      <c r="G280" s="616"/>
      <c r="H280" s="616"/>
      <c r="I280" s="616"/>
      <c r="J280" s="616"/>
      <c r="K280" s="1610">
        <f>D280</f>
        <v>0</v>
      </c>
      <c r="L280" s="576">
        <v>0</v>
      </c>
    </row>
    <row r="281" spans="1:12" ht="15.75" customHeight="1" thickTop="1">
      <c r="A281" s="1546" t="s">
        <v>142</v>
      </c>
      <c r="B281" s="1547" t="s">
        <v>860</v>
      </c>
      <c r="C281" s="616"/>
      <c r="D281" s="566"/>
      <c r="E281" s="616"/>
      <c r="F281" s="616"/>
      <c r="G281" s="616"/>
      <c r="H281" s="616"/>
      <c r="I281" s="616"/>
      <c r="J281" s="616"/>
      <c r="K281" s="616"/>
      <c r="L281" s="616"/>
    </row>
    <row r="282" spans="1:12" ht="15.75" customHeight="1">
      <c r="A282" s="1761" t="s">
        <v>496</v>
      </c>
      <c r="B282" s="690" t="s">
        <v>1805</v>
      </c>
      <c r="C282" s="616"/>
      <c r="D282" s="467"/>
      <c r="E282" s="616"/>
      <c r="F282" s="616"/>
      <c r="G282" s="616"/>
      <c r="H282" s="616"/>
      <c r="I282" s="616"/>
      <c r="J282" s="616"/>
      <c r="K282" s="1602">
        <f>D282</f>
        <v>0</v>
      </c>
      <c r="L282" s="467">
        <v>0</v>
      </c>
    </row>
    <row r="283" spans="1:12">
      <c r="A283" s="1436" t="s">
        <v>304</v>
      </c>
      <c r="B283" s="614">
        <v>4120</v>
      </c>
      <c r="C283" s="616"/>
      <c r="D283" s="466">
        <v>35105</v>
      </c>
      <c r="E283" s="616"/>
      <c r="F283" s="616"/>
      <c r="G283" s="616"/>
      <c r="H283" s="616"/>
      <c r="I283" s="616"/>
      <c r="J283" s="616"/>
      <c r="K283" s="1602">
        <f>D283</f>
        <v>35105</v>
      </c>
      <c r="L283" s="466">
        <v>35105</v>
      </c>
    </row>
    <row r="284" spans="1:12">
      <c r="A284" s="1436" t="s">
        <v>697</v>
      </c>
      <c r="B284" s="614">
        <v>4140</v>
      </c>
      <c r="C284" s="616"/>
      <c r="D284" s="467"/>
      <c r="E284" s="616"/>
      <c r="F284" s="616"/>
      <c r="G284" s="616"/>
      <c r="H284" s="616"/>
      <c r="I284" s="616"/>
      <c r="J284" s="616"/>
      <c r="K284" s="1602">
        <f>D284</f>
        <v>0</v>
      </c>
      <c r="L284" s="466">
        <v>0</v>
      </c>
    </row>
    <row r="285" spans="1:12" ht="12.95" customHeight="1" thickBot="1">
      <c r="A285" s="1599" t="s">
        <v>1466</v>
      </c>
      <c r="B285" s="1600" t="s">
        <v>860</v>
      </c>
      <c r="C285" s="616"/>
      <c r="D285" s="1601">
        <f>SUM(D282:D284)</f>
        <v>35105</v>
      </c>
      <c r="E285" s="616"/>
      <c r="F285" s="616"/>
      <c r="G285" s="616"/>
      <c r="H285" s="616"/>
      <c r="I285" s="616"/>
      <c r="J285" s="616"/>
      <c r="K285" s="1601">
        <f>SUM(K282:K284)</f>
        <v>35105</v>
      </c>
      <c r="L285" s="1601">
        <f>SUM(L282:L284)</f>
        <v>35105</v>
      </c>
    </row>
    <row r="286" spans="1:12" ht="15.75" customHeight="1" thickTop="1">
      <c r="A286" s="1544" t="s">
        <v>876</v>
      </c>
      <c r="B286" s="1541"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6" t="s">
        <v>87</v>
      </c>
      <c r="B288" s="614">
        <v>5110</v>
      </c>
      <c r="C288" s="616"/>
      <c r="D288" s="616"/>
      <c r="E288" s="616"/>
      <c r="F288" s="616"/>
      <c r="G288" s="616"/>
      <c r="H288" s="466"/>
      <c r="I288" s="616"/>
      <c r="J288" s="616"/>
      <c r="K288" s="1602">
        <f>H288</f>
        <v>0</v>
      </c>
      <c r="L288" s="466">
        <v>0</v>
      </c>
    </row>
    <row r="289" spans="1:14">
      <c r="A289" s="1436" t="s">
        <v>88</v>
      </c>
      <c r="B289" s="614">
        <v>5120</v>
      </c>
      <c r="C289" s="616"/>
      <c r="D289" s="616"/>
      <c r="E289" s="616"/>
      <c r="F289" s="616"/>
      <c r="G289" s="616"/>
      <c r="H289" s="466"/>
      <c r="I289" s="616"/>
      <c r="J289" s="616"/>
      <c r="K289" s="1602">
        <f>H289</f>
        <v>0</v>
      </c>
      <c r="L289" s="466">
        <v>0</v>
      </c>
    </row>
    <row r="290" spans="1:14" ht="12.95" customHeight="1">
      <c r="A290" s="1436" t="s">
        <v>1170</v>
      </c>
      <c r="B290" s="628" t="s">
        <v>617</v>
      </c>
      <c r="C290" s="616"/>
      <c r="D290" s="616"/>
      <c r="E290" s="616"/>
      <c r="F290" s="616"/>
      <c r="G290" s="616"/>
      <c r="H290" s="466"/>
      <c r="I290" s="616"/>
      <c r="J290" s="616"/>
      <c r="K290" s="1602">
        <f>H290</f>
        <v>0</v>
      </c>
      <c r="L290" s="466">
        <v>0</v>
      </c>
    </row>
    <row r="291" spans="1:14">
      <c r="A291" s="1436" t="s">
        <v>89</v>
      </c>
      <c r="B291" s="614" t="s">
        <v>589</v>
      </c>
      <c r="C291" s="616"/>
      <c r="D291" s="616"/>
      <c r="E291" s="616"/>
      <c r="F291" s="616"/>
      <c r="G291" s="616"/>
      <c r="H291" s="466"/>
      <c r="I291" s="616"/>
      <c r="J291" s="616"/>
      <c r="K291" s="1602">
        <f>H291</f>
        <v>0</v>
      </c>
      <c r="L291" s="466">
        <v>0</v>
      </c>
    </row>
    <row r="292" spans="1:14">
      <c r="A292" s="1436" t="s">
        <v>762</v>
      </c>
      <c r="B292" s="614" t="s">
        <v>618</v>
      </c>
      <c r="C292" s="616"/>
      <c r="D292" s="616"/>
      <c r="E292" s="616"/>
      <c r="F292" s="616"/>
      <c r="G292" s="616"/>
      <c r="H292" s="466"/>
      <c r="I292" s="616"/>
      <c r="J292" s="616"/>
      <c r="K292" s="1602">
        <f>H292</f>
        <v>0</v>
      </c>
      <c r="L292" s="466">
        <v>0</v>
      </c>
    </row>
    <row r="293" spans="1:14" ht="12.95" customHeight="1" thickBot="1">
      <c r="A293" s="1599" t="s">
        <v>484</v>
      </c>
      <c r="B293" s="1600" t="s">
        <v>492</v>
      </c>
      <c r="C293" s="616"/>
      <c r="D293" s="616"/>
      <c r="E293" s="616"/>
      <c r="F293" s="616"/>
      <c r="G293" s="616"/>
      <c r="H293" s="1601">
        <f>SUM(H288:H292)</f>
        <v>0</v>
      </c>
      <c r="I293" s="616"/>
      <c r="J293" s="616"/>
      <c r="K293" s="1601">
        <f>SUM(K288:K292)</f>
        <v>0</v>
      </c>
      <c r="L293" s="1601">
        <f>SUM(L288:L292)</f>
        <v>0</v>
      </c>
    </row>
    <row r="294" spans="1:14" ht="15.75" customHeight="1" thickTop="1" thickBot="1">
      <c r="A294" s="1557" t="s">
        <v>877</v>
      </c>
      <c r="B294" s="1545" t="s">
        <v>861</v>
      </c>
      <c r="C294" s="616"/>
      <c r="D294" s="623"/>
      <c r="E294" s="616"/>
      <c r="F294" s="616"/>
      <c r="G294" s="616"/>
      <c r="H294" s="686"/>
      <c r="I294" s="616"/>
      <c r="J294" s="616"/>
      <c r="K294" s="686"/>
      <c r="L294" s="578">
        <v>0</v>
      </c>
    </row>
    <row r="295" spans="1:14" ht="12.95" customHeight="1" thickTop="1" thickBot="1">
      <c r="A295" s="2190" t="s">
        <v>505</v>
      </c>
      <c r="B295" s="2191"/>
      <c r="C295" s="616"/>
      <c r="D295" s="1601">
        <f>SUM(D229,D279,D280,D285)</f>
        <v>423353</v>
      </c>
      <c r="E295" s="616"/>
      <c r="F295" s="616"/>
      <c r="G295" s="616"/>
      <c r="H295" s="1601">
        <f>H293</f>
        <v>0</v>
      </c>
      <c r="I295" s="616"/>
      <c r="J295" s="616"/>
      <c r="K295" s="1601">
        <f>SUM(K229,K279,K280,K285,K293,K294)</f>
        <v>423353</v>
      </c>
      <c r="L295" s="1601">
        <f>SUM(L229,L279,L280,L285,L293,L294)</f>
        <v>452933</v>
      </c>
    </row>
    <row r="296" spans="1:14" ht="13.5" thickTop="1">
      <c r="A296" s="2199" t="s">
        <v>996</v>
      </c>
      <c r="B296" s="2200"/>
      <c r="C296" s="616"/>
      <c r="D296" s="618"/>
      <c r="E296" s="616"/>
      <c r="F296" s="616"/>
      <c r="G296" s="616"/>
      <c r="H296" s="687"/>
      <c r="I296" s="616"/>
      <c r="J296" s="616"/>
      <c r="K296" s="1615">
        <f>'Revenues 9-14'!G268-'Expenditures 15-22'!K295</f>
        <v>-74675</v>
      </c>
      <c r="L296" s="687"/>
    </row>
    <row r="297" spans="1:14" s="666" customFormat="1" ht="9.1999999999999993" customHeight="1">
      <c r="A297" s="663"/>
      <c r="B297" s="673"/>
      <c r="C297" s="650"/>
      <c r="D297" s="650"/>
      <c r="E297" s="650"/>
      <c r="F297" s="650"/>
      <c r="G297" s="650"/>
      <c r="H297" s="650"/>
      <c r="I297" s="650"/>
      <c r="J297" s="650"/>
      <c r="K297" s="650"/>
      <c r="L297" s="650"/>
      <c r="M297" s="665"/>
      <c r="N297" s="665"/>
    </row>
    <row r="298" spans="1:14" ht="16.7" customHeight="1">
      <c r="A298" s="2182" t="s">
        <v>143</v>
      </c>
      <c r="B298" s="2176"/>
      <c r="C298" s="1483"/>
      <c r="D298" s="1484"/>
      <c r="E298" s="1484"/>
      <c r="F298" s="1484"/>
      <c r="G298" s="1484"/>
      <c r="H298" s="1484"/>
      <c r="I298" s="1484"/>
      <c r="J298" s="1484"/>
      <c r="K298" s="1484"/>
      <c r="L298" s="1485"/>
    </row>
    <row r="299" spans="1:14" ht="15.75" customHeight="1">
      <c r="A299" s="1544" t="s">
        <v>144</v>
      </c>
      <c r="B299" s="1547"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49" t="s">
        <v>608</v>
      </c>
      <c r="B301" s="689">
        <v>2530</v>
      </c>
      <c r="C301" s="466"/>
      <c r="D301" s="466"/>
      <c r="E301" s="466"/>
      <c r="F301" s="466"/>
      <c r="G301" s="466"/>
      <c r="H301" s="466"/>
      <c r="I301" s="467"/>
      <c r="J301" s="467"/>
      <c r="K301" s="1602">
        <f>SUM(C301:J301)</f>
        <v>0</v>
      </c>
      <c r="L301" s="467">
        <v>0</v>
      </c>
    </row>
    <row r="302" spans="1:14" ht="13.5" customHeight="1">
      <c r="A302" s="1449" t="s">
        <v>980</v>
      </c>
      <c r="B302" s="614" t="s">
        <v>574</v>
      </c>
      <c r="C302" s="466"/>
      <c r="D302" s="466"/>
      <c r="E302" s="466"/>
      <c r="F302" s="466"/>
      <c r="G302" s="466"/>
      <c r="H302" s="466"/>
      <c r="I302" s="467"/>
      <c r="J302" s="467"/>
      <c r="K302" s="1602">
        <f>SUM(C302:J302)</f>
        <v>0</v>
      </c>
      <c r="L302" s="466">
        <v>0</v>
      </c>
    </row>
    <row r="303" spans="1:14" ht="12.9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c r="A304" s="1544" t="s">
        <v>145</v>
      </c>
      <c r="B304" s="1545"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0" t="s">
        <v>1810</v>
      </c>
      <c r="B306" s="690" t="s">
        <v>1805</v>
      </c>
      <c r="C306" s="616"/>
      <c r="D306" s="616"/>
      <c r="E306" s="467"/>
      <c r="F306" s="616"/>
      <c r="G306" s="616"/>
      <c r="H306" s="467"/>
      <c r="I306" s="616"/>
      <c r="J306" s="616"/>
      <c r="K306" s="1602">
        <f>SUM(E306,H306)</f>
        <v>0</v>
      </c>
      <c r="L306" s="467">
        <v>0</v>
      </c>
    </row>
    <row r="307" spans="1:14">
      <c r="A307" s="1436" t="s">
        <v>304</v>
      </c>
      <c r="B307" s="614">
        <v>4120</v>
      </c>
      <c r="C307" s="616"/>
      <c r="D307" s="616"/>
      <c r="E307" s="467"/>
      <c r="F307" s="616"/>
      <c r="G307" s="616"/>
      <c r="H307" s="467"/>
      <c r="I307" s="477"/>
      <c r="J307" s="616"/>
      <c r="K307" s="1602">
        <f>SUM(E307,H307)</f>
        <v>0</v>
      </c>
      <c r="L307" s="466">
        <v>0</v>
      </c>
    </row>
    <row r="308" spans="1:14">
      <c r="A308" s="1436" t="s">
        <v>697</v>
      </c>
      <c r="B308" s="614">
        <v>4140</v>
      </c>
      <c r="C308" s="616"/>
      <c r="D308" s="616"/>
      <c r="E308" s="467"/>
      <c r="F308" s="616"/>
      <c r="G308" s="616"/>
      <c r="H308" s="467"/>
      <c r="I308" s="477"/>
      <c r="J308" s="616"/>
      <c r="K308" s="1602">
        <f>SUM(E308,H308)</f>
        <v>0</v>
      </c>
      <c r="L308" s="466">
        <v>0</v>
      </c>
    </row>
    <row r="309" spans="1:14" ht="12.95" customHeight="1">
      <c r="A309" s="1440" t="s">
        <v>698</v>
      </c>
      <c r="B309" s="628">
        <v>4190</v>
      </c>
      <c r="C309" s="616"/>
      <c r="D309" s="616"/>
      <c r="E309" s="467"/>
      <c r="F309" s="616"/>
      <c r="G309" s="616"/>
      <c r="H309" s="467"/>
      <c r="I309" s="477"/>
      <c r="J309" s="616"/>
      <c r="K309" s="1602">
        <f>SUM(E309,H309)</f>
        <v>0</v>
      </c>
      <c r="L309" s="466">
        <v>0</v>
      </c>
    </row>
    <row r="310" spans="1:14" ht="12.95" customHeight="1" thickBot="1">
      <c r="A310" s="1599" t="s">
        <v>1466</v>
      </c>
      <c r="B310" s="1606" t="s">
        <v>860</v>
      </c>
      <c r="C310" s="616"/>
      <c r="D310" s="616"/>
      <c r="E310" s="1601">
        <f>SUM(E306:E309)</f>
        <v>0</v>
      </c>
      <c r="F310" s="616"/>
      <c r="G310" s="616"/>
      <c r="H310" s="1601">
        <f>SUM(H306:H309)</f>
        <v>0</v>
      </c>
      <c r="I310" s="477"/>
      <c r="J310" s="616"/>
      <c r="K310" s="1601">
        <f>SUM(K306:K309)</f>
        <v>0</v>
      </c>
      <c r="L310" s="1608">
        <f>SUM(L306:L309)</f>
        <v>0</v>
      </c>
    </row>
    <row r="311" spans="1:14" ht="15.75" customHeight="1" thickTop="1" thickBot="1">
      <c r="A311" s="1551" t="s">
        <v>895</v>
      </c>
      <c r="B311" s="1543" t="s">
        <v>861</v>
      </c>
      <c r="C311" s="623"/>
      <c r="D311" s="623"/>
      <c r="E311" s="623"/>
      <c r="F311" s="623"/>
      <c r="G311" s="623"/>
      <c r="H311" s="623"/>
      <c r="I311" s="623"/>
      <c r="J311" s="616"/>
      <c r="K311" s="623"/>
      <c r="L311" s="576">
        <v>0</v>
      </c>
    </row>
    <row r="312" spans="1:14" s="674" customFormat="1" ht="12.95" customHeight="1" thickTop="1" thickBot="1">
      <c r="A312" s="2187" t="s">
        <v>277</v>
      </c>
      <c r="B312" s="2188"/>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5"/>
      <c r="N312" s="665"/>
    </row>
    <row r="313" spans="1:14" ht="13.5" thickTop="1">
      <c r="A313" s="2183" t="s">
        <v>996</v>
      </c>
      <c r="B313" s="2184"/>
      <c r="C313" s="626"/>
      <c r="D313" s="626"/>
      <c r="E313" s="626"/>
      <c r="F313" s="626"/>
      <c r="G313" s="626"/>
      <c r="H313" s="626"/>
      <c r="I313" s="626"/>
      <c r="J313" s="626"/>
      <c r="K313" s="1616">
        <f>'Revenues 9-14'!H268-'Expenditures 15-22'!K312</f>
        <v>0</v>
      </c>
      <c r="L313" s="626"/>
    </row>
    <row r="314" spans="1:14" s="666" customFormat="1" ht="9.1999999999999993" customHeight="1">
      <c r="A314" s="691"/>
      <c r="B314" s="692"/>
      <c r="C314" s="693"/>
      <c r="D314" s="693"/>
      <c r="E314" s="693"/>
      <c r="F314" s="693"/>
      <c r="G314" s="693"/>
      <c r="H314" s="693"/>
      <c r="I314" s="693"/>
      <c r="J314" s="693"/>
      <c r="K314" s="693"/>
      <c r="L314" s="693"/>
      <c r="M314" s="665"/>
      <c r="N314" s="665"/>
    </row>
    <row r="315" spans="1:14" ht="16.7" customHeight="1">
      <c r="A315" s="2196" t="s">
        <v>149</v>
      </c>
      <c r="B315" s="2197"/>
      <c r="C315" s="1488"/>
      <c r="D315" s="1489"/>
      <c r="E315" s="1489"/>
      <c r="F315" s="1489"/>
      <c r="G315" s="1489"/>
      <c r="H315" s="1489"/>
      <c r="I315" s="1489"/>
      <c r="J315" s="1489"/>
      <c r="K315" s="1489"/>
      <c r="L315" s="1490"/>
    </row>
    <row r="316" spans="1:14" s="674" customFormat="1" ht="9.1999999999999993" customHeight="1">
      <c r="A316" s="691"/>
      <c r="B316" s="692"/>
      <c r="C316" s="694"/>
      <c r="D316" s="694"/>
      <c r="E316" s="694"/>
      <c r="F316" s="694"/>
      <c r="G316" s="694"/>
      <c r="H316" s="694"/>
      <c r="I316" s="694"/>
      <c r="J316" s="694"/>
      <c r="K316" s="694"/>
      <c r="L316" s="694"/>
      <c r="M316" s="665"/>
      <c r="N316" s="665"/>
    </row>
    <row r="317" spans="1:14" ht="16.7" customHeight="1">
      <c r="A317" s="2198" t="s">
        <v>898</v>
      </c>
      <c r="B317" s="2197"/>
      <c r="C317" s="1488"/>
      <c r="D317" s="1489"/>
      <c r="E317" s="1489"/>
      <c r="F317" s="1489"/>
      <c r="G317" s="1489"/>
      <c r="H317" s="1489"/>
      <c r="I317" s="1489"/>
      <c r="J317" s="1489"/>
      <c r="K317" s="1489"/>
      <c r="L317" s="1490"/>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1" t="s">
        <v>299</v>
      </c>
      <c r="B319" s="697" t="s">
        <v>281</v>
      </c>
      <c r="C319" s="467"/>
      <c r="D319" s="467"/>
      <c r="E319" s="467"/>
      <c r="F319" s="467"/>
      <c r="G319" s="467"/>
      <c r="H319" s="467"/>
      <c r="I319" s="467"/>
      <c r="J319" s="467"/>
      <c r="K319" s="1602">
        <f>SUM(C319:J319)</f>
        <v>0</v>
      </c>
      <c r="L319" s="467">
        <v>0</v>
      </c>
      <c r="M319" s="665"/>
      <c r="N319" s="665"/>
    </row>
    <row r="320" spans="1:14" s="674" customFormat="1">
      <c r="A320" s="1455" t="s">
        <v>1767</v>
      </c>
      <c r="B320" s="698" t="s">
        <v>282</v>
      </c>
      <c r="C320" s="467"/>
      <c r="D320" s="467"/>
      <c r="E320" s="467"/>
      <c r="F320" s="467"/>
      <c r="G320" s="467"/>
      <c r="H320" s="467"/>
      <c r="I320" s="467"/>
      <c r="J320" s="467"/>
      <c r="K320" s="1602">
        <f t="shared" ref="K320:K327" si="24">SUM(C320:J320)</f>
        <v>0</v>
      </c>
      <c r="L320" s="467">
        <v>0</v>
      </c>
      <c r="M320" s="665"/>
      <c r="N320" s="665"/>
    </row>
    <row r="321" spans="1:14" s="674" customFormat="1">
      <c r="A321" s="1451" t="s">
        <v>300</v>
      </c>
      <c r="B321" s="697" t="s">
        <v>283</v>
      </c>
      <c r="C321" s="467"/>
      <c r="D321" s="467"/>
      <c r="E321" s="467">
        <v>29295</v>
      </c>
      <c r="F321" s="467"/>
      <c r="G321" s="467"/>
      <c r="H321" s="467"/>
      <c r="I321" s="467"/>
      <c r="J321" s="467"/>
      <c r="K321" s="1602">
        <f t="shared" si="24"/>
        <v>29295</v>
      </c>
      <c r="L321" s="467">
        <v>45000</v>
      </c>
      <c r="M321" s="665"/>
      <c r="N321" s="665"/>
    </row>
    <row r="322" spans="1:14" s="674" customFormat="1">
      <c r="A322" s="1451" t="s">
        <v>238</v>
      </c>
      <c r="B322" s="697" t="s">
        <v>284</v>
      </c>
      <c r="C322" s="467"/>
      <c r="D322" s="467"/>
      <c r="E322" s="467">
        <v>241260</v>
      </c>
      <c r="F322" s="467"/>
      <c r="G322" s="467"/>
      <c r="H322" s="467"/>
      <c r="I322" s="467"/>
      <c r="J322" s="467"/>
      <c r="K322" s="1602">
        <f t="shared" si="24"/>
        <v>241260</v>
      </c>
      <c r="L322" s="467">
        <v>251004</v>
      </c>
      <c r="M322" s="665"/>
      <c r="N322" s="665"/>
    </row>
    <row r="323" spans="1:14" s="674" customFormat="1">
      <c r="A323" s="1451" t="s">
        <v>702</v>
      </c>
      <c r="B323" s="697" t="s">
        <v>285</v>
      </c>
      <c r="C323" s="467"/>
      <c r="D323" s="467"/>
      <c r="E323" s="467"/>
      <c r="F323" s="467"/>
      <c r="G323" s="467"/>
      <c r="H323" s="467"/>
      <c r="I323" s="467"/>
      <c r="J323" s="467"/>
      <c r="K323" s="1602">
        <f t="shared" si="24"/>
        <v>0</v>
      </c>
      <c r="L323" s="467">
        <v>0</v>
      </c>
      <c r="M323" s="665"/>
      <c r="N323" s="665"/>
    </row>
    <row r="324" spans="1:14" s="674" customFormat="1">
      <c r="A324" s="1451" t="s">
        <v>239</v>
      </c>
      <c r="B324" s="697" t="s">
        <v>286</v>
      </c>
      <c r="C324" s="467"/>
      <c r="D324" s="467"/>
      <c r="E324" s="467"/>
      <c r="F324" s="467"/>
      <c r="G324" s="467"/>
      <c r="H324" s="467"/>
      <c r="I324" s="467"/>
      <c r="J324" s="467"/>
      <c r="K324" s="1602">
        <f t="shared" si="24"/>
        <v>0</v>
      </c>
      <c r="L324" s="467">
        <v>0</v>
      </c>
      <c r="M324" s="665"/>
      <c r="N324" s="665"/>
    </row>
    <row r="325" spans="1:14" s="674" customFormat="1" ht="22.5">
      <c r="A325" s="1451" t="s">
        <v>1029</v>
      </c>
      <c r="B325" s="698" t="s">
        <v>287</v>
      </c>
      <c r="C325" s="467">
        <v>344162</v>
      </c>
      <c r="D325" s="467"/>
      <c r="E325" s="467"/>
      <c r="F325" s="467"/>
      <c r="G325" s="467"/>
      <c r="H325" s="467">
        <v>70202</v>
      </c>
      <c r="I325" s="467"/>
      <c r="J325" s="467"/>
      <c r="K325" s="1602">
        <f t="shared" si="24"/>
        <v>414364</v>
      </c>
      <c r="L325" s="467">
        <v>395661</v>
      </c>
      <c r="M325" s="665"/>
      <c r="N325" s="665"/>
    </row>
    <row r="326" spans="1:14" s="674" customFormat="1">
      <c r="A326" s="1451" t="s">
        <v>1030</v>
      </c>
      <c r="B326" s="697" t="s">
        <v>288</v>
      </c>
      <c r="C326" s="467"/>
      <c r="D326" s="467"/>
      <c r="E326" s="467"/>
      <c r="F326" s="467"/>
      <c r="G326" s="467"/>
      <c r="H326" s="467"/>
      <c r="I326" s="467"/>
      <c r="J326" s="467"/>
      <c r="K326" s="1602">
        <f t="shared" si="24"/>
        <v>0</v>
      </c>
      <c r="L326" s="467">
        <v>0</v>
      </c>
      <c r="M326" s="665"/>
      <c r="N326" s="665"/>
    </row>
    <row r="327" spans="1:14" s="674" customFormat="1">
      <c r="A327" s="1451" t="s">
        <v>971</v>
      </c>
      <c r="B327" s="697" t="s">
        <v>289</v>
      </c>
      <c r="C327" s="467"/>
      <c r="D327" s="467"/>
      <c r="E327" s="467"/>
      <c r="F327" s="467"/>
      <c r="G327" s="467"/>
      <c r="H327" s="467"/>
      <c r="I327" s="467"/>
      <c r="J327" s="467"/>
      <c r="K327" s="1602">
        <f t="shared" si="24"/>
        <v>0</v>
      </c>
      <c r="L327" s="467">
        <v>0</v>
      </c>
      <c r="M327" s="665"/>
      <c r="N327" s="665"/>
    </row>
    <row r="328" spans="1:14" s="674" customFormat="1">
      <c r="A328" s="1452" t="s">
        <v>472</v>
      </c>
      <c r="B328" s="690" t="s">
        <v>1132</v>
      </c>
      <c r="C328" s="474"/>
      <c r="D328" s="474"/>
      <c r="E328" s="474"/>
      <c r="F328" s="474"/>
      <c r="G328" s="474"/>
      <c r="H328" s="474"/>
      <c r="I328" s="474"/>
      <c r="J328" s="474"/>
      <c r="K328" s="1630">
        <f>SUM(C328:J328)</f>
        <v>0</v>
      </c>
      <c r="L328" s="474">
        <v>0</v>
      </c>
      <c r="M328" s="665"/>
      <c r="N328" s="665"/>
    </row>
    <row r="329" spans="1:14" s="674" customFormat="1">
      <c r="A329" s="1452" t="s">
        <v>1133</v>
      </c>
      <c r="B329" s="690" t="s">
        <v>1134</v>
      </c>
      <c r="C329" s="474"/>
      <c r="D329" s="474"/>
      <c r="E329" s="474"/>
      <c r="F329" s="474"/>
      <c r="G329" s="474"/>
      <c r="H329" s="474"/>
      <c r="I329" s="474"/>
      <c r="J329" s="474"/>
      <c r="K329" s="1630">
        <f>SUM(C329:J329)</f>
        <v>0</v>
      </c>
      <c r="L329" s="474">
        <v>0</v>
      </c>
      <c r="M329" s="665"/>
      <c r="N329" s="665"/>
    </row>
    <row r="330" spans="1:14" s="674" customFormat="1" ht="12.95" customHeight="1" thickBot="1">
      <c r="A330" s="1631" t="s">
        <v>717</v>
      </c>
      <c r="B330" s="1600" t="s">
        <v>569</v>
      </c>
      <c r="C330" s="1601">
        <f>SUM(C319:C329)</f>
        <v>344162</v>
      </c>
      <c r="D330" s="1601">
        <f t="shared" ref="D330:J330" si="25">SUM(D319:D329)</f>
        <v>0</v>
      </c>
      <c r="E330" s="1601">
        <f t="shared" si="25"/>
        <v>270555</v>
      </c>
      <c r="F330" s="1601">
        <f t="shared" si="25"/>
        <v>0</v>
      </c>
      <c r="G330" s="1601">
        <f t="shared" si="25"/>
        <v>0</v>
      </c>
      <c r="H330" s="1601">
        <f t="shared" si="25"/>
        <v>70202</v>
      </c>
      <c r="I330" s="1601">
        <f t="shared" si="25"/>
        <v>0</v>
      </c>
      <c r="J330" s="1601">
        <f t="shared" si="25"/>
        <v>0</v>
      </c>
      <c r="K330" s="1601">
        <f>SUM(K319:K329)</f>
        <v>684919</v>
      </c>
      <c r="L330" s="1601">
        <f>SUM(L319:L329)</f>
        <v>691665</v>
      </c>
      <c r="M330" s="665"/>
      <c r="N330" s="665"/>
    </row>
    <row r="331" spans="1:14" s="674" customFormat="1" ht="12.95" customHeight="1" thickTop="1">
      <c r="A331" s="1762" t="s">
        <v>1811</v>
      </c>
      <c r="B331" s="647" t="s">
        <v>860</v>
      </c>
      <c r="C331" s="1764"/>
      <c r="D331" s="1764"/>
      <c r="E331" s="1764"/>
      <c r="F331" s="1764"/>
      <c r="G331" s="1764"/>
      <c r="H331" s="1764"/>
      <c r="I331" s="1764"/>
      <c r="J331" s="1764"/>
      <c r="K331" s="1764"/>
      <c r="L331" s="1764"/>
      <c r="M331" s="665"/>
      <c r="N331" s="665"/>
    </row>
    <row r="332" spans="1:14" s="674" customFormat="1" ht="12.95" customHeight="1">
      <c r="A332" s="1763" t="s">
        <v>496</v>
      </c>
      <c r="B332" s="1758" t="s">
        <v>1805</v>
      </c>
      <c r="C332" s="1764"/>
      <c r="D332" s="1764"/>
      <c r="E332" s="1764"/>
      <c r="F332" s="1764"/>
      <c r="G332" s="1764"/>
      <c r="H332" s="467"/>
      <c r="I332" s="1764"/>
      <c r="J332" s="1764"/>
      <c r="K332" s="1602">
        <f>H332</f>
        <v>0</v>
      </c>
      <c r="L332" s="467">
        <v>0</v>
      </c>
      <c r="M332" s="665"/>
      <c r="N332" s="665"/>
    </row>
    <row r="333" spans="1:14" s="674" customFormat="1" ht="12.95" customHeight="1">
      <c r="A333" s="1763" t="s">
        <v>304</v>
      </c>
      <c r="B333" s="1758" t="s">
        <v>1807</v>
      </c>
      <c r="C333" s="1764"/>
      <c r="D333" s="1764"/>
      <c r="E333" s="1764"/>
      <c r="F333" s="1764"/>
      <c r="G333" s="1764"/>
      <c r="H333" s="467"/>
      <c r="I333" s="1764"/>
      <c r="J333" s="1764"/>
      <c r="K333" s="1602">
        <f>H333</f>
        <v>0</v>
      </c>
      <c r="L333" s="467">
        <v>0</v>
      </c>
      <c r="M333" s="665"/>
      <c r="N333" s="665"/>
    </row>
    <row r="334" spans="1:14" s="674" customFormat="1" ht="12.95" customHeight="1" thickBot="1">
      <c r="A334" s="1763" t="s">
        <v>1812</v>
      </c>
      <c r="B334" s="1758" t="s">
        <v>860</v>
      </c>
      <c r="C334" s="1764"/>
      <c r="D334" s="1764"/>
      <c r="E334" s="1764"/>
      <c r="F334" s="1764"/>
      <c r="G334" s="1764"/>
      <c r="H334" s="1601">
        <f>SUM(H332:H333)</f>
        <v>0</v>
      </c>
      <c r="I334" s="1764"/>
      <c r="J334" s="1764"/>
      <c r="K334" s="1601">
        <f>SUM(K332:K333)</f>
        <v>0</v>
      </c>
      <c r="L334" s="1601">
        <f>SUM(L332:L333)</f>
        <v>0</v>
      </c>
      <c r="M334" s="665"/>
      <c r="N334" s="665"/>
    </row>
    <row r="335" spans="1:14" ht="15.75" customHeight="1" thickTop="1">
      <c r="A335" s="1548" t="s">
        <v>899</v>
      </c>
      <c r="B335" s="1539"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0" t="s">
        <v>87</v>
      </c>
      <c r="B337" s="690" t="s">
        <v>900</v>
      </c>
      <c r="C337" s="638"/>
      <c r="D337" s="638"/>
      <c r="E337" s="638"/>
      <c r="F337" s="638"/>
      <c r="G337" s="638"/>
      <c r="H337" s="478"/>
      <c r="I337" s="638"/>
      <c r="J337" s="638"/>
      <c r="K337" s="1602">
        <f>H337</f>
        <v>0</v>
      </c>
      <c r="L337" s="478">
        <v>0</v>
      </c>
    </row>
    <row r="338" spans="1:14" ht="12.95" customHeight="1">
      <c r="A338" s="1450" t="s">
        <v>1170</v>
      </c>
      <c r="B338" s="690" t="s">
        <v>617</v>
      </c>
      <c r="C338" s="638"/>
      <c r="D338" s="638"/>
      <c r="E338" s="638"/>
      <c r="F338" s="638"/>
      <c r="G338" s="638"/>
      <c r="H338" s="478"/>
      <c r="I338" s="638"/>
      <c r="J338" s="638"/>
      <c r="K338" s="1602">
        <f>H338</f>
        <v>0</v>
      </c>
      <c r="L338" s="478">
        <v>0</v>
      </c>
    </row>
    <row r="339" spans="1:14">
      <c r="A339" s="1436" t="s">
        <v>901</v>
      </c>
      <c r="B339" s="628">
        <v>5150</v>
      </c>
      <c r="C339" s="638"/>
      <c r="D339" s="638"/>
      <c r="E339" s="638"/>
      <c r="F339" s="638"/>
      <c r="G339" s="638"/>
      <c r="H339" s="467"/>
      <c r="I339" s="638"/>
      <c r="J339" s="638"/>
      <c r="K339" s="1602">
        <f>H339</f>
        <v>0</v>
      </c>
      <c r="L339" s="467">
        <v>0</v>
      </c>
    </row>
    <row r="340" spans="1:14" ht="13.5" thickBot="1">
      <c r="A340" s="1625" t="s">
        <v>902</v>
      </c>
      <c r="B340" s="1600" t="s">
        <v>492</v>
      </c>
      <c r="C340" s="616"/>
      <c r="D340" s="616"/>
      <c r="E340" s="616"/>
      <c r="F340" s="616"/>
      <c r="G340" s="616"/>
      <c r="H340" s="1619">
        <f>SUM(H337:H339)</f>
        <v>0</v>
      </c>
      <c r="I340" s="616"/>
      <c r="J340" s="616"/>
      <c r="K340" s="1619">
        <f>SUM(K337:K339)</f>
        <v>0</v>
      </c>
      <c r="L340" s="1619">
        <f>SUM(L337:L339)</f>
        <v>0</v>
      </c>
    </row>
    <row r="341" spans="1:14" ht="15.75" customHeight="1" thickTop="1" thickBot="1">
      <c r="A341" s="1551" t="s">
        <v>903</v>
      </c>
      <c r="B341" s="1543" t="s">
        <v>861</v>
      </c>
      <c r="C341" s="616"/>
      <c r="D341" s="616"/>
      <c r="E341" s="477"/>
      <c r="F341" s="468"/>
      <c r="G341" s="468"/>
      <c r="H341" s="477"/>
      <c r="I341" s="477"/>
      <c r="J341" s="468"/>
      <c r="K341" s="477"/>
      <c r="L341" s="576">
        <v>0</v>
      </c>
    </row>
    <row r="342" spans="1:14" ht="12.95" customHeight="1" thickTop="1" thickBot="1">
      <c r="A342" s="1617" t="s">
        <v>505</v>
      </c>
      <c r="B342" s="1632"/>
      <c r="C342" s="1601">
        <f>SUM(C330)</f>
        <v>344162</v>
      </c>
      <c r="D342" s="1601">
        <f>SUM(D330)</f>
        <v>0</v>
      </c>
      <c r="E342" s="1601">
        <f>SUM(E330)</f>
        <v>270555</v>
      </c>
      <c r="F342" s="1601">
        <f>SUM(F330)</f>
        <v>0</v>
      </c>
      <c r="G342" s="1601">
        <f>SUM(G330)</f>
        <v>0</v>
      </c>
      <c r="H342" s="1601">
        <f>SUM(H330,H334,H340)</f>
        <v>70202</v>
      </c>
      <c r="I342" s="1601">
        <f>SUM(I330)</f>
        <v>0</v>
      </c>
      <c r="J342" s="1601">
        <f>SUM(J330)</f>
        <v>0</v>
      </c>
      <c r="K342" s="1601">
        <f>SUM(K330,K334,K340)</f>
        <v>684919</v>
      </c>
      <c r="L342" s="1608">
        <f>SUM(L330,L340,L341)</f>
        <v>691665</v>
      </c>
    </row>
    <row r="343" spans="1:14" ht="12.95" customHeight="1" thickTop="1">
      <c r="A343" s="2185" t="s">
        <v>996</v>
      </c>
      <c r="B343" s="2186"/>
      <c r="C343" s="616"/>
      <c r="D343" s="616"/>
      <c r="E343" s="616"/>
      <c r="F343" s="616"/>
      <c r="G343" s="616"/>
      <c r="H343" s="616"/>
      <c r="I343" s="616"/>
      <c r="J343" s="616"/>
      <c r="K343" s="1615">
        <f>'Revenues 9-14'!J268-'Expenditures 15-22'!K342</f>
        <v>-87397</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75" t="s">
        <v>966</v>
      </c>
      <c r="B345" s="2176"/>
      <c r="C345" s="1483"/>
      <c r="D345" s="1484"/>
      <c r="E345" s="1484"/>
      <c r="F345" s="1484"/>
      <c r="G345" s="1484"/>
      <c r="H345" s="1484"/>
      <c r="I345" s="1484"/>
      <c r="J345" s="1484"/>
      <c r="K345" s="1484"/>
      <c r="L345" s="1485"/>
      <c r="M345" s="667"/>
      <c r="N345" s="667"/>
    </row>
    <row r="346" spans="1:14" s="343" customFormat="1" ht="15.75" customHeight="1">
      <c r="A346" s="1555" t="s">
        <v>844</v>
      </c>
      <c r="B346" s="1547"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6" t="s">
        <v>4</v>
      </c>
      <c r="B348" s="614">
        <v>2530</v>
      </c>
      <c r="C348" s="466"/>
      <c r="D348" s="466"/>
      <c r="E348" s="466">
        <v>116328</v>
      </c>
      <c r="F348" s="466"/>
      <c r="G348" s="466">
        <v>704785</v>
      </c>
      <c r="H348" s="466"/>
      <c r="I348" s="467"/>
      <c r="J348" s="467"/>
      <c r="K348" s="1602">
        <f>SUM(C348:J348)</f>
        <v>821113</v>
      </c>
      <c r="L348" s="466">
        <v>827384</v>
      </c>
    </row>
    <row r="349" spans="1:14">
      <c r="A349" s="1436" t="s">
        <v>197</v>
      </c>
      <c r="B349" s="614">
        <v>2540</v>
      </c>
      <c r="C349" s="466"/>
      <c r="D349" s="466"/>
      <c r="E349" s="466"/>
      <c r="F349" s="466"/>
      <c r="G349" s="466"/>
      <c r="H349" s="466"/>
      <c r="I349" s="467"/>
      <c r="J349" s="467"/>
      <c r="K349" s="1602">
        <f>SUM(C349:J349)</f>
        <v>0</v>
      </c>
      <c r="L349" s="466">
        <v>0</v>
      </c>
    </row>
    <row r="350" spans="1:14" ht="12.95" customHeight="1" thickBot="1">
      <c r="A350" s="1599" t="s">
        <v>719</v>
      </c>
      <c r="B350" s="1600" t="s">
        <v>35</v>
      </c>
      <c r="C350" s="1601">
        <f>SUM(C348:C349)</f>
        <v>0</v>
      </c>
      <c r="D350" s="1601">
        <f t="shared" ref="D350:L350" si="26">SUM(D348:D349)</f>
        <v>0</v>
      </c>
      <c r="E350" s="1601">
        <f t="shared" si="26"/>
        <v>116328</v>
      </c>
      <c r="F350" s="1601">
        <f t="shared" si="26"/>
        <v>0</v>
      </c>
      <c r="G350" s="1601">
        <f t="shared" si="26"/>
        <v>704785</v>
      </c>
      <c r="H350" s="1601">
        <f t="shared" si="26"/>
        <v>0</v>
      </c>
      <c r="I350" s="1601">
        <f t="shared" si="26"/>
        <v>0</v>
      </c>
      <c r="J350" s="1601">
        <f t="shared" si="26"/>
        <v>0</v>
      </c>
      <c r="K350" s="1601">
        <f t="shared" si="26"/>
        <v>821113</v>
      </c>
      <c r="L350" s="1601">
        <f t="shared" si="26"/>
        <v>827384</v>
      </c>
    </row>
    <row r="351" spans="1:14" ht="12.95" customHeight="1" thickTop="1">
      <c r="A351" s="1442" t="s">
        <v>980</v>
      </c>
      <c r="B351" s="643" t="s">
        <v>574</v>
      </c>
      <c r="C351" s="481"/>
      <c r="D351" s="481"/>
      <c r="E351" s="481"/>
      <c r="F351" s="481"/>
      <c r="G351" s="481"/>
      <c r="H351" s="481"/>
      <c r="I351" s="478"/>
      <c r="J351" s="478"/>
      <c r="K351" s="615">
        <f>SUM(C351:J351)</f>
        <v>0</v>
      </c>
      <c r="L351" s="481">
        <v>0</v>
      </c>
    </row>
    <row r="352" spans="1:14" ht="12.95" customHeight="1" thickBot="1">
      <c r="A352" s="1599" t="s">
        <v>624</v>
      </c>
      <c r="B352" s="1606" t="s">
        <v>569</v>
      </c>
      <c r="C352" s="1601">
        <f>SUM(C350:C351)</f>
        <v>0</v>
      </c>
      <c r="D352" s="1601">
        <f t="shared" ref="D352:L352" si="27">SUM(D350:D351)</f>
        <v>0</v>
      </c>
      <c r="E352" s="1601">
        <f t="shared" si="27"/>
        <v>116328</v>
      </c>
      <c r="F352" s="1601">
        <f t="shared" si="27"/>
        <v>0</v>
      </c>
      <c r="G352" s="1601">
        <f t="shared" si="27"/>
        <v>704785</v>
      </c>
      <c r="H352" s="1601">
        <f t="shared" si="27"/>
        <v>0</v>
      </c>
      <c r="I352" s="1601">
        <f t="shared" si="27"/>
        <v>0</v>
      </c>
      <c r="J352" s="1601">
        <f t="shared" si="27"/>
        <v>0</v>
      </c>
      <c r="K352" s="1601">
        <f t="shared" si="27"/>
        <v>821113</v>
      </c>
      <c r="L352" s="1601">
        <f t="shared" si="27"/>
        <v>827384</v>
      </c>
    </row>
    <row r="353" spans="1:14" s="343" customFormat="1" ht="15.75" customHeight="1" thickTop="1">
      <c r="A353" s="1544" t="s">
        <v>625</v>
      </c>
      <c r="B353" s="1541" t="s">
        <v>860</v>
      </c>
      <c r="C353" s="616"/>
      <c r="D353" s="616"/>
      <c r="E353" s="616"/>
      <c r="F353" s="616"/>
      <c r="G353" s="616"/>
      <c r="H353" s="616"/>
      <c r="I353" s="616"/>
      <c r="J353" s="616"/>
      <c r="K353" s="616"/>
      <c r="L353" s="616"/>
      <c r="M353" s="609"/>
      <c r="N353" s="609"/>
    </row>
    <row r="354" spans="1:14">
      <c r="A354" s="1765" t="s">
        <v>1813</v>
      </c>
      <c r="B354" s="683" t="s">
        <v>1805</v>
      </c>
      <c r="C354" s="616"/>
      <c r="D354" s="616"/>
      <c r="E354" s="616"/>
      <c r="F354" s="616"/>
      <c r="G354" s="616"/>
      <c r="H354" s="474"/>
      <c r="I354" s="701"/>
      <c r="J354" s="616"/>
      <c r="K354" s="1630">
        <f>H354</f>
        <v>0</v>
      </c>
      <c r="L354" s="471">
        <v>0</v>
      </c>
    </row>
    <row r="355" spans="1:14" ht="12.95" customHeight="1">
      <c r="A355" s="1445" t="s">
        <v>1814</v>
      </c>
      <c r="B355" s="690" t="s">
        <v>1807</v>
      </c>
      <c r="C355" s="616"/>
      <c r="D355" s="616"/>
      <c r="E355" s="616"/>
      <c r="F355" s="616"/>
      <c r="G355" s="616"/>
      <c r="H355" s="467"/>
      <c r="I355" s="701"/>
      <c r="J355" s="616"/>
      <c r="K355" s="1674">
        <f>H355</f>
        <v>0</v>
      </c>
      <c r="L355" s="467">
        <v>0</v>
      </c>
    </row>
    <row r="356" spans="1:14" ht="12.95" customHeight="1">
      <c r="A356" s="1765" t="s">
        <v>698</v>
      </c>
      <c r="B356" s="683" t="s">
        <v>558</v>
      </c>
      <c r="C356" s="616"/>
      <c r="D356" s="616"/>
      <c r="E356" s="616"/>
      <c r="F356" s="616"/>
      <c r="G356" s="616"/>
      <c r="H356" s="479"/>
      <c r="I356" s="701"/>
      <c r="J356" s="616"/>
      <c r="K356" s="1671">
        <f>H356</f>
        <v>0</v>
      </c>
      <c r="L356" s="479">
        <v>0</v>
      </c>
    </row>
    <row r="357" spans="1:14" ht="12.95" customHeight="1" thickBot="1">
      <c r="A357" s="1599" t="s">
        <v>1466</v>
      </c>
      <c r="B357" s="1600" t="s">
        <v>860</v>
      </c>
      <c r="C357" s="616"/>
      <c r="D357" s="616"/>
      <c r="E357" s="616"/>
      <c r="F357" s="616"/>
      <c r="G357" s="616"/>
      <c r="H357" s="1619">
        <f>SUM(H354:H356)</f>
        <v>0</v>
      </c>
      <c r="I357" s="701"/>
      <c r="J357" s="616"/>
      <c r="K357" s="1619">
        <f>SUM(K354:K356)</f>
        <v>0</v>
      </c>
      <c r="L357" s="1619">
        <f>SUM(L354:L356)</f>
        <v>0</v>
      </c>
    </row>
    <row r="358" spans="1:14" s="343" customFormat="1" ht="15.75" customHeight="1" thickTop="1">
      <c r="A358" s="1544" t="s">
        <v>948</v>
      </c>
      <c r="B358" s="1541"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6" t="s">
        <v>87</v>
      </c>
      <c r="B360" s="614">
        <v>5110</v>
      </c>
      <c r="C360" s="616"/>
      <c r="D360" s="616"/>
      <c r="E360" s="616"/>
      <c r="F360" s="616"/>
      <c r="G360" s="616"/>
      <c r="H360" s="467"/>
      <c r="I360" s="616"/>
      <c r="J360" s="616"/>
      <c r="K360" s="1602">
        <f>SUM(C360:J360)</f>
        <v>0</v>
      </c>
      <c r="L360" s="466">
        <v>0</v>
      </c>
    </row>
    <row r="361" spans="1:14" ht="12.95" customHeight="1">
      <c r="A361" s="1437" t="s">
        <v>619</v>
      </c>
      <c r="B361" s="602" t="s">
        <v>618</v>
      </c>
      <c r="C361" s="616"/>
      <c r="D361" s="616"/>
      <c r="E361" s="616"/>
      <c r="F361" s="616"/>
      <c r="G361" s="616"/>
      <c r="H361" s="467"/>
      <c r="I361" s="616"/>
      <c r="J361" s="616"/>
      <c r="K361" s="1602">
        <f>SUM(C361:J361)</f>
        <v>0</v>
      </c>
      <c r="L361" s="466">
        <v>0</v>
      </c>
    </row>
    <row r="362" spans="1:14" ht="12.95" customHeight="1" thickBot="1">
      <c r="A362" s="1599" t="s">
        <v>626</v>
      </c>
      <c r="B362" s="1600" t="s">
        <v>718</v>
      </c>
      <c r="C362" s="616"/>
      <c r="D362" s="616"/>
      <c r="E362" s="616"/>
      <c r="F362" s="616"/>
      <c r="G362" s="616"/>
      <c r="H362" s="1634">
        <f>SUM(H360:H361)</f>
        <v>0</v>
      </c>
      <c r="I362" s="616"/>
      <c r="J362" s="616"/>
      <c r="K362" s="1634">
        <f>SUM(K360:K361)</f>
        <v>0</v>
      </c>
      <c r="L362" s="1634">
        <f>SUM(L360:L361)</f>
        <v>0</v>
      </c>
    </row>
    <row r="363" spans="1:14" s="674" customFormat="1" ht="15.75" customHeight="1" thickTop="1">
      <c r="A363" s="660" t="s">
        <v>83</v>
      </c>
      <c r="B363" s="661" t="s">
        <v>38</v>
      </c>
      <c r="C363" s="638"/>
      <c r="D363" s="638"/>
      <c r="E363" s="638"/>
      <c r="F363" s="638"/>
      <c r="G363" s="638"/>
      <c r="H363" s="479"/>
      <c r="I363" s="638"/>
      <c r="J363" s="638"/>
      <c r="K363" s="1630">
        <f>SUM(C363:J363)</f>
        <v>0</v>
      </c>
      <c r="L363" s="479">
        <v>0</v>
      </c>
      <c r="M363" s="665"/>
      <c r="N363" s="665"/>
    </row>
    <row r="364" spans="1:14" s="708" customFormat="1" ht="29.25" customHeight="1">
      <c r="A364" s="702" t="s">
        <v>1645</v>
      </c>
      <c r="B364" s="703">
        <v>5300</v>
      </c>
      <c r="C364" s="704"/>
      <c r="D364" s="705"/>
      <c r="E364" s="705"/>
      <c r="F364" s="704"/>
      <c r="G364" s="705"/>
      <c r="H364" s="706"/>
      <c r="I364" s="705"/>
      <c r="J364" s="705"/>
      <c r="K364" s="1602">
        <f>SUM(C364:J364)</f>
        <v>0</v>
      </c>
      <c r="L364" s="707">
        <v>0</v>
      </c>
    </row>
    <row r="365" spans="1:14" s="674" customFormat="1" ht="12.95" customHeight="1" thickBot="1">
      <c r="A365" s="1453" t="s">
        <v>590</v>
      </c>
      <c r="B365" s="659" t="s">
        <v>492</v>
      </c>
      <c r="C365" s="638"/>
      <c r="D365" s="638"/>
      <c r="E365" s="638"/>
      <c r="F365" s="638"/>
      <c r="G365" s="638"/>
      <c r="H365" s="1634">
        <f>SUM(H362,H363,H364)</f>
        <v>0</v>
      </c>
      <c r="I365" s="638"/>
      <c r="J365" s="638"/>
      <c r="K365" s="1634">
        <f>SUM(K362,K363,K364)</f>
        <v>0</v>
      </c>
      <c r="L365" s="1634">
        <f>SUM(L362,L363,L364)</f>
        <v>0</v>
      </c>
      <c r="M365" s="665"/>
      <c r="N365" s="665"/>
    </row>
    <row r="366" spans="1:14" s="343" customFormat="1" ht="15.75" customHeight="1" thickTop="1" thickBot="1">
      <c r="A366" s="1538" t="s">
        <v>949</v>
      </c>
      <c r="B366" s="1545" t="s">
        <v>861</v>
      </c>
      <c r="C366" s="623"/>
      <c r="D366" s="623"/>
      <c r="E366" s="623"/>
      <c r="F366" s="623"/>
      <c r="G366" s="623"/>
      <c r="H366" s="623"/>
      <c r="I366" s="623"/>
      <c r="J366" s="616"/>
      <c r="K366" s="623"/>
      <c r="L366" s="573"/>
      <c r="M366" s="609"/>
      <c r="N366" s="609"/>
    </row>
    <row r="367" spans="1:14" ht="12.95" customHeight="1" thickTop="1" thickBot="1">
      <c r="A367" s="1623" t="s">
        <v>505</v>
      </c>
      <c r="B367" s="1635"/>
      <c r="C367" s="1601">
        <f t="shared" ref="C367:L367" si="28">SUM(C352,C357,C365,C366)</f>
        <v>0</v>
      </c>
      <c r="D367" s="1601">
        <f t="shared" si="28"/>
        <v>0</v>
      </c>
      <c r="E367" s="1601">
        <f t="shared" si="28"/>
        <v>116328</v>
      </c>
      <c r="F367" s="1601">
        <f t="shared" si="28"/>
        <v>0</v>
      </c>
      <c r="G367" s="1601">
        <f t="shared" si="28"/>
        <v>704785</v>
      </c>
      <c r="H367" s="1601">
        <f t="shared" si="28"/>
        <v>0</v>
      </c>
      <c r="I367" s="1601">
        <f t="shared" si="28"/>
        <v>0</v>
      </c>
      <c r="J367" s="1601">
        <f t="shared" si="28"/>
        <v>0</v>
      </c>
      <c r="K367" s="1601">
        <f t="shared" si="28"/>
        <v>821113</v>
      </c>
      <c r="L367" s="1601">
        <f t="shared" si="28"/>
        <v>827384</v>
      </c>
    </row>
    <row r="368" spans="1:14" ht="13.5" thickTop="1">
      <c r="A368" s="2199" t="s">
        <v>996</v>
      </c>
      <c r="B368" s="2200"/>
      <c r="C368" s="654"/>
      <c r="D368" s="654"/>
      <c r="E368" s="626"/>
      <c r="F368" s="626"/>
      <c r="G368" s="626"/>
      <c r="H368" s="626"/>
      <c r="I368" s="626"/>
      <c r="J368" s="623"/>
      <c r="K368" s="1602">
        <f>'Revenues 9-14'!K268-'Expenditures 15-22'!K367</f>
        <v>-777115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C8" sqref="C8"/>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4" t="s">
        <v>104</v>
      </c>
    </row>
    <row r="2" spans="1:6" ht="39.75" customHeight="1">
      <c r="A2" s="2201" t="s">
        <v>1764</v>
      </c>
      <c r="B2" s="1460" t="s">
        <v>1911</v>
      </c>
      <c r="C2" s="714" t="s">
        <v>1912</v>
      </c>
      <c r="D2" s="714" t="s">
        <v>1913</v>
      </c>
      <c r="E2" s="714" t="s">
        <v>1914</v>
      </c>
      <c r="F2" s="714" t="s">
        <v>1915</v>
      </c>
    </row>
    <row r="3" spans="1:6" ht="12" customHeight="1">
      <c r="A3" s="2202"/>
      <c r="B3" s="1457"/>
      <c r="C3" s="1458"/>
      <c r="D3" s="1459" t="s">
        <v>256</v>
      </c>
      <c r="E3" s="1458"/>
      <c r="F3" s="1459" t="s">
        <v>257</v>
      </c>
    </row>
    <row r="4" spans="1:6" ht="13.7" customHeight="1">
      <c r="A4" s="715" t="s">
        <v>1155</v>
      </c>
      <c r="B4" s="1680">
        <f>'Revenues 9-14'!C5</f>
        <v>4729480</v>
      </c>
      <c r="C4" s="1456">
        <v>2250897</v>
      </c>
      <c r="D4" s="1683">
        <f>B4-C4</f>
        <v>2478583</v>
      </c>
      <c r="E4" s="1456">
        <f>5003282-675</f>
        <v>5002607</v>
      </c>
      <c r="F4" s="1683">
        <f>E4-C4</f>
        <v>2751710</v>
      </c>
    </row>
    <row r="5" spans="1:6" ht="13.7" customHeight="1">
      <c r="A5" s="715" t="s">
        <v>870</v>
      </c>
      <c r="B5" s="1681">
        <f>'Revenues 9-14'!D5</f>
        <v>1264681</v>
      </c>
      <c r="C5" s="585">
        <v>601172</v>
      </c>
      <c r="D5" s="1684">
        <f t="shared" ref="D5:D18" si="0">B5-C5</f>
        <v>663509</v>
      </c>
      <c r="E5" s="585">
        <v>1336104</v>
      </c>
      <c r="F5" s="1684">
        <f>E5-C5</f>
        <v>734932</v>
      </c>
    </row>
    <row r="6" spans="1:6" ht="13.7" customHeight="1">
      <c r="A6" s="715" t="s">
        <v>411</v>
      </c>
      <c r="B6" s="1681">
        <f>'Revenues 9-14'!E5</f>
        <v>1087892</v>
      </c>
      <c r="C6" s="585">
        <v>501123</v>
      </c>
      <c r="D6" s="1684">
        <f t="shared" si="0"/>
        <v>586769</v>
      </c>
      <c r="E6" s="585">
        <v>1113742</v>
      </c>
      <c r="F6" s="1684">
        <f t="shared" ref="F6:F18" si="1">E6-C6</f>
        <v>612619</v>
      </c>
    </row>
    <row r="7" spans="1:6" ht="13.7" customHeight="1">
      <c r="A7" s="715" t="s">
        <v>155</v>
      </c>
      <c r="B7" s="1681">
        <f>'Revenues 9-14'!F5</f>
        <v>322897</v>
      </c>
      <c r="C7" s="585">
        <v>153491</v>
      </c>
      <c r="D7" s="1684">
        <f t="shared" si="0"/>
        <v>169406</v>
      </c>
      <c r="E7" s="585">
        <v>341133</v>
      </c>
      <c r="F7" s="1684">
        <f t="shared" si="1"/>
        <v>187642</v>
      </c>
    </row>
    <row r="8" spans="1:6" ht="13.7" customHeight="1">
      <c r="A8" s="715" t="s">
        <v>1179</v>
      </c>
      <c r="B8" s="1681">
        <f>'Revenues 9-14'!G5</f>
        <v>133903</v>
      </c>
      <c r="C8" s="585">
        <v>68190</v>
      </c>
      <c r="D8" s="1684">
        <f t="shared" si="0"/>
        <v>65713</v>
      </c>
      <c r="E8" s="585">
        <v>151548</v>
      </c>
      <c r="F8" s="1684">
        <f t="shared" si="1"/>
        <v>83358</v>
      </c>
    </row>
    <row r="9" spans="1:6" ht="13.7" customHeight="1">
      <c r="A9" s="715" t="s">
        <v>408</v>
      </c>
      <c r="B9" s="1681">
        <f>'Revenues 9-14'!H5</f>
        <v>0</v>
      </c>
      <c r="C9" s="585"/>
      <c r="D9" s="1684">
        <f t="shared" si="0"/>
        <v>0</v>
      </c>
      <c r="E9" s="585"/>
      <c r="F9" s="1684">
        <f t="shared" si="1"/>
        <v>0</v>
      </c>
    </row>
    <row r="10" spans="1:6" ht="13.7" customHeight="1">
      <c r="A10" s="715" t="s">
        <v>407</v>
      </c>
      <c r="B10" s="1681">
        <f>'Revenues 9-14'!I5</f>
        <v>134544</v>
      </c>
      <c r="C10" s="585">
        <v>63956</v>
      </c>
      <c r="D10" s="1684">
        <f t="shared" si="0"/>
        <v>70588</v>
      </c>
      <c r="E10" s="585">
        <v>142139</v>
      </c>
      <c r="F10" s="1684">
        <f t="shared" si="1"/>
        <v>78183</v>
      </c>
    </row>
    <row r="11" spans="1:6">
      <c r="A11" s="715" t="s">
        <v>409</v>
      </c>
      <c r="B11" s="1681">
        <f>'Revenues 9-14'!J5</f>
        <v>592810</v>
      </c>
      <c r="C11" s="585">
        <v>311201</v>
      </c>
      <c r="D11" s="1684">
        <f t="shared" si="0"/>
        <v>281609</v>
      </c>
      <c r="E11" s="585">
        <v>691647</v>
      </c>
      <c r="F11" s="1684">
        <f t="shared" si="1"/>
        <v>380446</v>
      </c>
    </row>
    <row r="12" spans="1:6" ht="13.7" customHeight="1">
      <c r="A12" s="715" t="s">
        <v>157</v>
      </c>
      <c r="B12" s="1681">
        <f>'Revenues 9-14'!K5</f>
        <v>41122</v>
      </c>
      <c r="C12" s="585">
        <v>41122</v>
      </c>
      <c r="D12" s="1684">
        <f t="shared" si="0"/>
        <v>0</v>
      </c>
      <c r="E12" s="585">
        <v>91395</v>
      </c>
      <c r="F12" s="1684">
        <f t="shared" si="1"/>
        <v>50273</v>
      </c>
    </row>
    <row r="13" spans="1:6" ht="13.7" customHeight="1">
      <c r="A13" s="715" t="s">
        <v>936</v>
      </c>
      <c r="B13" s="1681">
        <f>SUM('Revenues 9-14'!C6:D6)</f>
        <v>0</v>
      </c>
      <c r="C13" s="585"/>
      <c r="D13" s="1684">
        <f t="shared" si="0"/>
        <v>0</v>
      </c>
      <c r="E13" s="585"/>
      <c r="F13" s="1684">
        <f t="shared" si="1"/>
        <v>0</v>
      </c>
    </row>
    <row r="14" spans="1:6" ht="13.7" customHeight="1">
      <c r="A14" s="715" t="s">
        <v>410</v>
      </c>
      <c r="B14" s="1681">
        <f>SUM('Revenues 9-14'!C7:D7,'Revenues 9-14'!F7:H7)</f>
        <v>53814</v>
      </c>
      <c r="C14" s="585">
        <v>25581</v>
      </c>
      <c r="D14" s="1684">
        <f t="shared" si="0"/>
        <v>28233</v>
      </c>
      <c r="E14" s="585">
        <v>56855</v>
      </c>
      <c r="F14" s="1684">
        <f t="shared" si="1"/>
        <v>31274</v>
      </c>
    </row>
    <row r="15" spans="1:6" ht="13.7" customHeight="1">
      <c r="A15" s="715" t="s">
        <v>1158</v>
      </c>
      <c r="B15" s="1681">
        <f>SUM('Revenues 9-14'!D9:E9,'Revenues 9-14'!H9)</f>
        <v>0</v>
      </c>
      <c r="C15" s="585"/>
      <c r="D15" s="1684">
        <f t="shared" si="0"/>
        <v>0</v>
      </c>
      <c r="E15" s="585"/>
      <c r="F15" s="1684">
        <f t="shared" si="1"/>
        <v>0</v>
      </c>
    </row>
    <row r="16" spans="1:6" ht="13.7" customHeight="1">
      <c r="A16" s="715" t="s">
        <v>1159</v>
      </c>
      <c r="B16" s="1681">
        <f>'Revenues 9-14'!G8</f>
        <v>149799</v>
      </c>
      <c r="C16" s="585">
        <v>74697</v>
      </c>
      <c r="D16" s="1684">
        <f t="shared" si="0"/>
        <v>75102</v>
      </c>
      <c r="E16" s="585">
        <v>166018</v>
      </c>
      <c r="F16" s="1684">
        <f t="shared" si="1"/>
        <v>91321</v>
      </c>
    </row>
    <row r="17" spans="1:6" ht="13.7" customHeight="1">
      <c r="A17" s="715" t="s">
        <v>1160</v>
      </c>
      <c r="B17" s="1681">
        <f>'Revenues 9-14'!C10</f>
        <v>0</v>
      </c>
      <c r="C17" s="585"/>
      <c r="D17" s="1684">
        <f t="shared" si="0"/>
        <v>0</v>
      </c>
      <c r="E17" s="585"/>
      <c r="F17" s="1684">
        <f t="shared" si="1"/>
        <v>0</v>
      </c>
    </row>
    <row r="18" spans="1:6" ht="13.7" customHeight="1">
      <c r="A18" s="715" t="s">
        <v>762</v>
      </c>
      <c r="B18" s="1681">
        <f>SUM('Revenues 9-14'!C11:K11)</f>
        <v>134544</v>
      </c>
      <c r="C18" s="585">
        <v>63955</v>
      </c>
      <c r="D18" s="1684">
        <f t="shared" si="0"/>
        <v>70589</v>
      </c>
      <c r="E18" s="585">
        <v>142139</v>
      </c>
      <c r="F18" s="1684">
        <f t="shared" si="1"/>
        <v>78184</v>
      </c>
    </row>
    <row r="19" spans="1:6" ht="13.7" customHeight="1" thickBot="1">
      <c r="A19" s="1685" t="s">
        <v>1161</v>
      </c>
      <c r="B19" s="1682">
        <f>SUM(B4:B18)</f>
        <v>8645486</v>
      </c>
      <c r="C19" s="1682">
        <f>SUM(C4:C18)</f>
        <v>4155385</v>
      </c>
      <c r="D19" s="1682">
        <f>SUM(D4:D18)</f>
        <v>4490101</v>
      </c>
      <c r="E19" s="1682">
        <f>SUM(E4:E18)</f>
        <v>9235327</v>
      </c>
      <c r="F19" s="1682">
        <f>SUM(F4:F18)</f>
        <v>5079942</v>
      </c>
    </row>
    <row r="20" spans="1:6" ht="13.5" thickTop="1">
      <c r="B20" s="713"/>
      <c r="F20" s="716"/>
    </row>
    <row r="21" spans="1:6">
      <c r="A21" s="717" t="s">
        <v>1770</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2" colorId="8" zoomScale="110" zoomScaleNormal="110" workbookViewId="0">
      <selection activeCell="J37" sqref="J37"/>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c r="A1" s="2207" t="s">
        <v>629</v>
      </c>
      <c r="B1" s="2208"/>
      <c r="C1" s="721"/>
    </row>
    <row r="2" spans="1:7" ht="33.75">
      <c r="A2" s="2216" t="s">
        <v>1764</v>
      </c>
      <c r="B2" s="2217"/>
      <c r="C2" s="1815" t="s">
        <v>1916</v>
      </c>
      <c r="D2" s="723" t="s">
        <v>1917</v>
      </c>
      <c r="E2" s="723" t="s">
        <v>1918</v>
      </c>
      <c r="F2" s="1815" t="s">
        <v>1919</v>
      </c>
    </row>
    <row r="3" spans="1:7" ht="15.75" customHeight="1">
      <c r="A3" s="2220" t="s">
        <v>1114</v>
      </c>
      <c r="B3" s="2221"/>
      <c r="C3" s="2209"/>
      <c r="D3" s="2210"/>
      <c r="E3" s="2210"/>
      <c r="F3" s="2211"/>
    </row>
    <row r="4" spans="1:7" ht="12.95" customHeight="1" thickBot="1">
      <c r="A4" s="2218" t="s">
        <v>630</v>
      </c>
      <c r="B4" s="2219"/>
      <c r="C4" s="581"/>
      <c r="D4" s="581"/>
      <c r="E4" s="581"/>
      <c r="F4" s="1686">
        <f>SUM(C4+D4)-E4</f>
        <v>0</v>
      </c>
    </row>
    <row r="5" spans="1:7" ht="15.75" customHeight="1" thickTop="1">
      <c r="A5" s="2203" t="s">
        <v>1110</v>
      </c>
      <c r="B5" s="2204"/>
      <c r="C5" s="2212"/>
      <c r="D5" s="2213"/>
      <c r="E5" s="2213"/>
      <c r="F5" s="2214"/>
    </row>
    <row r="6" spans="1:7" ht="12.95" customHeight="1" thickBot="1">
      <c r="A6" s="724" t="s">
        <v>64</v>
      </c>
      <c r="B6" s="725"/>
      <c r="C6" s="726"/>
      <c r="D6" s="585"/>
      <c r="E6" s="726"/>
      <c r="F6" s="1686">
        <f t="shared" ref="F6:F14" si="0">SUM(C6+D6)-E6</f>
        <v>0</v>
      </c>
    </row>
    <row r="7" spans="1:7" ht="12.95" customHeight="1" thickTop="1" thickBot="1">
      <c r="A7" s="724" t="s">
        <v>6</v>
      </c>
      <c r="B7" s="725"/>
      <c r="C7" s="726"/>
      <c r="D7" s="585"/>
      <c r="E7" s="726"/>
      <c r="F7" s="1686">
        <f t="shared" si="0"/>
        <v>0</v>
      </c>
    </row>
    <row r="8" spans="1:7" ht="12.95" customHeight="1" thickTop="1" thickBot="1">
      <c r="A8" s="724" t="s">
        <v>508</v>
      </c>
      <c r="B8" s="725"/>
      <c r="C8" s="726"/>
      <c r="D8" s="585"/>
      <c r="E8" s="726"/>
      <c r="F8" s="1686">
        <f t="shared" si="0"/>
        <v>0</v>
      </c>
    </row>
    <row r="9" spans="1:7" ht="12.95" customHeight="1" thickTop="1" thickBot="1">
      <c r="A9" s="724" t="s">
        <v>509</v>
      </c>
      <c r="B9" s="725"/>
      <c r="C9" s="726"/>
      <c r="D9" s="585"/>
      <c r="E9" s="726"/>
      <c r="F9" s="1686">
        <f t="shared" si="0"/>
        <v>0</v>
      </c>
    </row>
    <row r="10" spans="1:7" ht="12.95" customHeight="1" thickTop="1" thickBot="1">
      <c r="A10" s="724" t="s">
        <v>510</v>
      </c>
      <c r="B10" s="725"/>
      <c r="C10" s="726"/>
      <c r="D10" s="585"/>
      <c r="E10" s="726"/>
      <c r="F10" s="1686">
        <f t="shared" si="0"/>
        <v>0</v>
      </c>
    </row>
    <row r="11" spans="1:7" ht="12.95" customHeight="1" thickTop="1" thickBot="1">
      <c r="A11" s="724" t="s">
        <v>341</v>
      </c>
      <c r="B11" s="725"/>
      <c r="C11" s="726"/>
      <c r="D11" s="585"/>
      <c r="E11" s="726"/>
      <c r="F11" s="1686">
        <f t="shared" si="0"/>
        <v>0</v>
      </c>
    </row>
    <row r="12" spans="1:7" ht="12.95" customHeight="1" thickTop="1" thickBot="1">
      <c r="A12" s="724" t="s">
        <v>1157</v>
      </c>
      <c r="B12" s="725"/>
      <c r="C12" s="726"/>
      <c r="D12" s="585"/>
      <c r="E12" s="726"/>
      <c r="F12" s="1686">
        <f t="shared" si="0"/>
        <v>0</v>
      </c>
    </row>
    <row r="13" spans="1:7" ht="12.95" customHeight="1" thickTop="1" thickBot="1">
      <c r="A13" s="724" t="s">
        <v>388</v>
      </c>
      <c r="B13" s="725"/>
      <c r="C13" s="726"/>
      <c r="D13" s="585"/>
      <c r="E13" s="726"/>
      <c r="F13" s="1686">
        <f t="shared" si="0"/>
        <v>0</v>
      </c>
    </row>
    <row r="14" spans="1:7" ht="12.95" customHeight="1" thickTop="1" thickBot="1">
      <c r="A14" s="724" t="s">
        <v>448</v>
      </c>
      <c r="B14" s="725"/>
      <c r="C14" s="726"/>
      <c r="D14" s="585"/>
      <c r="E14" s="726"/>
      <c r="F14" s="1686">
        <f t="shared" si="0"/>
        <v>0</v>
      </c>
    </row>
    <row r="15" spans="1:7" ht="14.25" thickTop="1" thickBot="1">
      <c r="A15" s="2205" t="s">
        <v>631</v>
      </c>
      <c r="B15" s="2206"/>
      <c r="C15" s="1686">
        <f>SUM(C6:C14)</f>
        <v>0</v>
      </c>
      <c r="D15" s="1686">
        <f>SUM(D6:D14)</f>
        <v>0</v>
      </c>
      <c r="E15" s="1686">
        <f>SUM(E6:E14)</f>
        <v>0</v>
      </c>
      <c r="F15" s="1686">
        <f>SUM(F6:F14)</f>
        <v>0</v>
      </c>
      <c r="G15" s="552"/>
    </row>
    <row r="16" spans="1:7" s="202" customFormat="1" ht="15.75" customHeight="1" thickTop="1">
      <c r="A16" s="2215" t="s">
        <v>1111</v>
      </c>
      <c r="B16" s="2204"/>
      <c r="C16" s="2212"/>
      <c r="D16" s="2213"/>
      <c r="E16" s="2213"/>
      <c r="F16" s="2214"/>
    </row>
    <row r="17" spans="1:11" ht="12.95" customHeight="1" thickBot="1">
      <c r="A17" s="2228" t="s">
        <v>64</v>
      </c>
      <c r="B17" s="2229"/>
      <c r="C17" s="726"/>
      <c r="D17" s="585"/>
      <c r="E17" s="726"/>
      <c r="F17" s="1686">
        <f>SUM(C17+D17)-E17</f>
        <v>0</v>
      </c>
    </row>
    <row r="18" spans="1:11" ht="12.95" customHeight="1" thickTop="1" thickBot="1">
      <c r="A18" s="2228" t="s">
        <v>6</v>
      </c>
      <c r="B18" s="2229"/>
      <c r="C18" s="726"/>
      <c r="D18" s="585"/>
      <c r="E18" s="726"/>
      <c r="F18" s="1686">
        <f>SUM(C18+D18)-E18</f>
        <v>0</v>
      </c>
    </row>
    <row r="19" spans="1:11" ht="12.95" customHeight="1" thickTop="1" thickBot="1">
      <c r="A19" s="2228" t="s">
        <v>388</v>
      </c>
      <c r="B19" s="2229"/>
      <c r="C19" s="726"/>
      <c r="D19" s="585"/>
      <c r="E19" s="726"/>
      <c r="F19" s="1686">
        <f>SUM(C19+D19)-E19</f>
        <v>0</v>
      </c>
    </row>
    <row r="20" spans="1:11" ht="12.95" customHeight="1" thickTop="1" thickBot="1">
      <c r="A20" s="2228" t="s">
        <v>448</v>
      </c>
      <c r="B20" s="2229"/>
      <c r="C20" s="726"/>
      <c r="D20" s="585"/>
      <c r="E20" s="726"/>
      <c r="F20" s="1686">
        <f>SUM(C20+D20)-E20</f>
        <v>0</v>
      </c>
    </row>
    <row r="21" spans="1:11" ht="14.25" thickTop="1" thickBot="1">
      <c r="A21" s="2205" t="s">
        <v>632</v>
      </c>
      <c r="B21" s="2206"/>
      <c r="C21" s="1686">
        <f>SUM(C17:C20)</f>
        <v>0</v>
      </c>
      <c r="D21" s="1686">
        <f>SUM(D17:D20)</f>
        <v>0</v>
      </c>
      <c r="E21" s="1686">
        <f>SUM(E17:E20)</f>
        <v>0</v>
      </c>
      <c r="F21" s="1686">
        <f>SUM(F17:F20)</f>
        <v>0</v>
      </c>
      <c r="G21" s="552"/>
    </row>
    <row r="22" spans="1:11" ht="15.75" customHeight="1" thickTop="1">
      <c r="A22" s="2230" t="s">
        <v>1112</v>
      </c>
      <c r="B22" s="2204"/>
      <c r="C22" s="2212"/>
      <c r="D22" s="2213"/>
      <c r="E22" s="2213"/>
      <c r="F22" s="2214"/>
    </row>
    <row r="23" spans="1:11" ht="13.5" thickBot="1">
      <c r="A23" s="2218" t="s">
        <v>633</v>
      </c>
      <c r="B23" s="2219"/>
      <c r="C23" s="581"/>
      <c r="D23" s="581"/>
      <c r="E23" s="581"/>
      <c r="F23" s="1686">
        <f>SUM(C23+D23)-E23</f>
        <v>0</v>
      </c>
      <c r="G23" s="552"/>
    </row>
    <row r="24" spans="1:11" ht="15.75" customHeight="1" thickTop="1">
      <c r="A24" s="2230" t="s">
        <v>1113</v>
      </c>
      <c r="B24" s="2204"/>
      <c r="C24" s="2212"/>
      <c r="D24" s="2213"/>
      <c r="E24" s="2213"/>
      <c r="F24" s="2214"/>
    </row>
    <row r="25" spans="1:11" ht="13.5" thickBot="1">
      <c r="A25" s="2218" t="s">
        <v>634</v>
      </c>
      <c r="B25" s="2219"/>
      <c r="C25" s="581"/>
      <c r="D25" s="581"/>
      <c r="E25" s="581"/>
      <c r="F25" s="1686">
        <f>SUM(C25+D25)-E25</f>
        <v>0</v>
      </c>
      <c r="G25" s="552"/>
    </row>
    <row r="26" spans="1:11" ht="15.75" customHeight="1" thickTop="1">
      <c r="A26" s="2203" t="s">
        <v>657</v>
      </c>
      <c r="B26" s="2204"/>
      <c r="C26" s="727"/>
      <c r="D26" s="727"/>
      <c r="E26" s="727"/>
      <c r="F26" s="728"/>
    </row>
    <row r="27" spans="1:11" ht="13.5" thickBot="1">
      <c r="A27" s="2205" t="s">
        <v>1070</v>
      </c>
      <c r="B27" s="2206"/>
      <c r="C27" s="585"/>
      <c r="D27" s="585"/>
      <c r="E27" s="585"/>
      <c r="F27" s="1686">
        <f>SUM(C27+D27)-E27</f>
        <v>0</v>
      </c>
      <c r="G27" s="552"/>
    </row>
    <row r="28" spans="1:11" ht="7.5" customHeight="1" thickTop="1">
      <c r="A28" s="593"/>
    </row>
    <row r="29" spans="1:11" ht="23.25" customHeight="1">
      <c r="A29" s="2231" t="s">
        <v>582</v>
      </c>
      <c r="B29" s="2208"/>
      <c r="C29" s="729"/>
      <c r="D29" s="729"/>
      <c r="E29" s="729"/>
      <c r="F29" s="729"/>
      <c r="G29" s="729"/>
      <c r="H29" s="729"/>
      <c r="I29" s="729"/>
      <c r="J29" s="729"/>
    </row>
    <row r="30" spans="1:11" ht="33.75">
      <c r="A30" s="1461" t="s">
        <v>1071</v>
      </c>
      <c r="B30" s="730" t="s">
        <v>1124</v>
      </c>
      <c r="C30" s="1816" t="s">
        <v>583</v>
      </c>
      <c r="D30" s="1816" t="s">
        <v>1646</v>
      </c>
      <c r="E30" s="1816" t="s">
        <v>1920</v>
      </c>
      <c r="F30" s="1816" t="s">
        <v>1921</v>
      </c>
      <c r="G30" s="1816" t="s">
        <v>1871</v>
      </c>
      <c r="H30" s="1816" t="s">
        <v>1922</v>
      </c>
      <c r="I30" s="1816" t="s">
        <v>1923</v>
      </c>
      <c r="J30" s="1817" t="s">
        <v>2</v>
      </c>
      <c r="K30" s="731"/>
    </row>
    <row r="31" spans="1:11" ht="12" customHeight="1">
      <c r="A31" s="732" t="s">
        <v>2041</v>
      </c>
      <c r="B31" s="733">
        <v>39185</v>
      </c>
      <c r="C31" s="734">
        <v>2388750</v>
      </c>
      <c r="D31" s="735" t="s">
        <v>2042</v>
      </c>
      <c r="E31" s="734">
        <v>1926960</v>
      </c>
      <c r="F31" s="734"/>
      <c r="G31" s="734"/>
      <c r="H31" s="734">
        <v>86555</v>
      </c>
      <c r="I31" s="1687">
        <f>((E31+F31)-H31)+G31</f>
        <v>1840405</v>
      </c>
      <c r="J31" s="734">
        <v>1703200</v>
      </c>
      <c r="K31" s="736"/>
    </row>
    <row r="32" spans="1:11" ht="12" customHeight="1">
      <c r="A32" s="732" t="s">
        <v>2043</v>
      </c>
      <c r="B32" s="733">
        <v>40995</v>
      </c>
      <c r="C32" s="734">
        <v>5100000</v>
      </c>
      <c r="D32" s="735" t="s">
        <v>2044</v>
      </c>
      <c r="E32" s="734">
        <v>5100000</v>
      </c>
      <c r="F32" s="734"/>
      <c r="G32" s="734"/>
      <c r="H32" s="734"/>
      <c r="I32" s="1687">
        <f>((E32+F32)-H32)+G32</f>
        <v>5100000</v>
      </c>
      <c r="J32" s="734">
        <v>4719788</v>
      </c>
      <c r="K32" s="736"/>
    </row>
    <row r="33" spans="1:11" ht="12" customHeight="1">
      <c r="A33" s="732" t="s">
        <v>2045</v>
      </c>
      <c r="B33" s="733">
        <v>41423</v>
      </c>
      <c r="C33" s="734">
        <v>2520000</v>
      </c>
      <c r="D33" s="735" t="s">
        <v>2046</v>
      </c>
      <c r="E33" s="734">
        <v>435000</v>
      </c>
      <c r="F33" s="734"/>
      <c r="G33" s="734"/>
      <c r="H33" s="734">
        <v>435000</v>
      </c>
      <c r="I33" s="1687">
        <f t="shared" ref="I33:I48" si="1">((E33+F33)-H33)+G33</f>
        <v>0</v>
      </c>
      <c r="J33" s="734"/>
      <c r="K33" s="736"/>
    </row>
    <row r="34" spans="1:11" ht="12" customHeight="1">
      <c r="A34" s="732" t="s">
        <v>2047</v>
      </c>
      <c r="B34" s="733">
        <v>42149</v>
      </c>
      <c r="C34" s="734">
        <v>1490000</v>
      </c>
      <c r="D34" s="735" t="s">
        <v>2048</v>
      </c>
      <c r="E34" s="734">
        <v>1320000</v>
      </c>
      <c r="F34" s="734"/>
      <c r="G34" s="734"/>
      <c r="H34" s="734">
        <v>55000</v>
      </c>
      <c r="I34" s="1687">
        <f t="shared" si="1"/>
        <v>1265000</v>
      </c>
      <c r="J34" s="734">
        <v>1170692</v>
      </c>
      <c r="K34" s="737"/>
    </row>
    <row r="35" spans="1:11" ht="12" customHeight="1">
      <c r="A35" s="732" t="s">
        <v>2049</v>
      </c>
      <c r="B35" s="733">
        <v>42429</v>
      </c>
      <c r="C35" s="738">
        <v>1000000</v>
      </c>
      <c r="D35" s="735" t="s">
        <v>2050</v>
      </c>
      <c r="E35" s="738">
        <v>1000000</v>
      </c>
      <c r="F35" s="738"/>
      <c r="G35" s="738"/>
      <c r="H35" s="738">
        <v>505000</v>
      </c>
      <c r="I35" s="1687">
        <f t="shared" si="1"/>
        <v>495000</v>
      </c>
      <c r="J35" s="738">
        <v>458097</v>
      </c>
      <c r="K35" s="737"/>
    </row>
    <row r="36" spans="1:11" ht="12" customHeight="1">
      <c r="A36" s="732" t="s">
        <v>2051</v>
      </c>
      <c r="B36" s="733">
        <v>43250</v>
      </c>
      <c r="C36" s="734">
        <v>1000000</v>
      </c>
      <c r="D36" s="735" t="s">
        <v>2048</v>
      </c>
      <c r="E36" s="734">
        <v>1000000</v>
      </c>
      <c r="F36" s="734"/>
      <c r="G36" s="734"/>
      <c r="H36" s="734"/>
      <c r="I36" s="1687">
        <f t="shared" si="1"/>
        <v>1000000</v>
      </c>
      <c r="J36" s="734">
        <v>925449</v>
      </c>
      <c r="K36" s="739"/>
    </row>
    <row r="37" spans="1:11" ht="12" customHeight="1">
      <c r="A37" s="732"/>
      <c r="B37" s="733"/>
      <c r="C37" s="467"/>
      <c r="D37" s="740"/>
      <c r="E37" s="467"/>
      <c r="F37" s="467"/>
      <c r="G37" s="467"/>
      <c r="H37" s="467"/>
      <c r="I37" s="1687">
        <f t="shared" si="1"/>
        <v>0</v>
      </c>
      <c r="J37" s="467"/>
      <c r="K37" s="737"/>
    </row>
    <row r="38" spans="1:11" ht="12" customHeight="1">
      <c r="A38" s="732"/>
      <c r="B38" s="733"/>
      <c r="C38" s="734"/>
      <c r="D38" s="741"/>
      <c r="E38" s="742"/>
      <c r="F38" s="742"/>
      <c r="G38" s="742"/>
      <c r="H38" s="742"/>
      <c r="I38" s="1687">
        <f t="shared" si="1"/>
        <v>0</v>
      </c>
      <c r="J38" s="743" t="s">
        <v>264</v>
      </c>
      <c r="K38" s="744"/>
    </row>
    <row r="39" spans="1:11" ht="12" customHeight="1">
      <c r="A39" s="732"/>
      <c r="B39" s="733"/>
      <c r="C39" s="734"/>
      <c r="D39" s="741"/>
      <c r="E39" s="742"/>
      <c r="F39" s="742"/>
      <c r="G39" s="742"/>
      <c r="H39" s="742"/>
      <c r="I39" s="1687">
        <f t="shared" si="1"/>
        <v>0</v>
      </c>
      <c r="J39" s="743"/>
      <c r="K39" s="744"/>
    </row>
    <row r="40" spans="1:11" ht="12" customHeight="1">
      <c r="A40" s="732"/>
      <c r="B40" s="733"/>
      <c r="C40" s="734"/>
      <c r="D40" s="741"/>
      <c r="E40" s="742"/>
      <c r="F40" s="742"/>
      <c r="G40" s="742"/>
      <c r="H40" s="742"/>
      <c r="I40" s="1687">
        <f t="shared" si="1"/>
        <v>0</v>
      </c>
      <c r="J40" s="743"/>
      <c r="K40" s="744"/>
    </row>
    <row r="41" spans="1:11" ht="12" customHeight="1">
      <c r="A41" s="732"/>
      <c r="B41" s="733"/>
      <c r="C41" s="734"/>
      <c r="D41" s="741"/>
      <c r="E41" s="742"/>
      <c r="F41" s="742"/>
      <c r="G41" s="742"/>
      <c r="H41" s="742"/>
      <c r="I41" s="1687">
        <f t="shared" si="1"/>
        <v>0</v>
      </c>
      <c r="J41" s="743"/>
      <c r="K41" s="744"/>
    </row>
    <row r="42" spans="1:11" ht="12" customHeight="1">
      <c r="A42" s="732"/>
      <c r="B42" s="733"/>
      <c r="C42" s="734"/>
      <c r="D42" s="741"/>
      <c r="E42" s="742"/>
      <c r="F42" s="742"/>
      <c r="G42" s="742"/>
      <c r="H42" s="742"/>
      <c r="I42" s="1687">
        <f t="shared" si="1"/>
        <v>0</v>
      </c>
      <c r="J42" s="743"/>
      <c r="K42" s="744"/>
    </row>
    <row r="43" spans="1:11" ht="12" customHeight="1">
      <c r="A43" s="732"/>
      <c r="B43" s="733"/>
      <c r="C43" s="734"/>
      <c r="D43" s="741"/>
      <c r="E43" s="742"/>
      <c r="F43" s="742"/>
      <c r="G43" s="742"/>
      <c r="H43" s="742"/>
      <c r="I43" s="1687">
        <f t="shared" si="1"/>
        <v>0</v>
      </c>
      <c r="J43" s="743"/>
      <c r="K43" s="744"/>
    </row>
    <row r="44" spans="1:11" ht="12" customHeight="1">
      <c r="A44" s="732"/>
      <c r="B44" s="733"/>
      <c r="C44" s="734"/>
      <c r="D44" s="735"/>
      <c r="E44" s="734"/>
      <c r="F44" s="734"/>
      <c r="G44" s="734"/>
      <c r="H44" s="734"/>
      <c r="I44" s="1687">
        <f t="shared" si="1"/>
        <v>0</v>
      </c>
      <c r="J44" s="734"/>
      <c r="K44" s="737"/>
    </row>
    <row r="45" spans="1:11" ht="12" customHeight="1">
      <c r="A45" s="732"/>
      <c r="B45" s="733"/>
      <c r="C45" s="734"/>
      <c r="D45" s="735"/>
      <c r="E45" s="734"/>
      <c r="F45" s="734"/>
      <c r="G45" s="734"/>
      <c r="H45" s="734"/>
      <c r="I45" s="1687">
        <f t="shared" si="1"/>
        <v>0</v>
      </c>
      <c r="J45" s="734"/>
      <c r="K45" s="737"/>
    </row>
    <row r="46" spans="1:11" ht="12" customHeight="1">
      <c r="A46" s="732"/>
      <c r="B46" s="733"/>
      <c r="C46" s="734"/>
      <c r="D46" s="735"/>
      <c r="E46" s="734"/>
      <c r="F46" s="734"/>
      <c r="G46" s="734"/>
      <c r="H46" s="734"/>
      <c r="I46" s="1687">
        <f t="shared" si="1"/>
        <v>0</v>
      </c>
      <c r="J46" s="734"/>
      <c r="K46" s="737"/>
    </row>
    <row r="47" spans="1:11" ht="12" customHeight="1">
      <c r="A47" s="732"/>
      <c r="B47" s="733"/>
      <c r="C47" s="738"/>
      <c r="D47" s="735"/>
      <c r="E47" s="738"/>
      <c r="F47" s="738"/>
      <c r="G47" s="738"/>
      <c r="H47" s="738"/>
      <c r="I47" s="1687">
        <f t="shared" si="1"/>
        <v>0</v>
      </c>
      <c r="J47" s="738"/>
      <c r="K47" s="737"/>
    </row>
    <row r="48" spans="1:11" ht="12" customHeight="1">
      <c r="A48" s="732"/>
      <c r="B48" s="733"/>
      <c r="C48" s="734"/>
      <c r="D48" s="735"/>
      <c r="E48" s="734"/>
      <c r="F48" s="734"/>
      <c r="G48" s="734"/>
      <c r="H48" s="734"/>
      <c r="I48" s="1687">
        <f t="shared" si="1"/>
        <v>0</v>
      </c>
      <c r="J48" s="734"/>
      <c r="K48" s="737"/>
    </row>
    <row r="49" spans="1:11" ht="12" customHeight="1">
      <c r="A49" s="732"/>
      <c r="B49" s="733"/>
      <c r="C49" s="1687">
        <f>SUM(C31:C48)</f>
        <v>13498750</v>
      </c>
      <c r="D49" s="745"/>
      <c r="E49" s="1687">
        <f t="shared" ref="E49:J49" si="2">SUM(E31:E48)</f>
        <v>10781960</v>
      </c>
      <c r="F49" s="1687">
        <f t="shared" si="2"/>
        <v>0</v>
      </c>
      <c r="G49" s="1687">
        <f t="shared" si="2"/>
        <v>0</v>
      </c>
      <c r="H49" s="1687">
        <f t="shared" si="2"/>
        <v>1081555</v>
      </c>
      <c r="I49" s="1687">
        <f t="shared" si="2"/>
        <v>9700405</v>
      </c>
      <c r="J49" s="1687">
        <f t="shared" si="2"/>
        <v>8977226</v>
      </c>
      <c r="K49" s="737"/>
    </row>
    <row r="50" spans="1:11" ht="6" customHeight="1">
      <c r="A50" s="746"/>
      <c r="B50" s="736"/>
      <c r="C50" s="736"/>
      <c r="D50" s="736"/>
      <c r="E50" s="736"/>
      <c r="F50" s="736"/>
      <c r="G50" s="736"/>
      <c r="H50" s="736"/>
      <c r="I50" s="736"/>
      <c r="J50" s="746"/>
    </row>
    <row r="51" spans="1:11">
      <c r="A51" s="747" t="s">
        <v>1769</v>
      </c>
      <c r="B51" s="746"/>
      <c r="C51" s="737"/>
      <c r="D51" s="737"/>
      <c r="E51" s="737"/>
      <c r="F51" s="737"/>
      <c r="G51" s="737"/>
      <c r="H51" s="736"/>
      <c r="I51" s="736"/>
      <c r="J51" s="746"/>
    </row>
    <row r="52" spans="1:11" ht="11.25" customHeight="1">
      <c r="A52" s="748" t="s">
        <v>912</v>
      </c>
      <c r="B52" s="2222" t="s">
        <v>584</v>
      </c>
      <c r="C52" s="2223"/>
      <c r="D52" s="2223"/>
      <c r="E52" s="749" t="s">
        <v>845</v>
      </c>
      <c r="F52" s="2224"/>
      <c r="G52" s="2225"/>
      <c r="H52" s="736"/>
      <c r="I52" s="736"/>
      <c r="J52" s="746"/>
    </row>
    <row r="53" spans="1:11" ht="11.25" customHeight="1">
      <c r="A53" s="750" t="s">
        <v>913</v>
      </c>
      <c r="B53" s="751" t="s">
        <v>951</v>
      </c>
      <c r="C53" s="746"/>
      <c r="D53" s="737"/>
      <c r="E53" s="749" t="s">
        <v>497</v>
      </c>
      <c r="F53" s="2226"/>
      <c r="G53" s="2227"/>
      <c r="H53" s="736"/>
      <c r="I53" s="736"/>
      <c r="J53" s="746"/>
    </row>
    <row r="54" spans="1:11" ht="11.25" customHeight="1">
      <c r="A54" s="752" t="s">
        <v>914</v>
      </c>
      <c r="B54" s="747" t="s">
        <v>952</v>
      </c>
      <c r="C54" s="746"/>
      <c r="D54" s="737"/>
      <c r="E54" s="749" t="s">
        <v>498</v>
      </c>
      <c r="F54" s="2226"/>
      <c r="G54" s="2227"/>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A3" sqref="A3:E3"/>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56" t="s">
        <v>856</v>
      </c>
      <c r="B1" s="2257"/>
      <c r="C1" s="2257"/>
      <c r="D1" s="2257"/>
      <c r="E1" s="2257"/>
      <c r="F1" s="2257"/>
      <c r="G1" s="2258"/>
      <c r="H1" s="1462"/>
      <c r="I1" s="760"/>
      <c r="J1" s="433"/>
    </row>
    <row r="2" spans="1:11" ht="26.25">
      <c r="A2" s="2235" t="s">
        <v>1650</v>
      </c>
      <c r="B2" s="2236"/>
      <c r="C2" s="2236"/>
      <c r="D2" s="2236"/>
      <c r="E2" s="2237"/>
      <c r="F2" s="761" t="s">
        <v>904</v>
      </c>
      <c r="G2" s="762" t="s">
        <v>1647</v>
      </c>
      <c r="H2" s="762" t="s">
        <v>410</v>
      </c>
      <c r="I2" s="762" t="s">
        <v>1158</v>
      </c>
      <c r="J2" s="762" t="s">
        <v>1774</v>
      </c>
      <c r="K2" s="762" t="s">
        <v>138</v>
      </c>
    </row>
    <row r="3" spans="1:11">
      <c r="A3" s="2238" t="s">
        <v>1924</v>
      </c>
      <c r="B3" s="2239"/>
      <c r="C3" s="2239"/>
      <c r="D3" s="2239"/>
      <c r="E3" s="2240"/>
      <c r="F3" s="763"/>
      <c r="G3" s="764"/>
      <c r="H3" s="764"/>
      <c r="I3" s="764"/>
      <c r="J3" s="765"/>
      <c r="K3" s="765"/>
    </row>
    <row r="4" spans="1:11">
      <c r="A4" s="2241" t="s">
        <v>369</v>
      </c>
      <c r="B4" s="2242"/>
      <c r="C4" s="2242"/>
      <c r="D4" s="2242"/>
      <c r="E4" s="2223"/>
      <c r="F4" s="766"/>
      <c r="G4" s="767"/>
      <c r="H4" s="768"/>
      <c r="I4" s="767"/>
      <c r="J4" s="769"/>
      <c r="K4" s="769"/>
    </row>
    <row r="5" spans="1:11">
      <c r="A5" s="2259" t="s">
        <v>1069</v>
      </c>
      <c r="B5" s="2232"/>
      <c r="C5" s="2232"/>
      <c r="D5" s="2232"/>
      <c r="E5" s="2260"/>
      <c r="F5" s="770" t="s">
        <v>848</v>
      </c>
      <c r="G5" s="771"/>
      <c r="H5" s="764">
        <v>53814</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v>3725</v>
      </c>
      <c r="K8" s="769"/>
    </row>
    <row r="9" spans="1:11">
      <c r="A9" s="778" t="s">
        <v>138</v>
      </c>
      <c r="B9" s="779"/>
      <c r="C9" s="779"/>
      <c r="D9" s="779"/>
      <c r="E9" s="780"/>
      <c r="F9" s="777" t="s">
        <v>853</v>
      </c>
      <c r="G9" s="782"/>
      <c r="H9" s="771"/>
      <c r="I9" s="771"/>
      <c r="J9" s="781"/>
      <c r="K9" s="765"/>
    </row>
    <row r="10" spans="1:11">
      <c r="A10" s="2259" t="s">
        <v>1775</v>
      </c>
      <c r="B10" s="2232"/>
      <c r="C10" s="2232"/>
      <c r="D10" s="2232"/>
      <c r="E10" s="2261"/>
      <c r="F10" s="783" t="s">
        <v>862</v>
      </c>
      <c r="G10" s="782"/>
      <c r="H10" s="784"/>
      <c r="I10" s="764"/>
      <c r="J10" s="765"/>
      <c r="K10" s="765"/>
    </row>
    <row r="11" spans="1:11">
      <c r="A11" s="2259" t="s">
        <v>160</v>
      </c>
      <c r="B11" s="2232"/>
      <c r="C11" s="2232"/>
      <c r="D11" s="2232"/>
      <c r="E11" s="2260"/>
      <c r="F11" s="770" t="s">
        <v>852</v>
      </c>
      <c r="G11" s="771"/>
      <c r="H11" s="764"/>
      <c r="I11" s="764"/>
      <c r="J11" s="765"/>
      <c r="K11" s="773"/>
    </row>
    <row r="12" spans="1:11" ht="13.5" thickBot="1">
      <c r="A12" s="2249" t="s">
        <v>905</v>
      </c>
      <c r="B12" s="2250"/>
      <c r="C12" s="2250"/>
      <c r="D12" s="2250"/>
      <c r="E12" s="2251"/>
      <c r="F12" s="1688"/>
      <c r="G12" s="1689">
        <f>SUM(G5:G11)</f>
        <v>0</v>
      </c>
      <c r="H12" s="1689">
        <f>SUM(H5:H11)</f>
        <v>53814</v>
      </c>
      <c r="I12" s="1689">
        <f>SUM(I5:I11)</f>
        <v>0</v>
      </c>
      <c r="J12" s="1689">
        <f>SUM(J5:J11)</f>
        <v>3725</v>
      </c>
      <c r="K12" s="1689">
        <f>SUM(K5:K11)</f>
        <v>0</v>
      </c>
    </row>
    <row r="13" spans="1:11" ht="13.5" thickTop="1">
      <c r="A13" s="2243" t="s">
        <v>370</v>
      </c>
      <c r="B13" s="2244"/>
      <c r="C13" s="2244"/>
      <c r="D13" s="2244"/>
      <c r="E13" s="2245"/>
      <c r="F13" s="785"/>
      <c r="G13" s="786"/>
      <c r="H13" s="787"/>
      <c r="I13" s="788"/>
      <c r="J13" s="788"/>
      <c r="K13" s="788"/>
    </row>
    <row r="14" spans="1:11">
      <c r="A14" s="2265" t="s">
        <v>456</v>
      </c>
      <c r="B14" s="2265"/>
      <c r="C14" s="2265"/>
      <c r="D14" s="2265"/>
      <c r="E14" s="2266"/>
      <c r="F14" s="789" t="s">
        <v>854</v>
      </c>
      <c r="G14" s="782"/>
      <c r="H14" s="764">
        <v>53814</v>
      </c>
      <c r="I14" s="771"/>
      <c r="J14" s="773"/>
      <c r="K14" s="765"/>
    </row>
    <row r="15" spans="1:11">
      <c r="A15" s="2232" t="s">
        <v>4</v>
      </c>
      <c r="B15" s="2232"/>
      <c r="C15" s="2232"/>
      <c r="D15" s="2232"/>
      <c r="E15" s="2260"/>
      <c r="F15" s="789" t="s">
        <v>855</v>
      </c>
      <c r="G15" s="771"/>
      <c r="H15" s="764"/>
      <c r="I15" s="764"/>
      <c r="J15" s="765"/>
      <c r="K15" s="765"/>
    </row>
    <row r="16" spans="1:11">
      <c r="A16" s="2232" t="s">
        <v>298</v>
      </c>
      <c r="B16" s="2232"/>
      <c r="C16" s="2232"/>
      <c r="D16" s="2232"/>
      <c r="E16" s="2260"/>
      <c r="F16" s="789" t="s">
        <v>923</v>
      </c>
      <c r="G16" s="772"/>
      <c r="H16" s="767"/>
      <c r="I16" s="767"/>
      <c r="J16" s="769"/>
      <c r="K16" s="769"/>
    </row>
    <row r="17" spans="1:11">
      <c r="A17" s="2254" t="s">
        <v>935</v>
      </c>
      <c r="B17" s="2254"/>
      <c r="C17" s="2254"/>
      <c r="D17" s="2254"/>
      <c r="E17" s="2255"/>
      <c r="F17" s="790"/>
      <c r="G17" s="791"/>
      <c r="H17" s="792"/>
      <c r="I17" s="792"/>
      <c r="J17" s="793"/>
      <c r="K17" s="794"/>
    </row>
    <row r="18" spans="1:11">
      <c r="A18" s="2246" t="s">
        <v>368</v>
      </c>
      <c r="B18" s="2247"/>
      <c r="C18" s="2247"/>
      <c r="D18" s="2247"/>
      <c r="E18" s="2248"/>
      <c r="F18" s="789" t="s">
        <v>932</v>
      </c>
      <c r="G18" s="782"/>
      <c r="H18" s="782"/>
      <c r="I18" s="782"/>
      <c r="J18" s="765">
        <v>3725</v>
      </c>
      <c r="K18" s="795"/>
    </row>
    <row r="19" spans="1:11" ht="21.75" customHeight="1">
      <c r="A19" s="2267" t="s">
        <v>1771</v>
      </c>
      <c r="B19" s="2267"/>
      <c r="C19" s="2267"/>
      <c r="D19" s="2267"/>
      <c r="E19" s="2268"/>
      <c r="F19" s="789" t="s">
        <v>933</v>
      </c>
      <c r="G19" s="782"/>
      <c r="H19" s="782"/>
      <c r="I19" s="782"/>
      <c r="J19" s="765"/>
      <c r="K19" s="795"/>
    </row>
    <row r="20" spans="1:11">
      <c r="A20" s="2246" t="s">
        <v>1776</v>
      </c>
      <c r="B20" s="2247"/>
      <c r="C20" s="2247"/>
      <c r="D20" s="2247"/>
      <c r="E20" s="2248"/>
      <c r="F20" s="789" t="s">
        <v>934</v>
      </c>
      <c r="G20" s="782"/>
      <c r="H20" s="782"/>
      <c r="I20" s="782"/>
      <c r="J20" s="765"/>
      <c r="K20" s="795"/>
    </row>
    <row r="21" spans="1:11" ht="13.5" thickBot="1">
      <c r="A21" s="2252" t="s">
        <v>638</v>
      </c>
      <c r="B21" s="2252"/>
      <c r="C21" s="2252"/>
      <c r="D21" s="2252"/>
      <c r="E21" s="2252"/>
      <c r="F21" s="1690"/>
      <c r="G21" s="792"/>
      <c r="H21" s="796"/>
      <c r="I21" s="796"/>
      <c r="J21" s="1691">
        <f>SUM(J18:J20)</f>
        <v>3725</v>
      </c>
      <c r="K21" s="793"/>
    </row>
    <row r="22" spans="1:11" ht="13.5" thickTop="1">
      <c r="A22" s="2232" t="s">
        <v>1777</v>
      </c>
      <c r="B22" s="2232"/>
      <c r="C22" s="2232"/>
      <c r="D22" s="2232"/>
      <c r="E22" s="2260"/>
      <c r="F22" s="789" t="s">
        <v>862</v>
      </c>
      <c r="G22" s="782"/>
      <c r="H22" s="764"/>
      <c r="I22" s="764"/>
      <c r="J22" s="797"/>
      <c r="K22" s="765"/>
    </row>
    <row r="23" spans="1:11" ht="13.5" thickBot="1">
      <c r="A23" s="2253" t="s">
        <v>906</v>
      </c>
      <c r="B23" s="2252"/>
      <c r="C23" s="2252"/>
      <c r="D23" s="2252"/>
      <c r="E23" s="2252"/>
      <c r="F23" s="1692"/>
      <c r="G23" s="1689">
        <f>SUM(G14:G16,G21,G22)</f>
        <v>0</v>
      </c>
      <c r="H23" s="1689">
        <f>SUM(H14:H16,H21,H22)</f>
        <v>53814</v>
      </c>
      <c r="I23" s="1689">
        <f>SUM(I14:I16,I21,I22)</f>
        <v>0</v>
      </c>
      <c r="J23" s="1689">
        <f>SUM(J14:J16,J21,J22)</f>
        <v>3725</v>
      </c>
      <c r="K23" s="1689">
        <f>SUM(K14:K16,K21,K22)</f>
        <v>0</v>
      </c>
    </row>
    <row r="24" spans="1:11" ht="14.25" thickTop="1" thickBot="1">
      <c r="A24" s="2253" t="s">
        <v>1925</v>
      </c>
      <c r="B24" s="2252"/>
      <c r="C24" s="2252"/>
      <c r="D24" s="2252"/>
      <c r="E24" s="2252"/>
      <c r="F24" s="1693"/>
      <c r="G24" s="1694">
        <f>SUM(G3,G12)-G23</f>
        <v>0</v>
      </c>
      <c r="H24" s="1694">
        <f>SUM(H3,H12)-H23</f>
        <v>0</v>
      </c>
      <c r="I24" s="1694">
        <f>SUM(I3,I12)-I23</f>
        <v>0</v>
      </c>
      <c r="J24" s="1694">
        <f>SUM(J3,J12)-J23</f>
        <v>0</v>
      </c>
      <c r="K24" s="1694">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89">
        <f>G24-G25</f>
        <v>0</v>
      </c>
      <c r="H26" s="1689">
        <f>H24-H25</f>
        <v>0</v>
      </c>
      <c r="I26" s="1689">
        <f>I24-I25</f>
        <v>0</v>
      </c>
      <c r="J26" s="1689">
        <f>J24-J25</f>
        <v>0</v>
      </c>
      <c r="K26" s="1689">
        <f>K24-K25</f>
        <v>0</v>
      </c>
    </row>
    <row r="27" spans="1:11" ht="5.25" customHeight="1" thickTop="1">
      <c r="I27" s="202"/>
      <c r="J27" s="202"/>
    </row>
    <row r="28" spans="1:11" ht="29.25" customHeight="1">
      <c r="A28" s="1811" t="s">
        <v>1870</v>
      </c>
      <c r="B28" s="1812"/>
      <c r="C28" s="1812"/>
      <c r="D28" s="1812"/>
      <c r="E28" s="1813"/>
      <c r="F28" s="803"/>
      <c r="G28" s="804"/>
    </row>
    <row r="29" spans="1:11">
      <c r="B29" s="501"/>
      <c r="C29" s="501"/>
      <c r="D29" s="501"/>
      <c r="F29" s="202"/>
      <c r="G29" s="805"/>
    </row>
    <row r="30" spans="1:11">
      <c r="A30" s="806" t="s">
        <v>572</v>
      </c>
      <c r="B30" s="807"/>
      <c r="C30" s="806" t="s">
        <v>383</v>
      </c>
      <c r="D30" s="807" t="s">
        <v>2052</v>
      </c>
      <c r="E30" s="808" t="s">
        <v>768</v>
      </c>
      <c r="F30" s="202"/>
      <c r="G30" s="805"/>
    </row>
    <row r="31" spans="1:11">
      <c r="A31" s="809"/>
      <c r="D31" s="237"/>
      <c r="E31" s="810" t="s">
        <v>769</v>
      </c>
      <c r="F31" s="811" t="s">
        <v>539</v>
      </c>
      <c r="G31" s="764"/>
      <c r="H31" s="2262"/>
      <c r="I31" s="2263"/>
      <c r="J31" s="2263"/>
      <c r="K31" s="2263"/>
    </row>
    <row r="32" spans="1:11">
      <c r="A32" s="809"/>
      <c r="B32" s="237"/>
      <c r="C32" s="237"/>
      <c r="D32" s="237"/>
      <c r="E32" s="805"/>
      <c r="F32" s="811" t="s">
        <v>540</v>
      </c>
      <c r="G32" s="764"/>
      <c r="H32" s="2264"/>
      <c r="I32" s="2263"/>
      <c r="J32" s="2263"/>
      <c r="K32" s="2263"/>
    </row>
    <row r="33" spans="1:11" ht="1.5" customHeight="1">
      <c r="A33" s="812" t="s">
        <v>1169</v>
      </c>
      <c r="B33" s="364"/>
      <c r="C33" s="364"/>
      <c r="D33" s="364"/>
      <c r="E33" s="364"/>
      <c r="F33" s="364"/>
      <c r="G33" s="813"/>
      <c r="H33" s="2264"/>
      <c r="I33" s="2263"/>
      <c r="J33" s="2263"/>
      <c r="K33" s="2263"/>
    </row>
    <row r="34" spans="1:11">
      <c r="A34" s="814" t="s">
        <v>1778</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32" t="s">
        <v>541</v>
      </c>
      <c r="B41" s="2233"/>
      <c r="C41" s="2233"/>
      <c r="D41" s="2233"/>
      <c r="E41" s="2233"/>
      <c r="F41" s="2234"/>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3" t="s">
        <v>1772</v>
      </c>
      <c r="B46" s="408" t="s">
        <v>1648</v>
      </c>
    </row>
    <row r="47" spans="1:11" s="823" customFormat="1" ht="12.95" customHeight="1">
      <c r="A47" s="821"/>
      <c r="B47" s="822" t="s">
        <v>1649</v>
      </c>
      <c r="E47" s="822"/>
      <c r="K47" s="824"/>
    </row>
    <row r="48" spans="1:11" ht="12.95" customHeight="1">
      <c r="A48" s="1464" t="s">
        <v>1773</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3" sqref="D3"/>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1" t="s">
        <v>1869</v>
      </c>
      <c r="B1" s="2272"/>
      <c r="C1" s="2273"/>
      <c r="D1" s="826"/>
      <c r="E1" s="827"/>
      <c r="F1" s="827"/>
      <c r="G1" s="828"/>
      <c r="H1" s="829"/>
      <c r="I1" s="830"/>
      <c r="J1" s="2269"/>
      <c r="K1" s="2270"/>
      <c r="L1" s="2270"/>
    </row>
    <row r="2" spans="1:14" ht="69.75" customHeight="1">
      <c r="A2" s="831" t="s">
        <v>1651</v>
      </c>
      <c r="B2" s="832" t="s">
        <v>378</v>
      </c>
      <c r="C2" s="833" t="s">
        <v>1926</v>
      </c>
      <c r="D2" s="833" t="s">
        <v>1927</v>
      </c>
      <c r="E2" s="833" t="s">
        <v>1928</v>
      </c>
      <c r="F2" s="833" t="s">
        <v>1929</v>
      </c>
      <c r="G2" s="833" t="s">
        <v>605</v>
      </c>
      <c r="H2" s="833" t="s">
        <v>1930</v>
      </c>
      <c r="I2" s="833" t="s">
        <v>1931</v>
      </c>
      <c r="J2" s="833" t="s">
        <v>1932</v>
      </c>
      <c r="K2" s="833" t="s">
        <v>1933</v>
      </c>
      <c r="L2" s="833" t="s">
        <v>1934</v>
      </c>
      <c r="M2" s="834"/>
      <c r="N2" s="834"/>
    </row>
    <row r="3" spans="1:14" ht="13.5" thickBot="1">
      <c r="A3" s="1561" t="s">
        <v>892</v>
      </c>
      <c r="B3" s="1562">
        <v>210</v>
      </c>
      <c r="C3" s="835"/>
      <c r="D3" s="835"/>
      <c r="E3" s="835"/>
      <c r="F3" s="1691">
        <f>(C3+D3)-E3</f>
        <v>0</v>
      </c>
      <c r="G3" s="836"/>
      <c r="H3" s="835"/>
      <c r="I3" s="835"/>
      <c r="J3" s="835"/>
      <c r="K3" s="1700">
        <f>(H3+I3)-J3</f>
        <v>0</v>
      </c>
      <c r="L3" s="1700">
        <f>F3-K3</f>
        <v>0</v>
      </c>
      <c r="M3" s="834"/>
      <c r="N3" s="834"/>
    </row>
    <row r="4" spans="1:14" ht="15" customHeight="1" thickTop="1">
      <c r="A4" s="1563" t="s">
        <v>158</v>
      </c>
      <c r="B4" s="1562">
        <v>220</v>
      </c>
      <c r="C4" s="781"/>
      <c r="D4" s="781"/>
      <c r="E4" s="781"/>
      <c r="F4" s="773"/>
      <c r="G4" s="837"/>
      <c r="H4" s="838"/>
      <c r="I4" s="838"/>
      <c r="J4" s="838"/>
      <c r="K4" s="839"/>
      <c r="L4" s="773"/>
    </row>
    <row r="5" spans="1:14" ht="13.5" thickBot="1">
      <c r="A5" s="778" t="s">
        <v>893</v>
      </c>
      <c r="B5" s="840">
        <v>221</v>
      </c>
      <c r="C5" s="841">
        <v>1930229</v>
      </c>
      <c r="D5" s="841"/>
      <c r="E5" s="841"/>
      <c r="F5" s="1691">
        <f>(C5+D5)-E5</f>
        <v>1930229</v>
      </c>
      <c r="G5" s="837"/>
      <c r="H5" s="842"/>
      <c r="I5" s="842"/>
      <c r="J5" s="842"/>
      <c r="K5" s="793"/>
      <c r="L5" s="1700">
        <f>F5-K5</f>
        <v>1930229</v>
      </c>
    </row>
    <row r="6" spans="1:14" ht="14.25" thickTop="1" thickBot="1">
      <c r="A6" s="778" t="s">
        <v>1117</v>
      </c>
      <c r="B6" s="840">
        <v>222</v>
      </c>
      <c r="C6" s="765"/>
      <c r="D6" s="765"/>
      <c r="E6" s="765"/>
      <c r="F6" s="1691">
        <f>(C6+D6)-E6</f>
        <v>0</v>
      </c>
      <c r="G6" s="837">
        <v>50</v>
      </c>
      <c r="H6" s="765"/>
      <c r="I6" s="765"/>
      <c r="J6" s="765"/>
      <c r="K6" s="1700">
        <f>(H6+I6)-J6</f>
        <v>0</v>
      </c>
      <c r="L6" s="1700">
        <f>F6-K6</f>
        <v>0</v>
      </c>
    </row>
    <row r="7" spans="1:14" ht="15" customHeight="1" thickTop="1">
      <c r="A7" s="1563" t="s">
        <v>159</v>
      </c>
      <c r="B7" s="1562">
        <v>230</v>
      </c>
      <c r="C7" s="781"/>
      <c r="D7" s="781"/>
      <c r="E7" s="781"/>
      <c r="F7" s="773"/>
      <c r="G7" s="843"/>
      <c r="H7" s="781"/>
      <c r="I7" s="781"/>
      <c r="J7" s="781"/>
      <c r="K7" s="773"/>
      <c r="L7" s="773"/>
    </row>
    <row r="8" spans="1:14" ht="13.5" thickBot="1">
      <c r="A8" s="778" t="s">
        <v>1118</v>
      </c>
      <c r="B8" s="840">
        <v>231</v>
      </c>
      <c r="C8" s="844">
        <v>32947888</v>
      </c>
      <c r="D8" s="844">
        <v>915787</v>
      </c>
      <c r="E8" s="844"/>
      <c r="F8" s="1691">
        <f>(C8+D8)-E8</f>
        <v>33863675</v>
      </c>
      <c r="G8" s="843">
        <v>50</v>
      </c>
      <c r="H8" s="765">
        <v>7656297</v>
      </c>
      <c r="I8" s="765">
        <v>649617</v>
      </c>
      <c r="J8" s="765"/>
      <c r="K8" s="1700">
        <f>(H8+I8)-J8</f>
        <v>8305914</v>
      </c>
      <c r="L8" s="1700">
        <f>F8-K8</f>
        <v>25557761</v>
      </c>
    </row>
    <row r="9" spans="1:14" ht="14.25" thickTop="1" thickBot="1">
      <c r="A9" s="778" t="s">
        <v>1119</v>
      </c>
      <c r="B9" s="840">
        <v>232</v>
      </c>
      <c r="C9" s="765"/>
      <c r="D9" s="765"/>
      <c r="E9" s="765"/>
      <c r="F9" s="1691">
        <f>(C9+D9)-E9</f>
        <v>0</v>
      </c>
      <c r="G9" s="843">
        <v>20</v>
      </c>
      <c r="H9" s="765"/>
      <c r="I9" s="765"/>
      <c r="J9" s="765"/>
      <c r="K9" s="1700">
        <f>(H9+I9)-J9</f>
        <v>0</v>
      </c>
      <c r="L9" s="1700">
        <f>F9-K9</f>
        <v>0</v>
      </c>
    </row>
    <row r="10" spans="1:14" ht="24" thickTop="1" thickBot="1">
      <c r="A10" s="845" t="s">
        <v>1120</v>
      </c>
      <c r="B10" s="840">
        <v>240</v>
      </c>
      <c r="C10" s="846">
        <v>1858922</v>
      </c>
      <c r="D10" s="846"/>
      <c r="E10" s="846"/>
      <c r="F10" s="1695">
        <f>(C10+D10)-E10</f>
        <v>1858922</v>
      </c>
      <c r="G10" s="843">
        <v>20</v>
      </c>
      <c r="H10" s="847">
        <v>828410</v>
      </c>
      <c r="I10" s="847">
        <v>88482</v>
      </c>
      <c r="J10" s="847"/>
      <c r="K10" s="1700">
        <f>(H10+I10)-J10</f>
        <v>916892</v>
      </c>
      <c r="L10" s="1700">
        <f>F10-K10</f>
        <v>942030</v>
      </c>
    </row>
    <row r="11" spans="1:14" ht="13.5" thickTop="1">
      <c r="A11" s="1564" t="s">
        <v>1136</v>
      </c>
      <c r="B11" s="1562">
        <v>250</v>
      </c>
      <c r="C11" s="781"/>
      <c r="D11" s="781"/>
      <c r="E11" s="781"/>
      <c r="F11" s="773"/>
      <c r="G11" s="843"/>
      <c r="H11" s="781"/>
      <c r="I11" s="781"/>
      <c r="J11" s="781"/>
      <c r="K11" s="773"/>
      <c r="L11" s="773"/>
    </row>
    <row r="12" spans="1:14" ht="13.5" thickBot="1">
      <c r="A12" s="848" t="s">
        <v>1121</v>
      </c>
      <c r="B12" s="840">
        <v>251</v>
      </c>
      <c r="C12" s="844">
        <v>1433741</v>
      </c>
      <c r="D12" s="844">
        <f>45974</f>
        <v>45974</v>
      </c>
      <c r="E12" s="844">
        <v>267327</v>
      </c>
      <c r="F12" s="1691">
        <f>(C12+D12)-E12</f>
        <v>1212388</v>
      </c>
      <c r="G12" s="843">
        <v>10</v>
      </c>
      <c r="H12" s="765">
        <v>851285</v>
      </c>
      <c r="I12" s="765">
        <f>123869+4018</f>
        <v>127887</v>
      </c>
      <c r="J12" s="765">
        <v>267327</v>
      </c>
      <c r="K12" s="1700">
        <f>(H12+I12)-J12</f>
        <v>711845</v>
      </c>
      <c r="L12" s="1700">
        <f>F12-K12</f>
        <v>500543</v>
      </c>
    </row>
    <row r="13" spans="1:14" ht="14.25" thickTop="1" thickBot="1">
      <c r="A13" s="848" t="s">
        <v>1122</v>
      </c>
      <c r="B13" s="840">
        <v>252</v>
      </c>
      <c r="C13" s="844">
        <v>247917</v>
      </c>
      <c r="D13" s="844">
        <v>123096</v>
      </c>
      <c r="E13" s="844">
        <v>86540</v>
      </c>
      <c r="F13" s="1691">
        <f>(C13+D13)-E13</f>
        <v>284473</v>
      </c>
      <c r="G13" s="843">
        <v>5</v>
      </c>
      <c r="H13" s="765">
        <v>144981</v>
      </c>
      <c r="I13" s="765">
        <v>38659</v>
      </c>
      <c r="J13" s="765">
        <v>86540</v>
      </c>
      <c r="K13" s="1700">
        <f>(H13+I13)-J13</f>
        <v>97100</v>
      </c>
      <c r="L13" s="1700">
        <f>F13-K13</f>
        <v>187373</v>
      </c>
    </row>
    <row r="14" spans="1:14" ht="14.25" thickTop="1" thickBot="1">
      <c r="A14" s="848" t="s">
        <v>1123</v>
      </c>
      <c r="B14" s="840">
        <v>253</v>
      </c>
      <c r="C14" s="765"/>
      <c r="D14" s="765"/>
      <c r="E14" s="765"/>
      <c r="F14" s="1691">
        <f>(C14+D14)-E14</f>
        <v>0</v>
      </c>
      <c r="G14" s="843">
        <v>3</v>
      </c>
      <c r="H14" s="765"/>
      <c r="I14" s="765"/>
      <c r="J14" s="765"/>
      <c r="K14" s="1700">
        <f>(H14+I14)-J14</f>
        <v>0</v>
      </c>
      <c r="L14" s="1700">
        <f>F14-K14</f>
        <v>0</v>
      </c>
    </row>
    <row r="15" spans="1:14" ht="15" customHeight="1" thickTop="1" thickBot="1">
      <c r="A15" s="1563" t="s">
        <v>528</v>
      </c>
      <c r="B15" s="1562">
        <v>260</v>
      </c>
      <c r="C15" s="844"/>
      <c r="D15" s="844"/>
      <c r="E15" s="844"/>
      <c r="F15" s="1691">
        <f>(C15+D15)-E15</f>
        <v>0</v>
      </c>
      <c r="G15" s="849" t="s">
        <v>862</v>
      </c>
      <c r="H15" s="781"/>
      <c r="I15" s="781"/>
      <c r="J15" s="781"/>
      <c r="K15" s="781"/>
      <c r="L15" s="1700">
        <f>F15-K15</f>
        <v>0</v>
      </c>
    </row>
    <row r="16" spans="1:14" ht="15" customHeight="1" thickTop="1" thickBot="1">
      <c r="A16" s="1696" t="s">
        <v>643</v>
      </c>
      <c r="B16" s="1697">
        <v>200</v>
      </c>
      <c r="C16" s="1691">
        <f>SUM(C3,C5:C6,C8:C10,C12:C15)</f>
        <v>38418697</v>
      </c>
      <c r="D16" s="1691">
        <f>SUM(D3,D5:D6,D8:D10,D12:D15)</f>
        <v>1084857</v>
      </c>
      <c r="E16" s="1691">
        <f>SUM(E3,E5:E6,E8:E10,E12:E15)</f>
        <v>353867</v>
      </c>
      <c r="F16" s="1691">
        <f>SUM(F3,F5:F6,F8:F10,F12:F15)</f>
        <v>39149687</v>
      </c>
      <c r="G16" s="843"/>
      <c r="H16" s="1691">
        <f>SUM(H3,H6,H8:H10,H12:H14,)</f>
        <v>9480973</v>
      </c>
      <c r="I16" s="1691">
        <f>SUM(I3,I6,I8:I10,I12:I14,)</f>
        <v>904645</v>
      </c>
      <c r="J16" s="1691">
        <f>SUM(J3,J6,J8:J10,J12:J14,)</f>
        <v>353867</v>
      </c>
      <c r="K16" s="1691">
        <f>(H16+I16)-J16</f>
        <v>10031751</v>
      </c>
      <c r="L16" s="1691">
        <f>F16-K16</f>
        <v>29117936</v>
      </c>
    </row>
    <row r="17" spans="1:12" ht="15" customHeight="1" thickTop="1" thickBot="1">
      <c r="A17" s="1565" t="s">
        <v>291</v>
      </c>
      <c r="B17" s="1562">
        <v>700</v>
      </c>
      <c r="C17" s="769"/>
      <c r="D17" s="769"/>
      <c r="E17" s="769"/>
      <c r="F17" s="1691">
        <f>SUM('Expenditures 15-22'!I114,'Expenditures 15-22'!I151,'Expenditures 15-22'!I210,'Expenditures 15-22'!I312,'Expenditures 15-22'!I342,'Expenditures 15-22'!I367)</f>
        <v>0</v>
      </c>
      <c r="G17" s="837">
        <v>10</v>
      </c>
      <c r="H17" s="769"/>
      <c r="I17" s="1700">
        <f>F17/G17</f>
        <v>0</v>
      </c>
      <c r="J17" s="769"/>
      <c r="K17" s="795"/>
      <c r="L17" s="795"/>
    </row>
    <row r="18" spans="1:12" ht="14.25" thickTop="1" thickBot="1">
      <c r="A18" s="1698" t="s">
        <v>685</v>
      </c>
      <c r="B18" s="1699"/>
      <c r="C18" s="771"/>
      <c r="D18" s="771"/>
      <c r="E18" s="771"/>
      <c r="F18" s="850"/>
      <c r="G18" s="851"/>
      <c r="H18" s="773"/>
      <c r="I18" s="1691">
        <f>SUM(I16,I17)</f>
        <v>904645</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 activePane="bottomLeft" state="frozen"/>
      <selection activeCell="X29" sqref="X29"/>
      <selection pane="bottomLeft" activeCell="F170" sqref="F170"/>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77" t="s">
        <v>1935</v>
      </c>
      <c r="B1" s="2278"/>
      <c r="C1" s="2278"/>
      <c r="D1" s="2278"/>
      <c r="E1" s="2278"/>
      <c r="F1" s="2279"/>
      <c r="G1" s="855"/>
    </row>
    <row r="2" spans="1:7" ht="15" customHeight="1" thickBot="1">
      <c r="A2" s="2280" t="s">
        <v>477</v>
      </c>
      <c r="B2" s="2281"/>
      <c r="C2" s="2281"/>
      <c r="D2" s="2281"/>
      <c r="E2" s="2281"/>
      <c r="F2" s="2282"/>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83"/>
      <c r="B5" s="2284"/>
      <c r="C5" s="2284"/>
      <c r="D5" s="2284"/>
      <c r="E5" s="2284"/>
      <c r="F5" s="2284"/>
    </row>
    <row r="6" spans="1:7" ht="13.5" customHeight="1" thickBot="1">
      <c r="A6" s="2274" t="s">
        <v>1104</v>
      </c>
      <c r="B6" s="2275"/>
      <c r="C6" s="2275"/>
      <c r="D6" s="2275"/>
      <c r="E6" s="2275"/>
      <c r="F6" s="2276"/>
      <c r="G6" s="865"/>
    </row>
    <row r="7" spans="1:7" s="865" customFormat="1" ht="12" thickTop="1">
      <c r="A7" s="866" t="s">
        <v>502</v>
      </c>
      <c r="B7" s="867"/>
      <c r="C7" s="868"/>
      <c r="D7" s="867"/>
      <c r="E7" s="868"/>
      <c r="F7" s="867"/>
    </row>
    <row r="8" spans="1:7">
      <c r="A8" s="869" t="s">
        <v>459</v>
      </c>
      <c r="B8" s="870" t="s">
        <v>1447</v>
      </c>
      <c r="C8" s="871"/>
      <c r="D8" s="869" t="s">
        <v>501</v>
      </c>
      <c r="E8" s="868" t="s">
        <v>958</v>
      </c>
      <c r="F8" s="1839">
        <f>'Expenditures 15-22'!K114</f>
        <v>13112126</v>
      </c>
      <c r="G8" s="865"/>
    </row>
    <row r="9" spans="1:7">
      <c r="A9" s="869" t="s">
        <v>460</v>
      </c>
      <c r="B9" s="870" t="s">
        <v>1837</v>
      </c>
      <c r="C9" s="871"/>
      <c r="D9" s="869" t="s">
        <v>501</v>
      </c>
      <c r="E9" s="868"/>
      <c r="F9" s="1840">
        <f>'Expenditures 15-22'!K151</f>
        <v>1401002</v>
      </c>
      <c r="G9" s="872"/>
    </row>
    <row r="10" spans="1:7">
      <c r="A10" s="869" t="s">
        <v>499</v>
      </c>
      <c r="B10" s="870" t="s">
        <v>1838</v>
      </c>
      <c r="C10" s="871"/>
      <c r="D10" s="869" t="s">
        <v>501</v>
      </c>
      <c r="E10" s="868"/>
      <c r="F10" s="1840">
        <f>'Expenditures 15-22'!K174</f>
        <v>1459252</v>
      </c>
      <c r="G10" s="872"/>
    </row>
    <row r="11" spans="1:7">
      <c r="A11" s="869" t="s">
        <v>461</v>
      </c>
      <c r="B11" s="870" t="s">
        <v>1839</v>
      </c>
      <c r="C11" s="871"/>
      <c r="D11" s="869" t="s">
        <v>501</v>
      </c>
      <c r="E11" s="868"/>
      <c r="F11" s="1840">
        <f>'Expenditures 15-22'!K210</f>
        <v>1156174</v>
      </c>
      <c r="G11" s="872"/>
    </row>
    <row r="12" spans="1:7">
      <c r="A12" s="869" t="s">
        <v>462</v>
      </c>
      <c r="B12" s="870" t="s">
        <v>1840</v>
      </c>
      <c r="C12" s="871"/>
      <c r="D12" s="869" t="s">
        <v>501</v>
      </c>
      <c r="E12" s="868"/>
      <c r="F12" s="1840">
        <f>'Expenditures 15-22'!K295</f>
        <v>423353</v>
      </c>
      <c r="G12" s="872"/>
    </row>
    <row r="13" spans="1:7">
      <c r="A13" s="869" t="s">
        <v>106</v>
      </c>
      <c r="B13" s="870" t="s">
        <v>1841</v>
      </c>
      <c r="C13" s="871"/>
      <c r="D13" s="869" t="s">
        <v>501</v>
      </c>
      <c r="E13" s="868"/>
      <c r="F13" s="1840">
        <f>'Expenditures 15-22'!K342</f>
        <v>684919</v>
      </c>
      <c r="G13" s="873"/>
    </row>
    <row r="14" spans="1:7" ht="12" customHeight="1" thickBot="1">
      <c r="A14" s="1701"/>
      <c r="B14" s="1702"/>
      <c r="C14" s="1703"/>
      <c r="D14" s="1704" t="s">
        <v>501</v>
      </c>
      <c r="E14" s="1705" t="s">
        <v>958</v>
      </c>
      <c r="F14" s="1706">
        <f>SUM(F8:F13)</f>
        <v>18236826</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1">
        <f>'Revenues 9-14'!F43</f>
        <v>0</v>
      </c>
      <c r="G18" s="865"/>
    </row>
    <row r="19" spans="1:7">
      <c r="A19" s="869" t="s">
        <v>461</v>
      </c>
      <c r="B19" s="870" t="s">
        <v>1011</v>
      </c>
      <c r="C19" s="877">
        <f>'Revenues 9-14'!B47</f>
        <v>1421</v>
      </c>
      <c r="D19" s="878" t="str">
        <f>'Revenues 9-14'!A47</f>
        <v>Summer Sch - Transp. Fees from Pupils or Parents (In State)</v>
      </c>
      <c r="E19" s="879"/>
      <c r="F19" s="1842">
        <f>'Revenues 9-14'!F47</f>
        <v>0</v>
      </c>
      <c r="G19" s="865"/>
    </row>
    <row r="20" spans="1:7">
      <c r="A20" s="869" t="s">
        <v>461</v>
      </c>
      <c r="B20" s="870" t="s">
        <v>1012</v>
      </c>
      <c r="C20" s="875">
        <f>'Revenues 9-14'!B48</f>
        <v>1422</v>
      </c>
      <c r="D20" s="876" t="str">
        <f>'Revenues 9-14'!A48</f>
        <v>Summer Sch - Transp. Fees from Other Districts (In State)</v>
      </c>
      <c r="E20" s="868"/>
      <c r="F20" s="1843">
        <f>'Revenues 9-14'!F48</f>
        <v>0</v>
      </c>
      <c r="G20" s="865"/>
    </row>
    <row r="21" spans="1:7">
      <c r="A21" s="869" t="s">
        <v>461</v>
      </c>
      <c r="B21" s="870" t="s">
        <v>1013</v>
      </c>
      <c r="C21" s="877">
        <f>'Revenues 9-14'!B49</f>
        <v>1423</v>
      </c>
      <c r="D21" s="876" t="str">
        <f>'Revenues 9-14'!A49</f>
        <v>Summer Sch - Transp. Fees from Other Sources (In State)</v>
      </c>
      <c r="E21" s="868"/>
      <c r="F21" s="1844">
        <f>'Revenues 9-14'!F49</f>
        <v>0</v>
      </c>
      <c r="G21" s="865"/>
    </row>
    <row r="22" spans="1:7">
      <c r="A22" s="869" t="s">
        <v>461</v>
      </c>
      <c r="B22" s="870" t="s">
        <v>1014</v>
      </c>
      <c r="C22" s="877">
        <f>'Revenues 9-14'!B50</f>
        <v>1424</v>
      </c>
      <c r="D22" s="876" t="str">
        <f>'Revenues 9-14'!A50</f>
        <v>Summer Sch - Transp. Fees from Other Sources (Out of State)</v>
      </c>
      <c r="E22" s="868"/>
      <c r="F22" s="1844">
        <f>'Revenues 9-14'!F50</f>
        <v>0</v>
      </c>
      <c r="G22" s="865"/>
    </row>
    <row r="23" spans="1:7">
      <c r="A23" s="869" t="s">
        <v>461</v>
      </c>
      <c r="B23" s="870" t="s">
        <v>1015</v>
      </c>
      <c r="C23" s="875">
        <f>'Revenues 9-14'!B52</f>
        <v>1432</v>
      </c>
      <c r="D23" s="876" t="str">
        <f>'Revenues 9-14'!A52</f>
        <v>CTE - Transp Fees from Other Districts (In State)</v>
      </c>
      <c r="E23" s="868"/>
      <c r="F23" s="1844">
        <f>'Revenues 9-14'!F52</f>
        <v>0</v>
      </c>
      <c r="G23" s="865"/>
    </row>
    <row r="24" spans="1:7">
      <c r="A24" s="869" t="s">
        <v>461</v>
      </c>
      <c r="B24" s="870" t="s">
        <v>1016</v>
      </c>
      <c r="C24" s="875">
        <f>'Revenues 9-14'!B56</f>
        <v>1442</v>
      </c>
      <c r="D24" s="876" t="str">
        <f>'Revenues 9-14'!A56</f>
        <v>Special Ed - Transp Fees from Other Districts (In State)</v>
      </c>
      <c r="E24" s="868"/>
      <c r="F24" s="1844">
        <f>'Revenues 9-14'!F56</f>
        <v>0</v>
      </c>
      <c r="G24" s="865"/>
    </row>
    <row r="25" spans="1:7">
      <c r="A25" s="869" t="s">
        <v>461</v>
      </c>
      <c r="B25" s="870" t="s">
        <v>1017</v>
      </c>
      <c r="C25" s="875">
        <f>'Revenues 9-14'!B59</f>
        <v>1451</v>
      </c>
      <c r="D25" s="876" t="str">
        <f>'Revenues 9-14'!A59</f>
        <v>Adult - Transp Fees from Pupils or Parents (In State)</v>
      </c>
      <c r="E25" s="868"/>
      <c r="F25" s="1844">
        <f>'Revenues 9-14'!F59</f>
        <v>0</v>
      </c>
      <c r="G25" s="865"/>
    </row>
    <row r="26" spans="1:7">
      <c r="A26" s="869" t="s">
        <v>461</v>
      </c>
      <c r="B26" s="870" t="s">
        <v>1018</v>
      </c>
      <c r="C26" s="875">
        <f>'Revenues 9-14'!B60</f>
        <v>1452</v>
      </c>
      <c r="D26" s="876" t="str">
        <f>'Revenues 9-14'!A60</f>
        <v>Adult - Transp Fees from Other Districts (In State)</v>
      </c>
      <c r="E26" s="868"/>
      <c r="F26" s="1844">
        <f>'Revenues 9-14'!F60</f>
        <v>0</v>
      </c>
      <c r="G26" s="865"/>
    </row>
    <row r="27" spans="1:7">
      <c r="A27" s="869" t="s">
        <v>461</v>
      </c>
      <c r="B27" s="870" t="s">
        <v>1019</v>
      </c>
      <c r="C27" s="875">
        <f>'Revenues 9-14'!B61</f>
        <v>1453</v>
      </c>
      <c r="D27" s="876" t="str">
        <f>'Revenues 9-14'!A61</f>
        <v>Adult - Transp Fees from Other Sources (In State)</v>
      </c>
      <c r="E27" s="868"/>
      <c r="F27" s="1844">
        <f>'Revenues 9-14'!F61</f>
        <v>0</v>
      </c>
      <c r="G27" s="865"/>
    </row>
    <row r="28" spans="1:7">
      <c r="A28" s="869" t="s">
        <v>461</v>
      </c>
      <c r="B28" s="870" t="s">
        <v>1020</v>
      </c>
      <c r="C28" s="875">
        <f>'Revenues 9-14'!B62</f>
        <v>1454</v>
      </c>
      <c r="D28" s="876" t="str">
        <f>'Revenues 9-14'!A62</f>
        <v>Adult - Transp Fees from Other Sources (Out of State)</v>
      </c>
      <c r="E28" s="868"/>
      <c r="F28" s="1844">
        <f>'Revenues 9-14'!F62</f>
        <v>0</v>
      </c>
      <c r="G28" s="865"/>
    </row>
    <row r="29" spans="1:7">
      <c r="A29" s="869" t="s">
        <v>1097</v>
      </c>
      <c r="B29" s="870" t="s">
        <v>810</v>
      </c>
      <c r="C29" s="880">
        <f>'Revenues 9-14'!B149</f>
        <v>3410</v>
      </c>
      <c r="D29" s="881" t="str">
        <f>'Revenues 9-14'!A149</f>
        <v>Adult Ed (from ICCB)</v>
      </c>
      <c r="E29" s="868"/>
      <c r="F29" s="1844">
        <f>SUM('Revenues 9-14'!D149,'Revenues 9-14'!F149)</f>
        <v>0</v>
      </c>
      <c r="G29" s="865"/>
    </row>
    <row r="30" spans="1:7">
      <c r="A30" s="869" t="s">
        <v>1097</v>
      </c>
      <c r="B30" s="870" t="s">
        <v>1958</v>
      </c>
      <c r="C30" s="880">
        <f>'Revenues 9-14'!B150</f>
        <v>3499</v>
      </c>
      <c r="D30" s="881" t="str">
        <f>'Revenues 9-14'!A150</f>
        <v>Adult Ed - Other (Describe &amp; Itemize)</v>
      </c>
      <c r="E30" s="868"/>
      <c r="F30" s="1845">
        <f>('Revenues 9-14'!D150+'Revenues 9-14'!F150)</f>
        <v>0</v>
      </c>
      <c r="G30" s="865"/>
    </row>
    <row r="31" spans="1:7">
      <c r="A31" s="869" t="s">
        <v>1097</v>
      </c>
      <c r="B31" s="870" t="s">
        <v>1959</v>
      </c>
      <c r="C31" s="875">
        <f>'Revenues 9-14'!B211</f>
        <v>4600</v>
      </c>
      <c r="D31" s="883" t="str">
        <f>'Revenues 9-14'!A211</f>
        <v>Fed - Spec Education - Preschool Flow-Through</v>
      </c>
      <c r="E31" s="884"/>
      <c r="F31" s="1844">
        <f>SUM('Revenues 9-14'!D211,'Revenues 9-14'!F211)</f>
        <v>0</v>
      </c>
      <c r="G31" s="865"/>
    </row>
    <row r="32" spans="1:7">
      <c r="A32" s="869" t="s">
        <v>1097</v>
      </c>
      <c r="B32" s="870" t="s">
        <v>1960</v>
      </c>
      <c r="C32" s="875">
        <f>'Revenues 9-14'!B212</f>
        <v>4605</v>
      </c>
      <c r="D32" s="885" t="str">
        <f>'Revenues 9-14'!A212</f>
        <v>Fed - Spec Education - Preschool Discretionary</v>
      </c>
      <c r="E32" s="884"/>
      <c r="F32" s="1844">
        <f>SUM('Revenues 9-14'!D212,'Revenues 9-14'!F212)</f>
        <v>0</v>
      </c>
      <c r="G32" s="865"/>
    </row>
    <row r="33" spans="1:7">
      <c r="A33" s="869" t="s">
        <v>460</v>
      </c>
      <c r="B33" s="870" t="s">
        <v>1961</v>
      </c>
      <c r="C33" s="875">
        <f>'Revenues 9-14'!B222</f>
        <v>4810</v>
      </c>
      <c r="D33" s="883" t="str">
        <f>'Revenues 9-14'!A222</f>
        <v>Federal - Adult Education</v>
      </c>
      <c r="E33" s="868"/>
      <c r="F33" s="1844">
        <f>'Revenues 9-14'!D222</f>
        <v>0</v>
      </c>
      <c r="G33" s="865"/>
    </row>
    <row r="34" spans="1:7">
      <c r="A34" s="869" t="s">
        <v>459</v>
      </c>
      <c r="B34" s="869" t="s">
        <v>1448</v>
      </c>
      <c r="C34" s="886" t="str">
        <f>'Expenditures 15-22'!B7</f>
        <v>1125</v>
      </c>
      <c r="D34" s="887" t="str">
        <f>'Expenditures 15-22'!A7</f>
        <v>Pre-K Programs</v>
      </c>
      <c r="E34" s="868"/>
      <c r="F34" s="1844">
        <f>'Expenditures 15-22'!K7-SUM('Expenditures 15-22'!G7,'Expenditures 15-22'!I7)</f>
        <v>0</v>
      </c>
      <c r="G34" s="865"/>
    </row>
    <row r="35" spans="1:7">
      <c r="A35" s="869" t="s">
        <v>459</v>
      </c>
      <c r="B35" s="869" t="s">
        <v>1449</v>
      </c>
      <c r="C35" s="886" t="str">
        <f>'Expenditures 15-22'!B9</f>
        <v>1225</v>
      </c>
      <c r="D35" s="887" t="str">
        <f>'Expenditures 15-22'!A9</f>
        <v>Special Education Programs Pre-K</v>
      </c>
      <c r="E35" s="868"/>
      <c r="F35" s="1844">
        <f>'Expenditures 15-22'!K9-SUM('Expenditures 15-22'!G9+'Expenditures 15-22'!I9)</f>
        <v>259922</v>
      </c>
      <c r="G35" s="865"/>
    </row>
    <row r="36" spans="1:7">
      <c r="A36" s="869" t="s">
        <v>459</v>
      </c>
      <c r="B36" s="869" t="s">
        <v>116</v>
      </c>
      <c r="C36" s="886" t="str">
        <f>'Expenditures 15-22'!B11</f>
        <v>1275</v>
      </c>
      <c r="D36" s="887" t="str">
        <f>'Expenditures 15-22'!A11</f>
        <v>Remedial and Supplemental Programs Pre-K</v>
      </c>
      <c r="E36" s="868"/>
      <c r="F36" s="1844">
        <f>'Expenditures 15-22'!K11-SUM('Expenditures 15-22'!G11,'Expenditures 15-22'!I11)</f>
        <v>272462</v>
      </c>
      <c r="G36" s="865"/>
    </row>
    <row r="37" spans="1:7">
      <c r="A37" s="869" t="s">
        <v>459</v>
      </c>
      <c r="B37" s="869" t="s">
        <v>1450</v>
      </c>
      <c r="C37" s="886">
        <f>'Expenditures 15-22'!B12</f>
        <v>1300</v>
      </c>
      <c r="D37" s="888" t="str">
        <f>'Expenditures 15-22'!A12</f>
        <v>Adult/Continuing Education Programs</v>
      </c>
      <c r="E37" s="868"/>
      <c r="F37" s="1844">
        <f>'Expenditures 15-22'!K12-SUM('Expenditures 15-22'!G12+'Expenditures 15-22'!I12)</f>
        <v>0</v>
      </c>
      <c r="G37" s="865"/>
    </row>
    <row r="38" spans="1:7">
      <c r="A38" s="869" t="s">
        <v>459</v>
      </c>
      <c r="B38" s="869" t="s">
        <v>1451</v>
      </c>
      <c r="C38" s="886">
        <f>'Expenditures 15-22'!B15</f>
        <v>1600</v>
      </c>
      <c r="D38" s="888" t="str">
        <f>'Expenditures 15-22'!A15</f>
        <v>Summer School Programs</v>
      </c>
      <c r="E38" s="868"/>
      <c r="F38" s="1844">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844">
        <f>'Expenditures 15-22'!K20</f>
        <v>0</v>
      </c>
      <c r="G39" s="865"/>
    </row>
    <row r="40" spans="1:7">
      <c r="A40" s="869" t="s">
        <v>459</v>
      </c>
      <c r="B40" s="869" t="s">
        <v>118</v>
      </c>
      <c r="C40" s="886" t="str">
        <f>'Expenditures 15-22'!B21</f>
        <v>1911</v>
      </c>
      <c r="D40" s="888" t="str">
        <f>'Expenditures 15-22'!A21</f>
        <v>Regular K-12 Programs - Private Tuition</v>
      </c>
      <c r="E40" s="868"/>
      <c r="F40" s="1844">
        <f>'Expenditures 15-22'!K21</f>
        <v>0</v>
      </c>
      <c r="G40" s="865"/>
    </row>
    <row r="41" spans="1:7">
      <c r="A41" s="869" t="s">
        <v>459</v>
      </c>
      <c r="B41" s="869" t="s">
        <v>119</v>
      </c>
      <c r="C41" s="886" t="str">
        <f>'Expenditures 15-22'!B22</f>
        <v>1912</v>
      </c>
      <c r="D41" s="888" t="str">
        <f>'Expenditures 15-22'!A22</f>
        <v>Special Education Programs K-12 - Private Tuition</v>
      </c>
      <c r="E41" s="868"/>
      <c r="F41" s="1844">
        <f>'Expenditures 15-22'!K22</f>
        <v>0</v>
      </c>
      <c r="G41" s="865"/>
    </row>
    <row r="42" spans="1:7">
      <c r="A42" s="869" t="s">
        <v>459</v>
      </c>
      <c r="B42" s="869" t="s">
        <v>120</v>
      </c>
      <c r="C42" s="889" t="str">
        <f>'Expenditures 15-22'!B23</f>
        <v>1913</v>
      </c>
      <c r="D42" s="888" t="str">
        <f>'Expenditures 15-22'!A23</f>
        <v>Special Education Programs Pre-K - Tuition</v>
      </c>
      <c r="E42" s="868"/>
      <c r="F42" s="1844">
        <f>'Expenditures 15-22'!K23</f>
        <v>0</v>
      </c>
      <c r="G42" s="865"/>
    </row>
    <row r="43" spans="1:7">
      <c r="A43" s="869" t="s">
        <v>459</v>
      </c>
      <c r="B43" s="869" t="s">
        <v>121</v>
      </c>
      <c r="C43" s="886" t="str">
        <f>'Expenditures 15-22'!B24</f>
        <v>1914</v>
      </c>
      <c r="D43" s="888" t="str">
        <f>'Expenditures 15-22'!A24</f>
        <v>Remedial/Supplemental Programs K-12 - Private Tuition</v>
      </c>
      <c r="E43" s="868"/>
      <c r="F43" s="1844">
        <f>'Expenditures 15-22'!K24</f>
        <v>0</v>
      </c>
      <c r="G43" s="865"/>
    </row>
    <row r="44" spans="1:7">
      <c r="A44" s="869" t="s">
        <v>459</v>
      </c>
      <c r="B44" s="869" t="s">
        <v>122</v>
      </c>
      <c r="C44" s="889" t="str">
        <f>'Expenditures 15-22'!B25</f>
        <v>1915</v>
      </c>
      <c r="D44" s="888" t="str">
        <f>'Expenditures 15-22'!A25</f>
        <v>Remedial/Supplemental Programs Pre-K - Private Tuition</v>
      </c>
      <c r="E44" s="868"/>
      <c r="F44" s="1844">
        <f>'Expenditures 15-22'!K25</f>
        <v>0</v>
      </c>
      <c r="G44" s="865"/>
    </row>
    <row r="45" spans="1:7">
      <c r="A45" s="869" t="s">
        <v>459</v>
      </c>
      <c r="B45" s="869" t="s">
        <v>123</v>
      </c>
      <c r="C45" s="889" t="str">
        <f>'Expenditures 15-22'!B26</f>
        <v>1916</v>
      </c>
      <c r="D45" s="888" t="str">
        <f>'Expenditures 15-22'!A26</f>
        <v>Adult/Continuing Education Programs - Private Tuition</v>
      </c>
      <c r="E45" s="868"/>
      <c r="F45" s="1844">
        <f>'Expenditures 15-22'!K26</f>
        <v>0</v>
      </c>
      <c r="G45" s="865"/>
    </row>
    <row r="46" spans="1:7">
      <c r="A46" s="869" t="s">
        <v>459</v>
      </c>
      <c r="B46" s="869" t="s">
        <v>124</v>
      </c>
      <c r="C46" s="886" t="str">
        <f>'Expenditures 15-22'!B27</f>
        <v>1917</v>
      </c>
      <c r="D46" s="888" t="str">
        <f>'Expenditures 15-22'!A27</f>
        <v>CTE Programs - Private Tuition</v>
      </c>
      <c r="E46" s="868"/>
      <c r="F46" s="1844">
        <f>'Expenditures 15-22'!K27</f>
        <v>0</v>
      </c>
      <c r="G46" s="865"/>
    </row>
    <row r="47" spans="1:7">
      <c r="A47" s="869" t="s">
        <v>459</v>
      </c>
      <c r="B47" s="869" t="s">
        <v>125</v>
      </c>
      <c r="C47" s="890" t="str">
        <f>'Expenditures 15-22'!B28</f>
        <v>1918</v>
      </c>
      <c r="D47" s="891" t="str">
        <f>'Expenditures 15-22'!A28</f>
        <v>Interscholastic Programs - Private Tuition</v>
      </c>
      <c r="E47" s="868"/>
      <c r="F47" s="1844">
        <f>'Expenditures 15-22'!K28</f>
        <v>0</v>
      </c>
      <c r="G47" s="865"/>
    </row>
    <row r="48" spans="1:7">
      <c r="A48" s="869" t="s">
        <v>459</v>
      </c>
      <c r="B48" s="869" t="s">
        <v>126</v>
      </c>
      <c r="C48" s="889" t="str">
        <f>'Expenditures 15-22'!B29</f>
        <v>1919</v>
      </c>
      <c r="D48" s="888" t="str">
        <f>'Expenditures 15-22'!A29</f>
        <v>Summer School Programs - Private Tuition</v>
      </c>
      <c r="E48" s="868"/>
      <c r="F48" s="1844">
        <f>'Expenditures 15-22'!K29</f>
        <v>0</v>
      </c>
      <c r="G48" s="865"/>
    </row>
    <row r="49" spans="1:7">
      <c r="A49" s="869" t="s">
        <v>459</v>
      </c>
      <c r="B49" s="869" t="s">
        <v>127</v>
      </c>
      <c r="C49" s="886" t="str">
        <f>'Expenditures 15-22'!B30</f>
        <v>1920</v>
      </c>
      <c r="D49" s="888" t="str">
        <f>'Expenditures 15-22'!A30</f>
        <v>Gifted Programs - Private Tuition</v>
      </c>
      <c r="E49" s="868"/>
      <c r="F49" s="1844">
        <f>'Expenditures 15-22'!K30</f>
        <v>0</v>
      </c>
      <c r="G49" s="865"/>
    </row>
    <row r="50" spans="1:7">
      <c r="A50" s="869" t="s">
        <v>459</v>
      </c>
      <c r="B50" s="869" t="s">
        <v>128</v>
      </c>
      <c r="C50" s="886" t="str">
        <f>'Expenditures 15-22'!B31</f>
        <v>1921</v>
      </c>
      <c r="D50" s="888" t="str">
        <f>'Expenditures 15-22'!A31</f>
        <v>Bilingual Programs - Private Tuition</v>
      </c>
      <c r="E50" s="868"/>
      <c r="F50" s="1844">
        <f>'Expenditures 15-22'!K31</f>
        <v>0</v>
      </c>
      <c r="G50" s="865"/>
    </row>
    <row r="51" spans="1:7">
      <c r="A51" s="869" t="s">
        <v>459</v>
      </c>
      <c r="B51" s="869" t="s">
        <v>1452</v>
      </c>
      <c r="C51" s="886" t="str">
        <f>'Expenditures 15-22'!B32</f>
        <v>1922</v>
      </c>
      <c r="D51" s="888" t="str">
        <f>'Expenditures 15-22'!A32</f>
        <v>Truants Alternative/Optional Ed Progms - Private Tuition</v>
      </c>
      <c r="E51" s="868"/>
      <c r="F51" s="1844">
        <f>'Expenditures 15-22'!K32</f>
        <v>0</v>
      </c>
      <c r="G51" s="865"/>
    </row>
    <row r="52" spans="1:7">
      <c r="A52" s="869" t="s">
        <v>459</v>
      </c>
      <c r="B52" s="869" t="s">
        <v>1453</v>
      </c>
      <c r="C52" s="889" t="str">
        <f>'Expenditures 15-22'!B75</f>
        <v>3000</v>
      </c>
      <c r="D52" s="888" t="s">
        <v>449</v>
      </c>
      <c r="E52" s="868"/>
      <c r="F52" s="1844">
        <f>'Expenditures 15-22'!K75-SUM('Expenditures 15-22'!G75,'Expenditures 15-22'!I75)</f>
        <v>2382</v>
      </c>
      <c r="G52" s="865"/>
    </row>
    <row r="53" spans="1:7">
      <c r="A53" s="869" t="s">
        <v>459</v>
      </c>
      <c r="B53" s="869" t="s">
        <v>1454</v>
      </c>
      <c r="C53" s="889">
        <f>'Expenditures 15-22'!B102</f>
        <v>4000</v>
      </c>
      <c r="D53" s="888" t="str">
        <f>'Expenditures 15-22'!A102</f>
        <v>Total Payments to Other Govt Units</v>
      </c>
      <c r="E53" s="868"/>
      <c r="F53" s="1844">
        <f>'Expenditures 15-22'!K102</f>
        <v>792926</v>
      </c>
      <c r="G53" s="865"/>
    </row>
    <row r="54" spans="1:7">
      <c r="A54" s="869" t="s">
        <v>459</v>
      </c>
      <c r="B54" s="869" t="s">
        <v>1455</v>
      </c>
      <c r="C54" s="889" t="s">
        <v>982</v>
      </c>
      <c r="D54" s="885" t="s">
        <v>1095</v>
      </c>
      <c r="E54" s="868"/>
      <c r="F54" s="1844">
        <f>'Expenditures 15-22'!G114</f>
        <v>45974</v>
      </c>
      <c r="G54" s="865"/>
    </row>
    <row r="55" spans="1:7">
      <c r="A55" s="869" t="s">
        <v>459</v>
      </c>
      <c r="B55" s="869" t="s">
        <v>1456</v>
      </c>
      <c r="C55" s="889" t="s">
        <v>982</v>
      </c>
      <c r="D55" s="885" t="s">
        <v>291</v>
      </c>
      <c r="E55" s="868"/>
      <c r="F55" s="1844">
        <f>'Expenditures 15-22'!I114</f>
        <v>0</v>
      </c>
      <c r="G55" s="865"/>
    </row>
    <row r="56" spans="1:7">
      <c r="A56" s="869" t="s">
        <v>460</v>
      </c>
      <c r="B56" s="869" t="s">
        <v>1457</v>
      </c>
      <c r="C56" s="886" t="str">
        <f>'Expenditures 15-22'!B130</f>
        <v>3000</v>
      </c>
      <c r="D56" s="892" t="s">
        <v>449</v>
      </c>
      <c r="E56" s="868"/>
      <c r="F56" s="1844">
        <f>'Expenditures 15-22'!K130-SUM('Expenditures 15-22'!G130+'Expenditures 15-22'!I130)</f>
        <v>0</v>
      </c>
      <c r="G56" s="865"/>
    </row>
    <row r="57" spans="1:7">
      <c r="A57" s="869" t="s">
        <v>460</v>
      </c>
      <c r="B57" s="869" t="s">
        <v>1842</v>
      </c>
      <c r="C57" s="889">
        <f>'Expenditures 15-22'!B139</f>
        <v>4000</v>
      </c>
      <c r="D57" s="887" t="str">
        <f>'Expenditures 15-22'!A139</f>
        <v>Total Payments to Other Govt Units</v>
      </c>
      <c r="E57" s="868"/>
      <c r="F57" s="1844">
        <f>'Expenditures 15-22'!K139</f>
        <v>0</v>
      </c>
      <c r="G57" s="865"/>
    </row>
    <row r="58" spans="1:7">
      <c r="A58" s="869" t="s">
        <v>460</v>
      </c>
      <c r="B58" s="869" t="s">
        <v>1843</v>
      </c>
      <c r="C58" s="886" t="s">
        <v>982</v>
      </c>
      <c r="D58" s="885" t="s">
        <v>1095</v>
      </c>
      <c r="E58" s="868"/>
      <c r="F58" s="1846">
        <f>'Expenditures 15-22'!G151</f>
        <v>211002</v>
      </c>
      <c r="G58" s="865"/>
    </row>
    <row r="59" spans="1:7">
      <c r="A59" s="893" t="s">
        <v>460</v>
      </c>
      <c r="B59" s="856" t="s">
        <v>1844</v>
      </c>
      <c r="C59" s="894" t="s">
        <v>982</v>
      </c>
      <c r="D59" s="856" t="s">
        <v>291</v>
      </c>
      <c r="F59" s="1847">
        <f>'Expenditures 15-22'!I151</f>
        <v>0</v>
      </c>
      <c r="G59" s="865"/>
    </row>
    <row r="60" spans="1:7">
      <c r="A60" s="893" t="s">
        <v>499</v>
      </c>
      <c r="B60" s="856" t="s">
        <v>1845</v>
      </c>
      <c r="C60" s="894">
        <v>4000</v>
      </c>
      <c r="D60" s="856" t="s">
        <v>312</v>
      </c>
      <c r="F60" s="1845">
        <f>'Expenditures 15-22'!K160</f>
        <v>0</v>
      </c>
      <c r="G60" s="865"/>
    </row>
    <row r="61" spans="1:7">
      <c r="A61" s="895" t="s">
        <v>499</v>
      </c>
      <c r="B61" s="895" t="s">
        <v>1846</v>
      </c>
      <c r="C61" s="896" t="str">
        <f>'Expenditures 15-22'!B170</f>
        <v>5300</v>
      </c>
      <c r="D61" s="897" t="s">
        <v>311</v>
      </c>
      <c r="E61" s="879"/>
      <c r="F61" s="1844">
        <f>'Expenditures 15-22'!K170</f>
        <v>1081555</v>
      </c>
      <c r="G61" s="865"/>
    </row>
    <row r="62" spans="1:7">
      <c r="A62" s="869" t="s">
        <v>461</v>
      </c>
      <c r="B62" s="869" t="s">
        <v>1847</v>
      </c>
      <c r="C62" s="886">
        <f>'Expenditures 15-22'!B185</f>
        <v>3000</v>
      </c>
      <c r="D62" s="876" t="s">
        <v>449</v>
      </c>
      <c r="E62" s="868"/>
      <c r="F62" s="1844">
        <f>'Expenditures 15-22'!K185-SUM('Expenditures 15-22'!G185,'Expenditures 15-22'!I185)</f>
        <v>0</v>
      </c>
      <c r="G62" s="865"/>
    </row>
    <row r="63" spans="1:7">
      <c r="A63" s="869" t="s">
        <v>461</v>
      </c>
      <c r="B63" s="869" t="s">
        <v>1848</v>
      </c>
      <c r="C63" s="886" t="str">
        <f>'Expenditures 15-22'!B196</f>
        <v>4000</v>
      </c>
      <c r="D63" s="887" t="str">
        <f>'Expenditures 15-22'!A196</f>
        <v>Total Payments to Other Govt Units</v>
      </c>
      <c r="E63" s="868"/>
      <c r="F63" s="1844">
        <f>'Expenditures 15-22'!K196</f>
        <v>884909</v>
      </c>
      <c r="G63" s="865"/>
    </row>
    <row r="64" spans="1:7">
      <c r="A64" s="895" t="s">
        <v>461</v>
      </c>
      <c r="B64" s="895" t="s">
        <v>1849</v>
      </c>
      <c r="C64" s="896" t="str">
        <f>'Expenditures 15-22'!B206</f>
        <v>5300</v>
      </c>
      <c r="D64" s="892" t="s">
        <v>311</v>
      </c>
      <c r="E64" s="868"/>
      <c r="F64" s="1844">
        <f>'Expenditures 15-22'!K206</f>
        <v>0</v>
      </c>
      <c r="G64" s="865"/>
    </row>
    <row r="65" spans="1:8">
      <c r="A65" s="869" t="s">
        <v>461</v>
      </c>
      <c r="B65" s="869" t="s">
        <v>1850</v>
      </c>
      <c r="C65" s="886" t="s">
        <v>982</v>
      </c>
      <c r="D65" s="885" t="s">
        <v>1095</v>
      </c>
      <c r="E65" s="868"/>
      <c r="F65" s="1844">
        <f>'Expenditures 15-22'!G210</f>
        <v>123096</v>
      </c>
      <c r="G65" s="865"/>
    </row>
    <row r="66" spans="1:8">
      <c r="A66" s="869" t="s">
        <v>461</v>
      </c>
      <c r="B66" s="869" t="s">
        <v>1851</v>
      </c>
      <c r="C66" s="886" t="s">
        <v>982</v>
      </c>
      <c r="D66" s="885" t="s">
        <v>291</v>
      </c>
      <c r="E66" s="868"/>
      <c r="F66" s="1844">
        <f>'Expenditures 15-22'!I210</f>
        <v>0</v>
      </c>
      <c r="G66" s="865"/>
    </row>
    <row r="67" spans="1:8">
      <c r="A67" s="869" t="s">
        <v>462</v>
      </c>
      <c r="B67" s="869" t="s">
        <v>1852</v>
      </c>
      <c r="C67" s="886" t="str">
        <f>'Expenditures 15-22'!B216</f>
        <v>1125</v>
      </c>
      <c r="D67" s="892" t="str">
        <f>'Expenditures 15-22'!A216</f>
        <v>Pre-K Programs</v>
      </c>
      <c r="E67" s="868"/>
      <c r="F67" s="1844">
        <f>'Expenditures 15-22'!K216</f>
        <v>0</v>
      </c>
      <c r="G67" s="865"/>
    </row>
    <row r="68" spans="1:8">
      <c r="A68" s="869" t="s">
        <v>462</v>
      </c>
      <c r="B68" s="869" t="s">
        <v>1458</v>
      </c>
      <c r="C68" s="886" t="str">
        <f>'Expenditures 15-22'!B218</f>
        <v>1225</v>
      </c>
      <c r="D68" s="892" t="str">
        <f>'Expenditures 15-22'!A218</f>
        <v>Special Education Programs - Pre-K</v>
      </c>
      <c r="E68" s="868"/>
      <c r="F68" s="1844">
        <f>'Expenditures 15-22'!K218</f>
        <v>11606</v>
      </c>
      <c r="G68" s="865"/>
    </row>
    <row r="69" spans="1:8">
      <c r="A69" s="869" t="s">
        <v>462</v>
      </c>
      <c r="B69" s="869" t="s">
        <v>1853</v>
      </c>
      <c r="C69" s="886" t="str">
        <f>'Expenditures 15-22'!B220</f>
        <v>1275</v>
      </c>
      <c r="D69" s="892" t="str">
        <f>'Expenditures 15-22'!A220</f>
        <v>Remedial and Supplemental Programs - Pre-K</v>
      </c>
      <c r="E69" s="868"/>
      <c r="F69" s="1844">
        <f>'Expenditures 15-22'!K220</f>
        <v>12530</v>
      </c>
      <c r="G69" s="865"/>
    </row>
    <row r="70" spans="1:8">
      <c r="A70" s="869" t="s">
        <v>462</v>
      </c>
      <c r="B70" s="869" t="s">
        <v>1854</v>
      </c>
      <c r="C70" s="886">
        <f>'Expenditures 15-22'!B221</f>
        <v>1300</v>
      </c>
      <c r="D70" s="887" t="str">
        <f>'Expenditures 15-22'!A221</f>
        <v>Adult/Continuing Education Programs</v>
      </c>
      <c r="E70" s="868"/>
      <c r="F70" s="1844">
        <f>'Expenditures 15-22'!K221</f>
        <v>0</v>
      </c>
      <c r="G70" s="865"/>
    </row>
    <row r="71" spans="1:8">
      <c r="A71" s="869" t="s">
        <v>462</v>
      </c>
      <c r="B71" s="869" t="s">
        <v>1855</v>
      </c>
      <c r="C71" s="886">
        <f>'Expenditures 15-22'!B224</f>
        <v>1600</v>
      </c>
      <c r="D71" s="887" t="str">
        <f>'Expenditures 15-22'!A224</f>
        <v>Summer School Programs</v>
      </c>
      <c r="E71" s="868"/>
      <c r="F71" s="1844">
        <f>'Expenditures 15-22'!K224</f>
        <v>0</v>
      </c>
      <c r="G71" s="865"/>
    </row>
    <row r="72" spans="1:8">
      <c r="A72" s="869" t="s">
        <v>462</v>
      </c>
      <c r="B72" s="869" t="s">
        <v>1856</v>
      </c>
      <c r="C72" s="886">
        <f>'Expenditures 15-22'!B280</f>
        <v>3000</v>
      </c>
      <c r="D72" s="876" t="s">
        <v>449</v>
      </c>
      <c r="E72" s="868"/>
      <c r="F72" s="1844">
        <f>'Expenditures 15-22'!K280</f>
        <v>0</v>
      </c>
      <c r="G72" s="865"/>
    </row>
    <row r="73" spans="1:8">
      <c r="A73" s="869" t="s">
        <v>462</v>
      </c>
      <c r="B73" s="869" t="s">
        <v>1857</v>
      </c>
      <c r="C73" s="886" t="str">
        <f>'Expenditures 15-22'!B285</f>
        <v>4000</v>
      </c>
      <c r="D73" s="887" t="str">
        <f>'Expenditures 15-22'!A285</f>
        <v>Total Payments to Other Govt Units</v>
      </c>
      <c r="E73" s="868"/>
      <c r="F73" s="1844">
        <f>'Expenditures 15-22'!K285</f>
        <v>35105</v>
      </c>
      <c r="G73" s="865"/>
    </row>
    <row r="74" spans="1:8">
      <c r="A74" s="869" t="s">
        <v>436</v>
      </c>
      <c r="B74" s="869" t="s">
        <v>1858</v>
      </c>
      <c r="C74" s="886" t="s">
        <v>860</v>
      </c>
      <c r="D74" s="887" t="s">
        <v>1466</v>
      </c>
      <c r="E74" s="868"/>
      <c r="F74" s="1848">
        <f>'Expenditures 15-22'!K334</f>
        <v>0</v>
      </c>
      <c r="G74" s="865"/>
    </row>
    <row r="75" spans="1:8" ht="5.25" customHeight="1">
      <c r="A75" s="865"/>
      <c r="B75" s="875"/>
      <c r="C75" s="875"/>
      <c r="D75" s="865"/>
      <c r="E75" s="868"/>
      <c r="F75" s="882"/>
      <c r="G75" s="867"/>
    </row>
    <row r="76" spans="1:8" ht="12" thickBot="1">
      <c r="A76" s="1701"/>
      <c r="B76" s="1707"/>
      <c r="C76" s="1703"/>
      <c r="D76" s="1708" t="s">
        <v>1859</v>
      </c>
      <c r="E76" s="1705" t="s">
        <v>958</v>
      </c>
      <c r="F76" s="1709">
        <f>SUM(F18:F74)</f>
        <v>3733469</v>
      </c>
      <c r="G76" s="865"/>
    </row>
    <row r="77" spans="1:8" s="893" customFormat="1" ht="12" customHeight="1" thickTop="1" thickBot="1">
      <c r="A77" s="1710"/>
      <c r="B77" s="1707"/>
      <c r="C77" s="1703"/>
      <c r="D77" s="1708" t="s">
        <v>1860</v>
      </c>
      <c r="E77" s="1705"/>
      <c r="F77" s="1711">
        <f>(F14-F76)</f>
        <v>14503357</v>
      </c>
      <c r="G77" s="869"/>
    </row>
    <row r="78" spans="1:8" s="893" customFormat="1" ht="12" customHeight="1" thickTop="1">
      <c r="A78" s="1712"/>
      <c r="B78" s="1707"/>
      <c r="C78" s="1703"/>
      <c r="D78" s="1708" t="s">
        <v>2021</v>
      </c>
      <c r="E78" s="1705"/>
      <c r="F78" s="898">
        <v>1579</v>
      </c>
      <c r="G78" s="899"/>
      <c r="H78" s="869"/>
    </row>
    <row r="79" spans="1:8" s="893" customFormat="1" ht="12" customHeight="1" thickBot="1">
      <c r="A79" s="1713"/>
      <c r="B79" s="1707"/>
      <c r="C79" s="1703"/>
      <c r="D79" s="1708" t="s">
        <v>1861</v>
      </c>
      <c r="E79" s="1705" t="s">
        <v>958</v>
      </c>
      <c r="F79" s="1714">
        <f>IF(F78&gt;0,F77/F78," Complete Line 78")</f>
        <v>9185.1532615579472</v>
      </c>
      <c r="G79" s="869"/>
    </row>
    <row r="80" spans="1:8" s="893" customFormat="1" ht="8.25" customHeight="1" thickTop="1">
      <c r="A80" s="900"/>
      <c r="B80" s="869"/>
      <c r="C80" s="871"/>
      <c r="D80" s="901"/>
      <c r="E80" s="868"/>
      <c r="F80" s="902"/>
      <c r="G80" s="869"/>
    </row>
    <row r="81" spans="1:7" s="893" customFormat="1" ht="12" thickBot="1">
      <c r="A81" s="2274" t="s">
        <v>1105</v>
      </c>
      <c r="B81" s="2275"/>
      <c r="C81" s="2275"/>
      <c r="D81" s="2275"/>
      <c r="E81" s="2275"/>
      <c r="F81" s="2276"/>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8">
        <f>'Revenues 9-14'!F42</f>
        <v>0</v>
      </c>
      <c r="G84" s="912"/>
    </row>
    <row r="85" spans="1:7">
      <c r="A85" s="908" t="s">
        <v>461</v>
      </c>
      <c r="B85" s="908" t="s">
        <v>183</v>
      </c>
      <c r="C85" s="913">
        <f>'Revenues 9-14'!B44</f>
        <v>1413</v>
      </c>
      <c r="D85" s="911" t="str">
        <f>'Revenues 9-14'!A44</f>
        <v>Regular - Transp Fees from Other Sources (In State)</v>
      </c>
      <c r="E85" s="906"/>
      <c r="F85" s="1720">
        <f>'Revenues 9-14'!F44</f>
        <v>0</v>
      </c>
      <c r="G85" s="914"/>
    </row>
    <row r="86" spans="1:7">
      <c r="A86" s="908" t="s">
        <v>461</v>
      </c>
      <c r="B86" s="908" t="s">
        <v>166</v>
      </c>
      <c r="C86" s="910">
        <f>'Revenues 9-14'!B45</f>
        <v>1415</v>
      </c>
      <c r="D86" s="911" t="str">
        <f>'Revenues 9-14'!A45</f>
        <v>Regular - Transp Fees from Co-curricular Activities (In State)</v>
      </c>
      <c r="E86" s="906"/>
      <c r="F86" s="1720">
        <f>'Revenues 9-14'!F45</f>
        <v>0</v>
      </c>
      <c r="G86" s="914"/>
    </row>
    <row r="87" spans="1:7">
      <c r="A87" s="908" t="s">
        <v>461</v>
      </c>
      <c r="B87" s="908" t="s">
        <v>167</v>
      </c>
      <c r="C87" s="910">
        <v>1416</v>
      </c>
      <c r="D87" s="911" t="str">
        <f>'Revenues 9-14'!A46</f>
        <v>Regular Transp Fees from Other Sources (Out of State)</v>
      </c>
      <c r="E87" s="906"/>
      <c r="F87" s="1720">
        <f>'Revenues 9-14'!F46</f>
        <v>0</v>
      </c>
      <c r="G87" s="914"/>
    </row>
    <row r="88" spans="1:7">
      <c r="A88" s="908" t="s">
        <v>461</v>
      </c>
      <c r="B88" s="908" t="s">
        <v>168</v>
      </c>
      <c r="C88" s="910">
        <f>'Revenues 9-14'!B51</f>
        <v>1431</v>
      </c>
      <c r="D88" s="911" t="str">
        <f>'Revenues 9-14'!A51</f>
        <v>CTE - Transp Fees from Pupils or Parents (In State)</v>
      </c>
      <c r="E88" s="906"/>
      <c r="F88" s="1720">
        <f>'Revenues 9-14'!F51</f>
        <v>0</v>
      </c>
      <c r="G88" s="914"/>
    </row>
    <row r="89" spans="1:7">
      <c r="A89" s="908" t="s">
        <v>461</v>
      </c>
      <c r="B89" s="908" t="s">
        <v>169</v>
      </c>
      <c r="C89" s="910">
        <f>'Revenues 9-14'!B53</f>
        <v>1433</v>
      </c>
      <c r="D89" s="911" t="str">
        <f>'Revenues 9-14'!A53</f>
        <v>CTE - Transp Fees from Other Sources (In State)</v>
      </c>
      <c r="E89" s="906"/>
      <c r="F89" s="1720">
        <f>'Revenues 9-14'!F53</f>
        <v>0</v>
      </c>
      <c r="G89" s="914"/>
    </row>
    <row r="90" spans="1:7">
      <c r="A90" s="908" t="s">
        <v>461</v>
      </c>
      <c r="B90" s="908" t="s">
        <v>170</v>
      </c>
      <c r="C90" s="910">
        <f>'Revenues 9-14'!B54</f>
        <v>1434</v>
      </c>
      <c r="D90" s="911" t="str">
        <f>'Revenues 9-14'!A54</f>
        <v>CTE - Transp Fees from Other Sources (Out of State)</v>
      </c>
      <c r="E90" s="906"/>
      <c r="F90" s="1720">
        <f>'Revenues 9-14'!F54</f>
        <v>0</v>
      </c>
      <c r="G90" s="914"/>
    </row>
    <row r="91" spans="1:7">
      <c r="A91" s="908" t="s">
        <v>461</v>
      </c>
      <c r="B91" s="908" t="s">
        <v>171</v>
      </c>
      <c r="C91" s="915">
        <f>'Revenues 9-14'!B55</f>
        <v>1441</v>
      </c>
      <c r="D91" s="911" t="str">
        <f>'Revenues 9-14'!A55</f>
        <v>Special Ed - Transp Fees from Pupils or Parents (In State)</v>
      </c>
      <c r="E91" s="906"/>
      <c r="F91" s="1720">
        <f>'Revenues 9-14'!F55</f>
        <v>0</v>
      </c>
      <c r="G91" s="914"/>
    </row>
    <row r="92" spans="1:7">
      <c r="A92" s="908" t="s">
        <v>461</v>
      </c>
      <c r="B92" s="908" t="s">
        <v>172</v>
      </c>
      <c r="C92" s="910">
        <f>'Revenues 9-14'!B57</f>
        <v>1443</v>
      </c>
      <c r="D92" s="911" t="str">
        <f>'Revenues 9-14'!A57</f>
        <v>Special Ed - Transp Fees from Other Sources (In State)</v>
      </c>
      <c r="E92" s="906"/>
      <c r="F92" s="1720">
        <f>'Revenues 9-14'!F57</f>
        <v>0</v>
      </c>
      <c r="G92" s="916"/>
    </row>
    <row r="93" spans="1:7">
      <c r="A93" s="908" t="s">
        <v>461</v>
      </c>
      <c r="B93" s="908" t="s">
        <v>173</v>
      </c>
      <c r="C93" s="910">
        <f>'Revenues 9-14'!B58</f>
        <v>1444</v>
      </c>
      <c r="D93" s="911" t="str">
        <f>'Revenues 9-14'!A58</f>
        <v>Special Ed - Transp Fees from Other Sources (Out of State)</v>
      </c>
      <c r="E93" s="906"/>
      <c r="F93" s="1720">
        <f>'Revenues 9-14'!F58</f>
        <v>0</v>
      </c>
      <c r="G93" s="916"/>
    </row>
    <row r="94" spans="1:7">
      <c r="A94" s="908" t="s">
        <v>459</v>
      </c>
      <c r="B94" s="908" t="s">
        <v>174</v>
      </c>
      <c r="C94" s="910">
        <v>1600</v>
      </c>
      <c r="D94" s="917" t="str">
        <f>'Revenues 9-14'!A75</f>
        <v>Total Food Service</v>
      </c>
      <c r="E94" s="906"/>
      <c r="F94" s="1720">
        <f>'Revenues 9-14'!C75</f>
        <v>19632</v>
      </c>
      <c r="G94" s="912"/>
    </row>
    <row r="95" spans="1:7">
      <c r="A95" s="908" t="s">
        <v>140</v>
      </c>
      <c r="B95" s="908" t="s">
        <v>175</v>
      </c>
      <c r="C95" s="910">
        <v>1700</v>
      </c>
      <c r="D95" s="918" t="str">
        <f>'Revenues 9-14'!A82</f>
        <v>Total District/School Activity Income</v>
      </c>
      <c r="E95" s="906"/>
      <c r="F95" s="1720">
        <f>SUM('Revenues 9-14'!C82,'Revenues 9-14'!D82)</f>
        <v>15213</v>
      </c>
      <c r="G95" s="912"/>
    </row>
    <row r="96" spans="1:7">
      <c r="A96" s="908" t="s">
        <v>459</v>
      </c>
      <c r="B96" s="908" t="s">
        <v>176</v>
      </c>
      <c r="C96" s="910">
        <f>'Revenues 9-14'!B84</f>
        <v>1811</v>
      </c>
      <c r="D96" s="911" t="str">
        <f>'Revenues 9-14'!A84</f>
        <v>Rentals - Regular Textbooks</v>
      </c>
      <c r="E96" s="906"/>
      <c r="F96" s="1720">
        <f>'Revenues 9-14'!C84</f>
        <v>42742</v>
      </c>
      <c r="G96" s="912"/>
    </row>
    <row r="97" spans="1:7">
      <c r="A97" s="908" t="s">
        <v>459</v>
      </c>
      <c r="B97" s="908" t="s">
        <v>177</v>
      </c>
      <c r="C97" s="910">
        <f>'Revenues 9-14'!B87</f>
        <v>1819</v>
      </c>
      <c r="D97" s="911" t="str">
        <f>'Revenues 9-14'!A87</f>
        <v>Rentals - Other (Describe &amp; Itemize)</v>
      </c>
      <c r="E97" s="906"/>
      <c r="F97" s="1720">
        <f>'Revenues 9-14'!C87</f>
        <v>0</v>
      </c>
      <c r="G97" s="912"/>
    </row>
    <row r="98" spans="1:7">
      <c r="A98" s="908" t="s">
        <v>459</v>
      </c>
      <c r="B98" s="908" t="s">
        <v>178</v>
      </c>
      <c r="C98" s="910">
        <f>'Revenues 9-14'!B88</f>
        <v>1821</v>
      </c>
      <c r="D98" s="911" t="str">
        <f>'Revenues 9-14'!A88</f>
        <v>Sales - Regular Textbooks</v>
      </c>
      <c r="E98" s="906"/>
      <c r="F98" s="1720">
        <f>'Revenues 9-14'!C88</f>
        <v>0</v>
      </c>
      <c r="G98" s="912"/>
    </row>
    <row r="99" spans="1:7">
      <c r="A99" s="908" t="s">
        <v>459</v>
      </c>
      <c r="B99" s="908" t="s">
        <v>179</v>
      </c>
      <c r="C99" s="910">
        <f>'Revenues 9-14'!B91</f>
        <v>1829</v>
      </c>
      <c r="D99" s="911" t="str">
        <f>'Revenues 9-14'!A91</f>
        <v>Sales - Other (Describe &amp; Itemize)</v>
      </c>
      <c r="E99" s="906"/>
      <c r="F99" s="1720">
        <f>'Revenues 9-14'!C91</f>
        <v>0</v>
      </c>
      <c r="G99" s="912"/>
    </row>
    <row r="100" spans="1:7">
      <c r="A100" s="908" t="s">
        <v>459</v>
      </c>
      <c r="B100" s="908" t="s">
        <v>180</v>
      </c>
      <c r="C100" s="910">
        <f>'Revenues 9-14'!B92</f>
        <v>1890</v>
      </c>
      <c r="D100" s="911" t="str">
        <f>'Revenues 9-14'!A92</f>
        <v>Other (Describe &amp; Itemize)</v>
      </c>
      <c r="E100" s="906"/>
      <c r="F100" s="1720">
        <f>'Revenues 9-14'!C92</f>
        <v>0</v>
      </c>
      <c r="G100" s="912"/>
    </row>
    <row r="101" spans="1:7">
      <c r="A101" s="908" t="s">
        <v>140</v>
      </c>
      <c r="B101" s="908" t="s">
        <v>181</v>
      </c>
      <c r="C101" s="910">
        <f>'Revenues 9-14'!B95</f>
        <v>1910</v>
      </c>
      <c r="D101" s="911" t="str">
        <f>'Revenues 9-14'!A95</f>
        <v>Rentals</v>
      </c>
      <c r="E101" s="906"/>
      <c r="F101" s="1720">
        <f>SUM('Revenues 9-14'!C95:D95)</f>
        <v>5220</v>
      </c>
      <c r="G101" s="912"/>
    </row>
    <row r="102" spans="1:7">
      <c r="A102" s="908" t="s">
        <v>503</v>
      </c>
      <c r="B102" s="908" t="s">
        <v>182</v>
      </c>
      <c r="C102" s="910">
        <f>'Revenues 9-14'!B98</f>
        <v>1940</v>
      </c>
      <c r="D102" s="911" t="str">
        <f>'Revenues 9-14'!A98</f>
        <v>Services Provided Other Districts</v>
      </c>
      <c r="E102" s="906"/>
      <c r="F102" s="1720">
        <f>SUM('Revenues 9-14'!C98,'Revenues 9-14'!D98,'Revenues 9-14'!F98)</f>
        <v>50</v>
      </c>
      <c r="G102" s="912"/>
    </row>
    <row r="103" spans="1:7">
      <c r="A103" s="908" t="s">
        <v>1009</v>
      </c>
      <c r="B103" s="908" t="s">
        <v>801</v>
      </c>
      <c r="C103" s="910">
        <f>'Revenues 9-14'!B104</f>
        <v>1991</v>
      </c>
      <c r="D103" s="919" t="str">
        <f>'Revenues 9-14'!A104</f>
        <v>Payment from Other Districts</v>
      </c>
      <c r="E103" s="906"/>
      <c r="F103" s="1720">
        <f>SUM('Revenues 9-14'!C104,'Revenues 9-14'!D104,'Revenues 9-14'!E104,'Revenues 9-14'!F104,'Revenues 9-14'!G104)</f>
        <v>42106</v>
      </c>
      <c r="G103" s="912"/>
    </row>
    <row r="104" spans="1:7">
      <c r="A104" s="908" t="s">
        <v>459</v>
      </c>
      <c r="B104" s="908" t="s">
        <v>808</v>
      </c>
      <c r="C104" s="910">
        <f>'Revenues 9-14'!B106</f>
        <v>1993</v>
      </c>
      <c r="D104" s="911" t="str">
        <f>'Revenues 9-14'!A106</f>
        <v>Other Local Fees (Describe &amp; Itemize)</v>
      </c>
      <c r="E104" s="906"/>
      <c r="F104" s="1720">
        <f>('Revenues 9-14'!C106)</f>
        <v>0</v>
      </c>
      <c r="G104" s="912"/>
    </row>
    <row r="105" spans="1:7">
      <c r="A105" s="908" t="s">
        <v>503</v>
      </c>
      <c r="B105" s="908" t="s">
        <v>1962</v>
      </c>
      <c r="C105" s="913">
        <v>3100</v>
      </c>
      <c r="D105" s="919" t="str">
        <f>'Revenues 9-14'!A132</f>
        <v>Total Special Education</v>
      </c>
      <c r="E105" s="906"/>
      <c r="F105" s="1720">
        <f>SUM('Revenues 9-14'!C132:D132,'Revenues 9-14'!F132)</f>
        <v>58090</v>
      </c>
      <c r="G105" s="912"/>
    </row>
    <row r="106" spans="1:7">
      <c r="A106" s="908" t="s">
        <v>673</v>
      </c>
      <c r="B106" s="908" t="s">
        <v>1963</v>
      </c>
      <c r="C106" s="920">
        <v>3200</v>
      </c>
      <c r="D106" s="911" t="str">
        <f>'Revenues 9-14'!A141</f>
        <v>Total Career and Technical Education</v>
      </c>
      <c r="E106" s="906"/>
      <c r="F106" s="1720">
        <f>SUM('Revenues 9-14'!C141,'Revenues 9-14'!D141,'Revenues 9-14'!G141)</f>
        <v>0</v>
      </c>
      <c r="G106" s="912"/>
    </row>
    <row r="107" spans="1:7">
      <c r="A107" s="921" t="s">
        <v>664</v>
      </c>
      <c r="B107" s="908" t="s">
        <v>1964</v>
      </c>
      <c r="C107" s="920">
        <v>3300</v>
      </c>
      <c r="D107" s="911" t="str">
        <f>'Revenues 9-14'!A145</f>
        <v>Total Bilingual Ed</v>
      </c>
      <c r="E107" s="906"/>
      <c r="F107" s="1720">
        <f>SUM('Revenues 9-14'!C145,'Revenues 9-14'!G145)</f>
        <v>0</v>
      </c>
      <c r="G107" s="912"/>
    </row>
    <row r="108" spans="1:7">
      <c r="A108" s="908" t="s">
        <v>459</v>
      </c>
      <c r="B108" s="908" t="s">
        <v>1965</v>
      </c>
      <c r="C108" s="920">
        <f>'Revenues 9-14'!B146</f>
        <v>3360</v>
      </c>
      <c r="D108" s="911" t="str">
        <f>'Revenues 9-14'!A146</f>
        <v>State Free Lunch &amp; Breakfast</v>
      </c>
      <c r="E108" s="906"/>
      <c r="F108" s="1720">
        <f>'Revenues 9-14'!C146</f>
        <v>7604</v>
      </c>
      <c r="G108" s="912"/>
    </row>
    <row r="109" spans="1:7">
      <c r="A109" s="908" t="s">
        <v>673</v>
      </c>
      <c r="B109" s="908" t="s">
        <v>1966</v>
      </c>
      <c r="C109" s="920">
        <f>'Revenues 9-14'!B147</f>
        <v>3365</v>
      </c>
      <c r="D109" s="911" t="str">
        <f>'Revenues 9-14'!A147</f>
        <v>School Breakfast Initiative</v>
      </c>
      <c r="E109" s="906"/>
      <c r="F109" s="1720">
        <f>SUM('Revenues 9-14'!C147,'Revenues 9-14'!D147,'Revenues 9-14'!G147)</f>
        <v>0</v>
      </c>
      <c r="G109" s="912"/>
    </row>
    <row r="110" spans="1:7">
      <c r="A110" s="908" t="s">
        <v>140</v>
      </c>
      <c r="B110" s="908" t="s">
        <v>1967</v>
      </c>
      <c r="C110" s="920">
        <f>'Revenues 9-14'!B148</f>
        <v>3370</v>
      </c>
      <c r="D110" s="911" t="str">
        <f>'Revenues 9-14'!A148</f>
        <v>Driver Education</v>
      </c>
      <c r="E110" s="906"/>
      <c r="F110" s="1720">
        <f>SUM('Revenues 9-14'!C148,'Revenues 9-14'!D148)</f>
        <v>0</v>
      </c>
      <c r="G110" s="912"/>
    </row>
    <row r="111" spans="1:7">
      <c r="A111" s="908" t="s">
        <v>668</v>
      </c>
      <c r="B111" s="908" t="s">
        <v>1968</v>
      </c>
      <c r="C111" s="922">
        <v>3500</v>
      </c>
      <c r="D111" s="911" t="str">
        <f>'Revenues 9-14'!A155</f>
        <v>Total Transportation</v>
      </c>
      <c r="E111" s="906"/>
      <c r="F111" s="1720">
        <f>SUM('Revenues 9-14'!C155,'Revenues 9-14'!D155,'Revenues 9-14'!F155,'Revenues 9-14'!G155)</f>
        <v>545874</v>
      </c>
      <c r="G111" s="912"/>
    </row>
    <row r="112" spans="1:7">
      <c r="A112" s="908" t="s">
        <v>459</v>
      </c>
      <c r="B112" s="908" t="s">
        <v>1969</v>
      </c>
      <c r="C112" s="920">
        <f>'Revenues 9-14'!B156</f>
        <v>3610</v>
      </c>
      <c r="D112" s="911" t="str">
        <f>'Revenues 9-14'!A156</f>
        <v>Learning Improvement - Change Grants</v>
      </c>
      <c r="E112" s="906"/>
      <c r="F112" s="1720">
        <f>'Revenues 9-14'!C156</f>
        <v>0</v>
      </c>
      <c r="G112" s="912"/>
    </row>
    <row r="113" spans="1:7">
      <c r="A113" s="908" t="s">
        <v>668</v>
      </c>
      <c r="B113" s="908" t="s">
        <v>1970</v>
      </c>
      <c r="C113" s="920">
        <f>'Revenues 9-14'!B157</f>
        <v>3660</v>
      </c>
      <c r="D113" s="911" t="str">
        <f>'Revenues 9-14'!A157</f>
        <v>Scientific Literacy</v>
      </c>
      <c r="E113" s="906"/>
      <c r="F113" s="1720">
        <f>SUM('Revenues 9-14'!C157,'Revenues 9-14'!D157,'Revenues 9-14'!F157,'Revenues 9-14'!G157)</f>
        <v>0</v>
      </c>
      <c r="G113" s="912"/>
    </row>
    <row r="114" spans="1:7">
      <c r="A114" s="908" t="s">
        <v>5</v>
      </c>
      <c r="B114" s="908" t="s">
        <v>1971</v>
      </c>
      <c r="C114" s="920">
        <f>'Revenues 9-14'!B158</f>
        <v>3695</v>
      </c>
      <c r="D114" s="911" t="str">
        <f>'Revenues 9-14'!A158</f>
        <v>Truant Alternative/Optional Education</v>
      </c>
      <c r="E114" s="906"/>
      <c r="F114" s="1720">
        <f>SUM('Revenues 9-14'!C158,'Revenues 9-14'!F158,'Revenues 9-14'!G158)</f>
        <v>0</v>
      </c>
      <c r="G114" s="912"/>
    </row>
    <row r="115" spans="1:7">
      <c r="A115" s="908" t="s">
        <v>668</v>
      </c>
      <c r="B115" s="908" t="s">
        <v>1972</v>
      </c>
      <c r="C115" s="920">
        <f>'Revenues 9-14'!B160</f>
        <v>3766</v>
      </c>
      <c r="D115" s="911" t="str">
        <f>'Revenues 9-14'!A160</f>
        <v>Chicago General Education Block Grant</v>
      </c>
      <c r="E115" s="906"/>
      <c r="F115" s="1720">
        <f>SUM('Revenues 9-14'!C160,'Revenues 9-14'!D160,'Revenues 9-14'!F160,'Revenues 9-14'!G160)</f>
        <v>0</v>
      </c>
      <c r="G115" s="912"/>
    </row>
    <row r="116" spans="1:7">
      <c r="A116" s="908" t="s">
        <v>668</v>
      </c>
      <c r="B116" s="908" t="s">
        <v>1973</v>
      </c>
      <c r="C116" s="920">
        <f>'Revenues 9-14'!B161</f>
        <v>3767</v>
      </c>
      <c r="D116" s="911" t="str">
        <f>'Revenues 9-14'!A161</f>
        <v>Chicago Educational Services Block Grant</v>
      </c>
      <c r="E116" s="906"/>
      <c r="F116" s="1720">
        <f>SUM('Revenues 9-14'!C161,'Revenues 9-14'!D161,'Revenues 9-14'!F161,'Revenues 9-14'!G161)</f>
        <v>0</v>
      </c>
      <c r="G116" s="912"/>
    </row>
    <row r="117" spans="1:7">
      <c r="A117" s="923" t="s">
        <v>1009</v>
      </c>
      <c r="B117" s="923" t="s">
        <v>1974</v>
      </c>
      <c r="C117" s="924">
        <f>'Revenues 9-14'!B162</f>
        <v>3775</v>
      </c>
      <c r="D117" s="925" t="str">
        <f>'Revenues 9-14'!A162</f>
        <v>School Safety &amp; Educational Improvement Block Grant</v>
      </c>
      <c r="E117" s="906"/>
      <c r="F117" s="1838">
        <f>SUM('Revenues 9-14'!C162,'Revenues 9-14'!D162,'Revenues 9-14'!E162,'Revenues 9-14'!F162,'Revenues 9-14'!G162)</f>
        <v>0</v>
      </c>
      <c r="G117" s="912"/>
    </row>
    <row r="118" spans="1:7">
      <c r="A118" s="923" t="s">
        <v>1009</v>
      </c>
      <c r="B118" s="923" t="s">
        <v>1975</v>
      </c>
      <c r="C118" s="924">
        <f>'Revenues 9-14'!B163</f>
        <v>3780</v>
      </c>
      <c r="D118" s="925" t="str">
        <f>'Revenues 9-14'!A163</f>
        <v>Technology - Technology for Success</v>
      </c>
      <c r="E118" s="906"/>
      <c r="F118" s="1838">
        <f>SUM('Revenues 9-14'!C163:G163)</f>
        <v>0</v>
      </c>
      <c r="G118" s="912"/>
    </row>
    <row r="119" spans="1:7">
      <c r="A119" s="923" t="s">
        <v>504</v>
      </c>
      <c r="B119" s="923" t="s">
        <v>1976</v>
      </c>
      <c r="C119" s="924">
        <f>'Revenues 9-14'!B164</f>
        <v>3815</v>
      </c>
      <c r="D119" s="925" t="str">
        <f>'Revenues 9-14'!A164</f>
        <v>State Charter Schools</v>
      </c>
      <c r="E119" s="906"/>
      <c r="F119" s="1838">
        <f>SUM('Revenues 9-14'!C164,'Revenues 9-14'!F164)</f>
        <v>0</v>
      </c>
      <c r="G119" s="912"/>
    </row>
    <row r="120" spans="1:7">
      <c r="A120" s="927" t="s">
        <v>460</v>
      </c>
      <c r="B120" s="927" t="s">
        <v>1977</v>
      </c>
      <c r="C120" s="928">
        <f>'Revenues 9-14'!B167</f>
        <v>3925</v>
      </c>
      <c r="D120" s="929" t="str">
        <f>'Revenues 9-14'!A167</f>
        <v>School Infrastructure - Maintenance Projects</v>
      </c>
      <c r="E120" s="906"/>
      <c r="F120" s="1720">
        <f>'Revenues 9-14'!D167</f>
        <v>0</v>
      </c>
      <c r="G120" s="930"/>
    </row>
    <row r="121" spans="1:7">
      <c r="A121" s="927" t="s">
        <v>500</v>
      </c>
      <c r="B121" s="927" t="s">
        <v>1978</v>
      </c>
      <c r="C121" s="928">
        <f>'Revenues 9-14'!B168</f>
        <v>3999</v>
      </c>
      <c r="D121" s="929" t="s">
        <v>543</v>
      </c>
      <c r="E121" s="931"/>
      <c r="F121" s="1720">
        <f>SUM('Revenues 9-14'!C168:G168,'Revenues 9-14'!J168)</f>
        <v>7084</v>
      </c>
      <c r="G121" s="930"/>
    </row>
    <row r="122" spans="1:7">
      <c r="A122" s="927" t="s">
        <v>459</v>
      </c>
      <c r="B122" s="927" t="s">
        <v>1979</v>
      </c>
      <c r="C122" s="932">
        <f>'Revenues 9-14'!B177</f>
        <v>4045</v>
      </c>
      <c r="D122" s="929" t="str">
        <f>'Revenues 9-14'!A177 &amp; " (Subtract)"</f>
        <v>Head Start (Subtract)</v>
      </c>
      <c r="E122" s="906"/>
      <c r="F122" s="1720">
        <f>SUM(-'Revenues 9-14'!C177)</f>
        <v>0</v>
      </c>
      <c r="G122" s="930"/>
    </row>
    <row r="123" spans="1:7">
      <c r="A123" s="927" t="s">
        <v>668</v>
      </c>
      <c r="B123" s="927" t="s">
        <v>1980</v>
      </c>
      <c r="C123" s="932" t="s">
        <v>982</v>
      </c>
      <c r="D123" s="929" t="str">
        <f>('Revenues 9-14'!A181)</f>
        <v>Total Restricted Grants-In-Aid Received Directly from Federal Govt</v>
      </c>
      <c r="E123" s="906"/>
      <c r="F123" s="1720">
        <f>SUM('Revenues 9-14'!C181,'Revenues 9-14'!D181,'Revenues 9-14'!F181,'Revenues 9-14'!G181)</f>
        <v>0</v>
      </c>
      <c r="G123" s="930"/>
    </row>
    <row r="124" spans="1:7">
      <c r="A124" s="927" t="s">
        <v>668</v>
      </c>
      <c r="B124" s="927" t="s">
        <v>1981</v>
      </c>
      <c r="C124" s="932">
        <v>4100</v>
      </c>
      <c r="D124" s="933" t="str">
        <f>'Revenues 9-14'!A188</f>
        <v>Total Title V</v>
      </c>
      <c r="E124" s="906"/>
      <c r="F124" s="1720">
        <f>SUM('Revenues 9-14'!C188,'Revenues 9-14'!D188,'Revenues 9-14'!F188,'Revenues 9-14'!G188)</f>
        <v>0</v>
      </c>
      <c r="G124" s="930"/>
    </row>
    <row r="125" spans="1:7">
      <c r="A125" s="927" t="s">
        <v>664</v>
      </c>
      <c r="B125" s="927" t="s">
        <v>1982</v>
      </c>
      <c r="C125" s="932">
        <v>4200</v>
      </c>
      <c r="D125" s="929" t="str">
        <f>'Revenues 9-14'!A198</f>
        <v>Total Food Service</v>
      </c>
      <c r="E125" s="906"/>
      <c r="F125" s="1720">
        <f>SUM('Revenues 9-14'!C198,'Revenues 9-14'!G198)</f>
        <v>487625</v>
      </c>
      <c r="G125" s="930"/>
    </row>
    <row r="126" spans="1:7">
      <c r="A126" s="927" t="s">
        <v>668</v>
      </c>
      <c r="B126" s="927" t="s">
        <v>1983</v>
      </c>
      <c r="C126" s="932">
        <v>4300</v>
      </c>
      <c r="D126" s="933" t="str">
        <f>'Revenues 9-14'!A204</f>
        <v>Total Title I</v>
      </c>
      <c r="E126" s="906"/>
      <c r="F126" s="1720">
        <f>SUM('Revenues 9-14'!C204,'Revenues 9-14'!D204,'Revenues 9-14'!F204,'Revenues 9-14'!G204)</f>
        <v>439399</v>
      </c>
      <c r="G126" s="930"/>
    </row>
    <row r="127" spans="1:7">
      <c r="A127" s="927" t="s">
        <v>668</v>
      </c>
      <c r="B127" s="927" t="s">
        <v>1984</v>
      </c>
      <c r="C127" s="932">
        <v>4400</v>
      </c>
      <c r="D127" s="933" t="str">
        <f>'Revenues 9-14'!A209</f>
        <v>Total Title IV</v>
      </c>
      <c r="E127" s="906"/>
      <c r="F127" s="1720">
        <f>SUM('Revenues 9-14'!C209,'Revenues 9-14'!D209,'Revenues 9-14'!F209,'Revenues 9-14'!G209)</f>
        <v>411801</v>
      </c>
      <c r="G127" s="930"/>
    </row>
    <row r="128" spans="1:7">
      <c r="A128" s="927" t="s">
        <v>668</v>
      </c>
      <c r="B128" s="927" t="s">
        <v>1985</v>
      </c>
      <c r="C128" s="932">
        <f>'Revenues 9-14'!B213</f>
        <v>4620</v>
      </c>
      <c r="D128" s="933" t="str">
        <f>'Revenues 9-14'!A213</f>
        <v>Fed - Spec Education - IDEA - Flow Through</v>
      </c>
      <c r="E128" s="906"/>
      <c r="F128" s="1720">
        <f>SUM('Revenues 9-14'!C213:D213,'Revenues 9-14'!F213:G213)</f>
        <v>0</v>
      </c>
      <c r="G128" s="930"/>
    </row>
    <row r="129" spans="1:7">
      <c r="A129" s="927" t="s">
        <v>668</v>
      </c>
      <c r="B129" s="927" t="s">
        <v>1986</v>
      </c>
      <c r="C129" s="932">
        <f>'Revenues 9-14'!B214</f>
        <v>4625</v>
      </c>
      <c r="D129" s="933" t="str">
        <f>'Revenues 9-14'!A214</f>
        <v>Fed - Spec Education - IDEA - Room &amp; Board</v>
      </c>
      <c r="E129" s="906"/>
      <c r="F129" s="1720">
        <f>SUM('Revenues 9-14'!C214,'Revenues 9-14'!D214,'Revenues 9-14'!F214,'Revenues 9-14'!G214)</f>
        <v>0</v>
      </c>
      <c r="G129" s="930"/>
    </row>
    <row r="130" spans="1:7">
      <c r="A130" s="927" t="s">
        <v>668</v>
      </c>
      <c r="B130" s="927" t="s">
        <v>1987</v>
      </c>
      <c r="C130" s="932">
        <f>'Revenues 9-14'!B215</f>
        <v>4630</v>
      </c>
      <c r="D130" s="933" t="str">
        <f>'Revenues 9-14'!A215</f>
        <v>Fed - Spec Education - IDEA - Discretionary</v>
      </c>
      <c r="E130" s="906"/>
      <c r="F130" s="1720">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0">
        <f>SUM('Revenues 9-14'!C216:D216,'Revenues 9-14'!F216:G216)</f>
        <v>108380</v>
      </c>
      <c r="G131" s="930"/>
    </row>
    <row r="132" spans="1:7">
      <c r="A132" s="927" t="s">
        <v>673</v>
      </c>
      <c r="B132" s="927" t="s">
        <v>1988</v>
      </c>
      <c r="C132" s="932">
        <v>4700</v>
      </c>
      <c r="D132" s="929" t="str">
        <f>'Revenues 9-14'!A221</f>
        <v>Total CTE - Perkins</v>
      </c>
      <c r="E132" s="906"/>
      <c r="F132" s="1720">
        <f>SUM('Revenues 9-14'!C221,'Revenues 9-14'!D221,'Revenues 9-14'!G221)</f>
        <v>0</v>
      </c>
      <c r="G132" s="930">
        <v>6303</v>
      </c>
    </row>
    <row r="133" spans="1:7" s="867" customFormat="1" hidden="1">
      <c r="A133" s="934" t="s">
        <v>206</v>
      </c>
      <c r="B133" s="934" t="s">
        <v>1989</v>
      </c>
      <c r="C133" s="935" t="s">
        <v>207</v>
      </c>
      <c r="D133" s="936" t="str">
        <f>'Revenues 9-14'!A224</f>
        <v>ARRA - Title I - Low Income</v>
      </c>
      <c r="E133" s="937"/>
      <c r="F133" s="1838">
        <f>SUM('Revenues 9-14'!$C$224:$D$224,'Revenues 9-14'!$F$224:$G$224)</f>
        <v>0</v>
      </c>
      <c r="G133" s="905"/>
    </row>
    <row r="134" spans="1:7" s="867" customFormat="1" hidden="1">
      <c r="A134" s="934" t="s">
        <v>206</v>
      </c>
      <c r="B134" s="934" t="s">
        <v>1990</v>
      </c>
      <c r="C134" s="935" t="s">
        <v>208</v>
      </c>
      <c r="D134" s="936" t="str">
        <f>'Revenues 9-14'!A225</f>
        <v>ARRA - Title I - Neglected, Private</v>
      </c>
      <c r="E134" s="937"/>
      <c r="F134" s="1720">
        <f>SUM('Revenues 9-14'!C225:G225,'Revenues 9-14'!J225)</f>
        <v>0</v>
      </c>
      <c r="G134" s="905"/>
    </row>
    <row r="135" spans="1:7" s="867" customFormat="1" hidden="1">
      <c r="A135" s="934" t="s">
        <v>206</v>
      </c>
      <c r="B135" s="934" t="s">
        <v>1991</v>
      </c>
      <c r="C135" s="935" t="s">
        <v>209</v>
      </c>
      <c r="D135" s="936" t="str">
        <f>'Revenues 9-14'!A226</f>
        <v>ARRA - Title I - Delinquent, Private</v>
      </c>
      <c r="E135" s="937"/>
      <c r="F135" s="1720">
        <f>SUM('Revenues 9-14'!C226:G226,'Revenues 9-14'!J226)</f>
        <v>0</v>
      </c>
      <c r="G135" s="905"/>
    </row>
    <row r="136" spans="1:7" s="867" customFormat="1" hidden="1">
      <c r="A136" s="934" t="s">
        <v>206</v>
      </c>
      <c r="B136" s="934" t="s">
        <v>1992</v>
      </c>
      <c r="C136" s="935" t="s">
        <v>210</v>
      </c>
      <c r="D136" s="936" t="str">
        <f>'Revenues 9-14'!A227</f>
        <v>ARRA - Title I - School Improvement (Part A)</v>
      </c>
      <c r="E136" s="937"/>
      <c r="F136" s="1720">
        <f>SUM('Revenues 9-14'!C227:G227,'Revenues 9-14'!J227)</f>
        <v>0</v>
      </c>
      <c r="G136" s="905"/>
    </row>
    <row r="137" spans="1:7" s="867" customFormat="1" hidden="1">
      <c r="A137" s="934" t="s">
        <v>206</v>
      </c>
      <c r="B137" s="934" t="s">
        <v>1993</v>
      </c>
      <c r="C137" s="935" t="s">
        <v>211</v>
      </c>
      <c r="D137" s="936" t="str">
        <f>'Revenues 9-14'!A228</f>
        <v>ARRA - Title I - School Improvement (Section 1003g)</v>
      </c>
      <c r="E137" s="937"/>
      <c r="F137" s="1720">
        <f>SUM('Revenues 9-14'!C228:G228,'Revenues 9-14'!J228)</f>
        <v>0</v>
      </c>
      <c r="G137" s="905"/>
    </row>
    <row r="138" spans="1:7" s="867" customFormat="1" hidden="1">
      <c r="A138" s="934" t="s">
        <v>206</v>
      </c>
      <c r="B138" s="934" t="s">
        <v>1994</v>
      </c>
      <c r="C138" s="935" t="s">
        <v>212</v>
      </c>
      <c r="D138" s="936" t="str">
        <f>'Revenues 9-14'!A229</f>
        <v>ARRA - IDEA - Part B - Preschool</v>
      </c>
      <c r="E138" s="937"/>
      <c r="F138" s="1720">
        <v>0</v>
      </c>
      <c r="G138" s="905"/>
    </row>
    <row r="139" spans="1:7" s="867" customFormat="1" hidden="1">
      <c r="A139" s="934" t="s">
        <v>206</v>
      </c>
      <c r="B139" s="934" t="s">
        <v>1995</v>
      </c>
      <c r="C139" s="935" t="s">
        <v>213</v>
      </c>
      <c r="D139" s="936" t="str">
        <f>'Revenues 9-14'!A230</f>
        <v>ARRA - IDEA - Part B - Flow-Through</v>
      </c>
      <c r="E139" s="937"/>
      <c r="F139" s="1720">
        <f>SUM('Revenues 9-14'!C230:G230,'Revenues 9-14'!J230)</f>
        <v>0</v>
      </c>
      <c r="G139" s="905"/>
    </row>
    <row r="140" spans="1:7" s="867" customFormat="1" hidden="1">
      <c r="A140" s="934" t="s">
        <v>206</v>
      </c>
      <c r="B140" s="934" t="s">
        <v>1996</v>
      </c>
      <c r="C140" s="935" t="s">
        <v>214</v>
      </c>
      <c r="D140" s="936" t="str">
        <f>'Revenues 9-14'!A231</f>
        <v>ARRA - Title IID - Technology-Formula</v>
      </c>
      <c r="E140" s="937"/>
      <c r="F140" s="1720">
        <f>SUM('Revenues 9-14'!C231:G231,'Revenues 9-14'!J231)</f>
        <v>0</v>
      </c>
      <c r="G140" s="905"/>
    </row>
    <row r="141" spans="1:7" s="867" customFormat="1" hidden="1">
      <c r="A141" s="934" t="s">
        <v>206</v>
      </c>
      <c r="B141" s="934" t="s">
        <v>1997</v>
      </c>
      <c r="C141" s="935" t="s">
        <v>216</v>
      </c>
      <c r="D141" s="936" t="str">
        <f>'Revenues 9-14'!A232</f>
        <v>ARRA - Title IID - Technology-Competitive</v>
      </c>
      <c r="E141" s="937"/>
      <c r="F141" s="1720">
        <f>SUM('Revenues 9-14'!C232:G232,'Revenues 9-14'!J232)</f>
        <v>0</v>
      </c>
      <c r="G141" s="905"/>
    </row>
    <row r="142" spans="1:7" s="867" customFormat="1" hidden="1">
      <c r="A142" s="934" t="s">
        <v>668</v>
      </c>
      <c r="B142" s="934" t="s">
        <v>1998</v>
      </c>
      <c r="C142" s="935" t="s">
        <v>217</v>
      </c>
      <c r="D142" s="936" t="str">
        <f>'Revenues 9-14'!A233</f>
        <v>ARRA - McKinney - Vento Homeless Education</v>
      </c>
      <c r="E142" s="937"/>
      <c r="F142" s="1720">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0">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0">
        <f>SUM('Revenues 9-14'!C238:G238,'Revenues 9-14'!J238)</f>
        <v>0</v>
      </c>
      <c r="G144" s="905"/>
    </row>
    <row r="145" spans="1:7" s="867" customFormat="1" hidden="1">
      <c r="A145" s="934" t="s">
        <v>206</v>
      </c>
      <c r="B145" s="934" t="s">
        <v>1395</v>
      </c>
      <c r="C145" s="935" t="s">
        <v>221</v>
      </c>
      <c r="D145" s="936" t="str">
        <f>'Revenues 9-14'!A239</f>
        <v>Build America Bond Tax Credits</v>
      </c>
      <c r="E145" s="937"/>
      <c r="F145" s="1720">
        <f>SUM('Revenues 9-14'!C239:G239,'Revenues 9-14'!J239)</f>
        <v>0</v>
      </c>
      <c r="G145" s="905"/>
    </row>
    <row r="146" spans="1:7" s="867" customFormat="1" hidden="1">
      <c r="A146" s="934" t="s">
        <v>206</v>
      </c>
      <c r="B146" s="934" t="s">
        <v>1999</v>
      </c>
      <c r="C146" s="935" t="s">
        <v>223</v>
      </c>
      <c r="D146" s="936" t="str">
        <f>'Revenues 9-14'!A240</f>
        <v>Build America Bond Interest Reimbursement</v>
      </c>
      <c r="E146" s="937"/>
      <c r="F146" s="1720">
        <f>SUM('Revenues 9-14'!C240:G240,'Revenues 9-14'!J240)</f>
        <v>0</v>
      </c>
      <c r="G146" s="905"/>
    </row>
    <row r="147" spans="1:7" s="867" customFormat="1" hidden="1">
      <c r="A147" s="934" t="s">
        <v>206</v>
      </c>
      <c r="B147" s="934" t="s">
        <v>2000</v>
      </c>
      <c r="C147" s="935" t="s">
        <v>225</v>
      </c>
      <c r="D147" s="936" t="str">
        <f>'Revenues 9-14'!A242</f>
        <v>Other ARRA Funds - II</v>
      </c>
      <c r="E147" s="937"/>
      <c r="F147" s="1720">
        <f>SUM('Revenues 9-14'!C242:G242,'Revenues 9-14'!J242)</f>
        <v>0</v>
      </c>
      <c r="G147" s="905"/>
    </row>
    <row r="148" spans="1:7" s="867" customFormat="1" hidden="1">
      <c r="A148" s="934" t="s">
        <v>206</v>
      </c>
      <c r="B148" s="934" t="s">
        <v>2001</v>
      </c>
      <c r="C148" s="935" t="s">
        <v>226</v>
      </c>
      <c r="D148" s="936" t="str">
        <f>'Revenues 9-14'!A243</f>
        <v>Other ARRA Funds - III</v>
      </c>
      <c r="E148" s="937"/>
      <c r="F148" s="1720">
        <f>SUM('Revenues 9-14'!C243:G243,'Revenues 9-14'!J243)</f>
        <v>0</v>
      </c>
      <c r="G148" s="905"/>
    </row>
    <row r="149" spans="1:7" s="867" customFormat="1" hidden="1">
      <c r="A149" s="934" t="s">
        <v>206</v>
      </c>
      <c r="B149" s="934" t="s">
        <v>220</v>
      </c>
      <c r="C149" s="935" t="s">
        <v>228</v>
      </c>
      <c r="D149" s="936" t="str">
        <f>'Revenues 9-14'!A244</f>
        <v>Other ARRA Funds - IV</v>
      </c>
      <c r="E149" s="937"/>
      <c r="F149" s="1720">
        <f>SUM('Revenues 9-14'!C244:G244,'Revenues 9-14'!J244)</f>
        <v>0</v>
      </c>
      <c r="G149" s="905"/>
    </row>
    <row r="150" spans="1:7" s="867" customFormat="1" hidden="1">
      <c r="A150" s="934" t="s">
        <v>206</v>
      </c>
      <c r="B150" s="934" t="s">
        <v>222</v>
      </c>
      <c r="C150" s="935" t="s">
        <v>230</v>
      </c>
      <c r="D150" s="936" t="str">
        <f>'Revenues 9-14'!A245</f>
        <v>Other ARRA Funds - V</v>
      </c>
      <c r="E150" s="937"/>
      <c r="F150" s="1720">
        <f>SUM('Revenues 9-14'!C245:G245,'Revenues 9-14'!J245)</f>
        <v>0</v>
      </c>
      <c r="G150" s="905"/>
    </row>
    <row r="151" spans="1:7" s="867" customFormat="1" hidden="1">
      <c r="A151" s="934" t="s">
        <v>206</v>
      </c>
      <c r="B151" s="934" t="s">
        <v>224</v>
      </c>
      <c r="C151" s="935" t="s">
        <v>232</v>
      </c>
      <c r="D151" s="936" t="str">
        <f>'Revenues 9-14'!A246</f>
        <v>ARRA - Early Childhood</v>
      </c>
      <c r="E151" s="937"/>
      <c r="F151" s="1720">
        <v>0</v>
      </c>
      <c r="G151" s="905"/>
    </row>
    <row r="152" spans="1:7" s="867" customFormat="1" hidden="1">
      <c r="A152" s="934" t="s">
        <v>206</v>
      </c>
      <c r="B152" s="934" t="s">
        <v>1396</v>
      </c>
      <c r="C152" s="935" t="s">
        <v>233</v>
      </c>
      <c r="D152" s="936" t="str">
        <f>'Revenues 9-14'!A247</f>
        <v>Other ARRA Funds VII</v>
      </c>
      <c r="E152" s="937"/>
      <c r="F152" s="1720">
        <f>SUM('Revenues 9-14'!C247:G247,'Revenues 9-14'!J247)</f>
        <v>0</v>
      </c>
      <c r="G152" s="905"/>
    </row>
    <row r="153" spans="1:7" s="867" customFormat="1" hidden="1">
      <c r="A153" s="934" t="s">
        <v>206</v>
      </c>
      <c r="B153" s="934" t="s">
        <v>2002</v>
      </c>
      <c r="C153" s="935" t="s">
        <v>234</v>
      </c>
      <c r="D153" s="936" t="str">
        <f>'Revenues 9-14'!A248</f>
        <v>Other ARRA Funds VIII</v>
      </c>
      <c r="E153" s="937"/>
      <c r="F153" s="1720">
        <f>SUM('Revenues 9-14'!C248:G248,'Revenues 9-14'!J248)</f>
        <v>0</v>
      </c>
      <c r="G153" s="905"/>
    </row>
    <row r="154" spans="1:7" s="867" customFormat="1" hidden="1">
      <c r="A154" s="934" t="s">
        <v>206</v>
      </c>
      <c r="B154" s="934" t="s">
        <v>227</v>
      </c>
      <c r="C154" s="935" t="s">
        <v>235</v>
      </c>
      <c r="D154" s="936" t="str">
        <f>'Revenues 9-14'!A249</f>
        <v>Other ARRA Funds IX</v>
      </c>
      <c r="E154" s="937"/>
      <c r="F154" s="1720">
        <f>SUM('Revenues 9-14'!C249:G249,'Revenues 9-14'!J249)</f>
        <v>0</v>
      </c>
      <c r="G154" s="905"/>
    </row>
    <row r="155" spans="1:7" s="867" customFormat="1" hidden="1">
      <c r="A155" s="934" t="s">
        <v>206</v>
      </c>
      <c r="B155" s="934" t="s">
        <v>229</v>
      </c>
      <c r="C155" s="935" t="s">
        <v>236</v>
      </c>
      <c r="D155" s="936" t="str">
        <f>'Revenues 9-14'!A250</f>
        <v>Other ARRA Funds X</v>
      </c>
      <c r="E155" s="937"/>
      <c r="F155" s="1720">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0">
        <f>SUM('Revenues 9-14'!C251:G251,'Revenues 9-14'!J251)</f>
        <v>0</v>
      </c>
      <c r="G156" s="905"/>
    </row>
    <row r="157" spans="1:7" s="867" customFormat="1">
      <c r="A157" s="938" t="s">
        <v>500</v>
      </c>
      <c r="B157" s="939" t="s">
        <v>2003</v>
      </c>
      <c r="C157" s="940" t="s">
        <v>841</v>
      </c>
      <c r="D157" s="941" t="s">
        <v>777</v>
      </c>
      <c r="E157" s="942"/>
      <c r="F157" s="1720">
        <f>SUM(F133:F156)</f>
        <v>0</v>
      </c>
      <c r="G157" s="905"/>
    </row>
    <row r="158" spans="1:7" s="867" customFormat="1">
      <c r="A158" s="938" t="s">
        <v>459</v>
      </c>
      <c r="B158" s="939" t="s">
        <v>2004</v>
      </c>
      <c r="C158" s="940" t="s">
        <v>1406</v>
      </c>
      <c r="D158" s="941" t="s">
        <v>1407</v>
      </c>
      <c r="E158" s="942"/>
      <c r="F158" s="1720">
        <f>SUM('Revenues 9-14'!C253)</f>
        <v>0</v>
      </c>
      <c r="G158" s="905"/>
    </row>
    <row r="159" spans="1:7" s="867" customFormat="1">
      <c r="A159" s="938" t="s">
        <v>500</v>
      </c>
      <c r="B159" s="939" t="s">
        <v>2005</v>
      </c>
      <c r="C159" s="940" t="s">
        <v>1445</v>
      </c>
      <c r="D159" s="941" t="s">
        <v>1446</v>
      </c>
      <c r="E159" s="942"/>
      <c r="F159" s="1720">
        <f>SUM('Revenues 9-14'!C254:H254,'Revenues 9-14'!J254:K254)</f>
        <v>0</v>
      </c>
      <c r="G159" s="905"/>
    </row>
    <row r="160" spans="1:7">
      <c r="A160" s="927" t="s">
        <v>5</v>
      </c>
      <c r="B160" s="927" t="s">
        <v>2006</v>
      </c>
      <c r="C160" s="932">
        <f>'Revenues 9-14'!B255</f>
        <v>4905</v>
      </c>
      <c r="D160" s="929" t="str">
        <f>'Revenues 9-14'!A255</f>
        <v>Title III - Immigrant Education Program (IEP)</v>
      </c>
      <c r="E160" s="906"/>
      <c r="F160" s="1720">
        <f>SUM('Revenues 9-14'!C255,'Revenues 9-14'!F255,'Revenues 9-14'!G255)</f>
        <v>0</v>
      </c>
      <c r="G160" s="943">
        <v>6306</v>
      </c>
    </row>
    <row r="161" spans="1:7">
      <c r="A161" s="927" t="s">
        <v>5</v>
      </c>
      <c r="B161" s="927" t="s">
        <v>2007</v>
      </c>
      <c r="C161" s="932">
        <f>'Revenues 9-14'!B256</f>
        <v>4909</v>
      </c>
      <c r="D161" s="929" t="str">
        <f>'Revenues 9-14'!A256</f>
        <v>Title III - Language Inst Program - Limited Eng (LIPLEP)</v>
      </c>
      <c r="E161" s="906"/>
      <c r="F161" s="1720">
        <f>SUM('Revenues 9-14'!C256,'Revenues 9-14'!F256,'Revenues 9-14'!G256)</f>
        <v>36687</v>
      </c>
      <c r="G161" s="943"/>
    </row>
    <row r="162" spans="1:7">
      <c r="A162" s="927" t="s">
        <v>668</v>
      </c>
      <c r="B162" s="927" t="s">
        <v>2008</v>
      </c>
      <c r="C162" s="932">
        <f>'Revenues 9-14'!B257</f>
        <v>4920</v>
      </c>
      <c r="D162" s="929" t="str">
        <f>'Revenues 9-14'!A257</f>
        <v>McKinney Education for Homeless Children</v>
      </c>
      <c r="E162" s="906"/>
      <c r="F162" s="1720">
        <f>SUM('Revenues 9-14'!C257,'Revenues 9-14'!D257,'Revenues 9-14'!F257,'Revenues 9-14'!G257)</f>
        <v>0</v>
      </c>
      <c r="G162" s="930"/>
    </row>
    <row r="163" spans="1:7">
      <c r="A163" s="944" t="s">
        <v>668</v>
      </c>
      <c r="B163" s="944" t="s">
        <v>2009</v>
      </c>
      <c r="C163" s="945">
        <f>'Revenues 9-14'!B258</f>
        <v>4930</v>
      </c>
      <c r="D163" s="946" t="str">
        <f>'Revenues 9-14'!A258</f>
        <v>Title II - Eisenhower Professional Development Formula</v>
      </c>
      <c r="E163" s="926"/>
      <c r="F163" s="1838">
        <f>SUM('Revenues 9-14'!C258:D258,'Revenues 9-14'!F258,'Revenues 9-14'!G258)</f>
        <v>0</v>
      </c>
      <c r="G163" s="930"/>
    </row>
    <row r="164" spans="1:7">
      <c r="A164" s="927" t="s">
        <v>668</v>
      </c>
      <c r="B164" s="927" t="s">
        <v>2010</v>
      </c>
      <c r="C164" s="932">
        <f>'Revenues 9-14'!B259</f>
        <v>4932</v>
      </c>
      <c r="D164" s="933" t="str">
        <f>'Revenues 9-14'!A259</f>
        <v>Title II - Teacher Quality</v>
      </c>
      <c r="E164" s="906"/>
      <c r="F164" s="1838">
        <f>SUM('Revenues 9-14'!C259,'Revenues 9-14'!D259,'Revenues 9-14'!F259,'Revenues 9-14'!G259)</f>
        <v>32682</v>
      </c>
      <c r="G164" s="930"/>
    </row>
    <row r="165" spans="1:7">
      <c r="A165" s="927" t="s">
        <v>668</v>
      </c>
      <c r="B165" s="927" t="s">
        <v>2011</v>
      </c>
      <c r="C165" s="932">
        <f>'Revenues 9-14'!B260</f>
        <v>4960</v>
      </c>
      <c r="D165" s="929" t="str">
        <f>'Revenues 9-14'!A260</f>
        <v>Federal Charter Schools</v>
      </c>
      <c r="E165" s="906"/>
      <c r="F165" s="1720">
        <f>SUM('Revenues 9-14'!C260:D260,'Revenues 9-14'!F260:G260)</f>
        <v>0</v>
      </c>
      <c r="G165" s="930"/>
    </row>
    <row r="166" spans="1:7">
      <c r="A166" s="927" t="s">
        <v>668</v>
      </c>
      <c r="B166" s="927" t="s">
        <v>1956</v>
      </c>
      <c r="C166" s="932">
        <f>'Revenues 9-14'!B261</f>
        <v>4981</v>
      </c>
      <c r="D166" s="929" t="str">
        <f>'Revenues 9-14'!A261</f>
        <v>State Assessment Grants</v>
      </c>
      <c r="E166" s="906"/>
      <c r="F166" s="1720">
        <f>SUM('Revenues 9-14'!C261:D261,'Revenues 9-14'!F261:G261)</f>
        <v>0</v>
      </c>
      <c r="G166" s="930"/>
    </row>
    <row r="167" spans="1:7">
      <c r="A167" s="927" t="s">
        <v>668</v>
      </c>
      <c r="B167" s="927" t="s">
        <v>1957</v>
      </c>
      <c r="C167" s="932">
        <f>'Revenues 9-14'!B262</f>
        <v>4982</v>
      </c>
      <c r="D167" s="929" t="str">
        <f>'Revenues 9-14'!A262</f>
        <v>Grant for State Assessments and Related Activities</v>
      </c>
      <c r="E167" s="906"/>
      <c r="F167" s="1720">
        <f>SUM('Revenues 9-14'!C262:D262,'Revenues 9-14'!F262:G262)</f>
        <v>0</v>
      </c>
      <c r="G167" s="930"/>
    </row>
    <row r="168" spans="1:7">
      <c r="A168" s="927" t="s">
        <v>668</v>
      </c>
      <c r="B168" s="927" t="s">
        <v>2012</v>
      </c>
      <c r="C168" s="932">
        <f>'Revenues 9-14'!B263</f>
        <v>4991</v>
      </c>
      <c r="D168" s="933" t="str">
        <f>'Revenues 9-14'!A263</f>
        <v>Medicaid Matching Funds - Administrative Outreach</v>
      </c>
      <c r="E168" s="906"/>
      <c r="F168" s="1720">
        <f>SUM('Revenues 9-14'!C263:D263,'Revenues 9-14'!F263:G263)</f>
        <v>11910</v>
      </c>
      <c r="G168" s="947">
        <v>6320</v>
      </c>
    </row>
    <row r="169" spans="1:7">
      <c r="A169" s="927" t="s">
        <v>668</v>
      </c>
      <c r="B169" s="927" t="s">
        <v>2013</v>
      </c>
      <c r="C169" s="932">
        <f>'Revenues 9-14'!B264</f>
        <v>4992</v>
      </c>
      <c r="D169" s="933" t="str">
        <f>'Revenues 9-14'!A264</f>
        <v>Medicaid Matching Funds - Fee-for-Service Program</v>
      </c>
      <c r="E169" s="906"/>
      <c r="F169" s="1720">
        <f>SUM('Revenues 9-14'!C264:D264,'Revenues 9-14'!F264:G264)</f>
        <v>2867</v>
      </c>
      <c r="G169" s="947"/>
    </row>
    <row r="170" spans="1:7">
      <c r="A170" s="948" t="s">
        <v>668</v>
      </c>
      <c r="B170" s="944" t="s">
        <v>2014</v>
      </c>
      <c r="C170" s="945">
        <f>'Revenues 9-14'!B265</f>
        <v>4999</v>
      </c>
      <c r="D170" s="946" t="str">
        <f>'Revenues 9-14'!A265</f>
        <v>Other Restricted Revenue from Federal Sources (Describe &amp; Itemize)</v>
      </c>
      <c r="E170" s="906"/>
      <c r="F170" s="1720">
        <f>SUM('Revenues 9-14'!C265:D265,'Revenues 9-14'!F265:G265)</f>
        <v>27099</v>
      </c>
      <c r="G170" s="927"/>
    </row>
    <row r="171" spans="1:7">
      <c r="A171" s="1849" t="s">
        <v>5</v>
      </c>
      <c r="B171" s="1850" t="s">
        <v>1880</v>
      </c>
      <c r="C171" s="1851">
        <v>3100</v>
      </c>
      <c r="D171" s="1852" t="s">
        <v>1882</v>
      </c>
      <c r="E171" s="906"/>
      <c r="F171" s="1837">
        <v>538330</v>
      </c>
      <c r="G171" s="927"/>
    </row>
    <row r="172" spans="1:7">
      <c r="A172" s="1849" t="s">
        <v>664</v>
      </c>
      <c r="B172" s="1850" t="s">
        <v>1880</v>
      </c>
      <c r="C172" s="1851">
        <v>3300</v>
      </c>
      <c r="D172" s="1852" t="s">
        <v>1883</v>
      </c>
      <c r="E172" s="906"/>
      <c r="F172" s="1837">
        <v>160674</v>
      </c>
      <c r="G172" s="927"/>
    </row>
    <row r="173" spans="1:7" ht="6" customHeight="1">
      <c r="A173" s="927"/>
      <c r="B173" s="927"/>
      <c r="C173" s="949"/>
      <c r="D173" s="927"/>
      <c r="E173" s="906"/>
      <c r="F173" s="950"/>
      <c r="G173" s="947"/>
    </row>
    <row r="174" spans="1:7">
      <c r="A174" s="1701"/>
      <c r="B174" s="1715"/>
      <c r="C174" s="1716"/>
      <c r="D174" s="1717" t="s">
        <v>2015</v>
      </c>
      <c r="E174" s="1718" t="s">
        <v>958</v>
      </c>
      <c r="F174" s="1719">
        <f>SUM(F84:F132,F157:F172)</f>
        <v>3001069</v>
      </c>
    </row>
    <row r="175" spans="1:7" ht="12" customHeight="1">
      <c r="A175" s="1701"/>
      <c r="B175" s="1715"/>
      <c r="C175" s="1716"/>
      <c r="D175" s="1717" t="s">
        <v>2016</v>
      </c>
      <c r="E175" s="1718"/>
      <c r="F175" s="1720">
        <f>'PCTC-OEPP 27-28'!F77-F174</f>
        <v>11502288</v>
      </c>
    </row>
    <row r="176" spans="1:7" ht="12" customHeight="1">
      <c r="A176" s="1701"/>
      <c r="B176" s="1715"/>
      <c r="C176" s="1716"/>
      <c r="D176" s="1717" t="s">
        <v>1779</v>
      </c>
      <c r="E176" s="1718"/>
      <c r="F176" s="1720">
        <f>'Cap Outlay Deprec 26'!I18</f>
        <v>904645</v>
      </c>
    </row>
    <row r="177" spans="1:7" ht="12" customHeight="1">
      <c r="A177" s="1701"/>
      <c r="B177" s="1715"/>
      <c r="C177" s="1716"/>
      <c r="D177" s="1717" t="s">
        <v>2017</v>
      </c>
      <c r="E177" s="1718"/>
      <c r="F177" s="1720">
        <f>F175+F176</f>
        <v>12406933</v>
      </c>
    </row>
    <row r="178" spans="1:7" ht="12" customHeight="1">
      <c r="A178" s="1701"/>
      <c r="B178" s="1721"/>
      <c r="C178" s="1716"/>
      <c r="D178" s="1717" t="str">
        <f>D78</f>
        <v>9 Month ADA from District Average Daily Attendance/Prior General State Aid Inquiry 2018-2019</v>
      </c>
      <c r="E178" s="1718"/>
      <c r="F178" s="1722">
        <f>'PCTC-OEPP 27-28'!F78</f>
        <v>1579</v>
      </c>
      <c r="G178" s="930"/>
    </row>
    <row r="179" spans="1:7" ht="12" customHeight="1" thickBot="1">
      <c r="A179" s="1701"/>
      <c r="B179" s="1721"/>
      <c r="C179" s="1716"/>
      <c r="D179" s="1717" t="s">
        <v>2018</v>
      </c>
      <c r="E179" s="1718" t="s">
        <v>1524</v>
      </c>
      <c r="F179" s="1723">
        <f>F177/F178</f>
        <v>7857.4623179227356</v>
      </c>
      <c r="G179" s="856">
        <v>6323</v>
      </c>
    </row>
    <row r="180" spans="1:7" ht="12" thickTop="1">
      <c r="B180" s="930"/>
      <c r="C180" s="949"/>
      <c r="D180" s="930"/>
      <c r="E180" s="949"/>
      <c r="F180" s="930"/>
      <c r="G180" s="951">
        <v>6326</v>
      </c>
    </row>
    <row r="181" spans="1:7" ht="12.2" customHeight="1">
      <c r="A181" s="930" t="s">
        <v>1881</v>
      </c>
      <c r="B181" s="930"/>
      <c r="C181" s="949"/>
      <c r="D181" s="930"/>
      <c r="E181" s="949"/>
      <c r="F181" s="930"/>
      <c r="G181" s="930"/>
    </row>
    <row r="182" spans="1:7" s="1853" customFormat="1" ht="12.2" customHeight="1">
      <c r="A182" s="1853" t="s">
        <v>1953</v>
      </c>
      <c r="B182" s="1854"/>
      <c r="C182" s="1855"/>
      <c r="D182" s="1854"/>
      <c r="E182" s="1855"/>
      <c r="F182" s="1854"/>
      <c r="G182" s="1854"/>
    </row>
    <row r="183" spans="1:7" s="1853" customFormat="1" ht="12.2" customHeight="1">
      <c r="A183" s="1856" t="s">
        <v>1955</v>
      </c>
      <c r="C183" s="1855"/>
      <c r="D183" s="1854"/>
      <c r="E183" s="1855"/>
      <c r="F183" s="1854"/>
      <c r="G183" s="1854"/>
    </row>
    <row r="184" spans="1:7" ht="12" customHeight="1">
      <c r="C184" s="949"/>
      <c r="D184" s="930"/>
      <c r="E184" s="949"/>
      <c r="F184" s="930"/>
      <c r="G184" s="930"/>
    </row>
    <row r="185" spans="1:7">
      <c r="A185" s="1857" t="s">
        <v>1885</v>
      </c>
      <c r="B185" s="1858" t="s">
        <v>1884</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A18" sqref="A18"/>
    </sheetView>
  </sheetViews>
  <sheetFormatPr defaultColWidth="9.140625" defaultRowHeight="15"/>
  <cols>
    <col min="1" max="1" width="52" style="1474" customWidth="1"/>
    <col min="2" max="2" width="16.42578125" style="1475" bestFit="1" customWidth="1"/>
    <col min="3" max="3" width="33.7109375" style="1475" customWidth="1"/>
    <col min="4" max="4" width="16.28515625" style="1476" customWidth="1"/>
    <col min="5" max="5" width="30" style="1476" hidden="1" customWidth="1"/>
    <col min="6" max="6" width="23.5703125" style="1476" customWidth="1"/>
    <col min="7" max="7" width="23.28515625" style="1475" customWidth="1"/>
    <col min="8" max="16384" width="9.140625" style="1465"/>
  </cols>
  <sheetData>
    <row r="1" spans="1:7" ht="15" customHeight="1">
      <c r="A1" s="1591" t="s">
        <v>1794</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288" t="s">
        <v>1780</v>
      </c>
      <c r="B4" s="2289"/>
      <c r="C4" s="2289"/>
      <c r="D4" s="2289"/>
      <c r="E4" s="2289"/>
      <c r="F4" s="2289"/>
      <c r="G4" s="2290"/>
    </row>
    <row r="5" spans="1:7">
      <c r="A5" s="2291"/>
      <c r="B5" s="2292"/>
      <c r="C5" s="2292"/>
      <c r="D5" s="2292"/>
      <c r="E5" s="2292"/>
      <c r="F5" s="2292"/>
      <c r="G5" s="2293"/>
    </row>
    <row r="6" spans="1:7" ht="18.75">
      <c r="A6" s="1466" t="s">
        <v>1781</v>
      </c>
      <c r="B6" s="1467"/>
      <c r="C6" s="1467"/>
      <c r="D6" s="1467"/>
      <c r="E6" s="1467"/>
      <c r="F6" s="1467"/>
      <c r="G6" s="1468"/>
    </row>
    <row r="7" spans="1:7" ht="30.95" customHeight="1">
      <c r="A7" s="2294" t="s">
        <v>1892</v>
      </c>
      <c r="B7" s="2295"/>
      <c r="C7" s="2295"/>
      <c r="D7" s="2295"/>
      <c r="E7" s="2295"/>
      <c r="F7" s="2295"/>
      <c r="G7" s="2296"/>
    </row>
    <row r="8" spans="1:7" ht="15.75" customHeight="1">
      <c r="A8" s="2297" t="s">
        <v>1867</v>
      </c>
      <c r="B8" s="2298"/>
      <c r="C8" s="2298"/>
      <c r="D8" s="2298"/>
      <c r="E8" s="2298"/>
      <c r="F8" s="2298"/>
      <c r="G8" s="2299"/>
    </row>
    <row r="9" spans="1:7" ht="35.25" customHeight="1">
      <c r="A9" s="2294" t="s">
        <v>1895</v>
      </c>
      <c r="B9" s="2295"/>
      <c r="C9" s="2295"/>
      <c r="D9" s="2295"/>
      <c r="E9" s="2295"/>
      <c r="F9" s="2295"/>
      <c r="G9" s="2296"/>
    </row>
    <row r="10" spans="1:7" ht="15" customHeight="1">
      <c r="A10" s="1469" t="s">
        <v>1782</v>
      </c>
      <c r="B10" s="1470"/>
      <c r="C10" s="1470"/>
      <c r="D10" s="1470"/>
      <c r="E10" s="1470"/>
      <c r="F10" s="1470"/>
      <c r="G10" s="1471"/>
    </row>
    <row r="11" spans="1:7" ht="17.25" customHeight="1">
      <c r="A11" s="2294" t="s">
        <v>1894</v>
      </c>
      <c r="B11" s="2295"/>
      <c r="C11" s="2295"/>
      <c r="D11" s="2295"/>
      <c r="E11" s="2295"/>
      <c r="F11" s="2295"/>
      <c r="G11" s="2296"/>
    </row>
    <row r="12" spans="1:7" ht="15" customHeight="1">
      <c r="A12" s="1469" t="s">
        <v>1787</v>
      </c>
      <c r="B12" s="1470"/>
      <c r="C12" s="1470"/>
      <c r="D12" s="1470"/>
      <c r="E12" s="1470"/>
      <c r="F12" s="1470"/>
      <c r="G12" s="1471"/>
    </row>
    <row r="13" spans="1:7" ht="32.25" customHeight="1">
      <c r="A13" s="2285" t="s">
        <v>1936</v>
      </c>
      <c r="B13" s="2286"/>
      <c r="C13" s="2286"/>
      <c r="D13" s="2286"/>
      <c r="E13" s="2286"/>
      <c r="F13" s="2286"/>
      <c r="G13" s="2287"/>
    </row>
    <row r="14" spans="1:7">
      <c r="A14" s="1593" t="s">
        <v>1795</v>
      </c>
      <c r="B14" s="1594"/>
      <c r="C14" s="1594"/>
      <c r="D14" s="1594"/>
      <c r="E14" s="1594"/>
      <c r="F14" s="1594"/>
      <c r="G14" s="1595"/>
    </row>
    <row r="15" spans="1:7" ht="61.5" customHeight="1">
      <c r="A15" s="1478" t="s">
        <v>1788</v>
      </c>
      <c r="B15" s="1478" t="s">
        <v>1789</v>
      </c>
      <c r="C15" s="1478" t="s">
        <v>1790</v>
      </c>
      <c r="D15" s="1479" t="s">
        <v>1791</v>
      </c>
      <c r="E15" s="1479" t="s">
        <v>1783</v>
      </c>
      <c r="F15" s="1479" t="s">
        <v>1792</v>
      </c>
      <c r="G15" s="1479" t="s">
        <v>1793</v>
      </c>
    </row>
    <row r="16" spans="1:7">
      <c r="A16" s="1580" t="s">
        <v>1796</v>
      </c>
      <c r="B16" s="1581" t="s">
        <v>1786</v>
      </c>
      <c r="C16" s="1582" t="s">
        <v>1784</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868" t="s">
        <v>2053</v>
      </c>
      <c r="B17" s="1865"/>
      <c r="C17" s="1588"/>
      <c r="D17" s="1775">
        <v>0</v>
      </c>
      <c r="E17" s="1472">
        <f t="shared" ref="E17:E141" si="0">IF(D17&lt;=25000,D17,IF(D17&gt;25000,25000,0))</f>
        <v>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4">
        <f>IF(F17=0,0,D17-F17)</f>
        <v>0</v>
      </c>
      <c r="H17" s="1579"/>
    </row>
    <row r="18" spans="1:8">
      <c r="A18" s="1585"/>
      <c r="B18" s="1865"/>
      <c r="C18" s="1588"/>
      <c r="D18" s="1775"/>
      <c r="E18" s="1472">
        <f t="shared" ref="E18:E140" si="2">IF(D18&lt;=25000,D18,IF(D18&gt;25000,25000,0))</f>
        <v>0</v>
      </c>
      <c r="F18" s="1863">
        <f t="shared" si="1"/>
        <v>0</v>
      </c>
      <c r="G18" s="1724">
        <f t="shared" ref="G18:G140" si="3">IF(F18=0,0,D18-F18)</f>
        <v>0</v>
      </c>
    </row>
    <row r="19" spans="1:8">
      <c r="A19" s="1585"/>
      <c r="B19" s="1865"/>
      <c r="C19" s="1588"/>
      <c r="D19" s="1775"/>
      <c r="E19" s="1472">
        <f t="shared" si="2"/>
        <v>0</v>
      </c>
      <c r="F19" s="1863">
        <f t="shared" si="1"/>
        <v>0</v>
      </c>
      <c r="G19" s="1724">
        <f t="shared" si="3"/>
        <v>0</v>
      </c>
    </row>
    <row r="20" spans="1:8">
      <c r="A20" s="1585"/>
      <c r="B20" s="1865"/>
      <c r="C20" s="1588"/>
      <c r="D20" s="1775"/>
      <c r="E20" s="1472">
        <f t="shared" si="2"/>
        <v>0</v>
      </c>
      <c r="F20" s="1863">
        <f t="shared" si="1"/>
        <v>0</v>
      </c>
      <c r="G20" s="1724">
        <f t="shared" si="3"/>
        <v>0</v>
      </c>
    </row>
    <row r="21" spans="1:8">
      <c r="A21" s="1585"/>
      <c r="B21" s="1865"/>
      <c r="C21" s="1588"/>
      <c r="D21" s="1775"/>
      <c r="E21" s="1472">
        <f t="shared" si="2"/>
        <v>0</v>
      </c>
      <c r="F21" s="1863">
        <f t="shared" si="1"/>
        <v>0</v>
      </c>
      <c r="G21" s="1724">
        <f t="shared" si="3"/>
        <v>0</v>
      </c>
    </row>
    <row r="22" spans="1:8">
      <c r="A22" s="1585"/>
      <c r="B22" s="1865"/>
      <c r="C22" s="1588"/>
      <c r="D22" s="1775"/>
      <c r="E22" s="1472">
        <f t="shared" si="2"/>
        <v>0</v>
      </c>
      <c r="F22" s="1863">
        <f t="shared" si="1"/>
        <v>0</v>
      </c>
      <c r="G22" s="1724">
        <f t="shared" si="3"/>
        <v>0</v>
      </c>
    </row>
    <row r="23" spans="1:8">
      <c r="A23" s="1585"/>
      <c r="B23" s="1865"/>
      <c r="C23" s="1588"/>
      <c r="D23" s="1775"/>
      <c r="E23" s="1472">
        <f t="shared" si="2"/>
        <v>0</v>
      </c>
      <c r="F23" s="1863">
        <f t="shared" si="1"/>
        <v>0</v>
      </c>
      <c r="G23" s="1724">
        <f t="shared" si="3"/>
        <v>0</v>
      </c>
    </row>
    <row r="24" spans="1:8">
      <c r="A24" s="1585"/>
      <c r="B24" s="1865"/>
      <c r="C24" s="1588"/>
      <c r="D24" s="1775"/>
      <c r="E24" s="1472">
        <f t="shared" si="2"/>
        <v>0</v>
      </c>
      <c r="F24" s="1863">
        <f t="shared" si="1"/>
        <v>0</v>
      </c>
      <c r="G24" s="1724">
        <f t="shared" si="3"/>
        <v>0</v>
      </c>
    </row>
    <row r="25" spans="1:8">
      <c r="A25" s="1585"/>
      <c r="B25" s="1865"/>
      <c r="C25" s="1588"/>
      <c r="D25" s="1775"/>
      <c r="E25" s="1472">
        <f t="shared" si="2"/>
        <v>0</v>
      </c>
      <c r="F25" s="1863">
        <f t="shared" si="1"/>
        <v>0</v>
      </c>
      <c r="G25" s="1724">
        <f t="shared" si="3"/>
        <v>0</v>
      </c>
    </row>
    <row r="26" spans="1:8">
      <c r="A26" s="1585"/>
      <c r="B26" s="1865"/>
      <c r="C26" s="1586"/>
      <c r="D26" s="1775"/>
      <c r="E26" s="1472">
        <f t="shared" si="2"/>
        <v>0</v>
      </c>
      <c r="F26" s="1863">
        <f t="shared" si="1"/>
        <v>0</v>
      </c>
      <c r="G26" s="1724">
        <f t="shared" si="3"/>
        <v>0</v>
      </c>
    </row>
    <row r="27" spans="1:8">
      <c r="A27" s="1585"/>
      <c r="B27" s="1865"/>
      <c r="C27" s="1586"/>
      <c r="D27" s="1775"/>
      <c r="E27" s="1472">
        <f t="shared" si="2"/>
        <v>0</v>
      </c>
      <c r="F27" s="1863">
        <f t="shared" si="1"/>
        <v>0</v>
      </c>
      <c r="G27" s="1724">
        <f t="shared" si="3"/>
        <v>0</v>
      </c>
    </row>
    <row r="28" spans="1:8">
      <c r="A28" s="1585"/>
      <c r="B28" s="1865"/>
      <c r="C28" s="1586"/>
      <c r="D28" s="1775"/>
      <c r="E28" s="1472">
        <f t="shared" si="2"/>
        <v>0</v>
      </c>
      <c r="F28" s="1863">
        <f t="shared" si="1"/>
        <v>0</v>
      </c>
      <c r="G28" s="1724">
        <f t="shared" si="3"/>
        <v>0</v>
      </c>
    </row>
    <row r="29" spans="1:8">
      <c r="A29" s="1585"/>
      <c r="B29" s="1865"/>
      <c r="C29" s="1586"/>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0</v>
      </c>
      <c r="E141" s="1473">
        <f t="shared" si="0"/>
        <v>0</v>
      </c>
      <c r="F141" s="1864">
        <f>SUM(F17:F140)</f>
        <v>0</v>
      </c>
      <c r="G141" s="1726">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Normal="100" workbookViewId="0">
      <selection activeCell="E12" sqref="E1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c r="A1" s="1566" t="s">
        <v>1115</v>
      </c>
      <c r="B1" s="1567"/>
      <c r="C1" s="1568"/>
    </row>
    <row r="2" spans="1:9">
      <c r="A2" s="952" t="s">
        <v>1116</v>
      </c>
      <c r="B2" s="953"/>
      <c r="C2" s="953"/>
      <c r="D2" s="953"/>
      <c r="E2" s="954"/>
      <c r="F2" s="954"/>
      <c r="G2" s="955"/>
    </row>
    <row r="3" spans="1:9" ht="12" customHeight="1">
      <c r="A3" s="956" t="s">
        <v>1335</v>
      </c>
      <c r="B3" s="957"/>
      <c r="C3" s="957"/>
      <c r="D3" s="957"/>
      <c r="E3" s="958"/>
      <c r="F3" s="958"/>
      <c r="G3" s="959"/>
    </row>
    <row r="4" spans="1:9">
      <c r="A4" s="960" t="s">
        <v>755</v>
      </c>
      <c r="B4" s="961"/>
      <c r="C4" s="961"/>
      <c r="D4" s="961"/>
      <c r="E4" s="962"/>
      <c r="F4" s="963"/>
      <c r="G4" s="964"/>
      <c r="H4" s="252"/>
      <c r="I4" s="252"/>
    </row>
    <row r="5" spans="1:9" s="343" customFormat="1" ht="57" customHeight="1">
      <c r="A5" s="2300" t="s">
        <v>1652</v>
      </c>
      <c r="B5" s="2301"/>
      <c r="C5" s="2301"/>
      <c r="D5" s="2301"/>
      <c r="E5" s="2301"/>
      <c r="F5" s="2301"/>
      <c r="G5" s="2302"/>
      <c r="H5" s="252"/>
      <c r="I5" s="609"/>
    </row>
    <row r="6" spans="1:9" s="668" customFormat="1">
      <c r="A6" s="1569"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1893</v>
      </c>
      <c r="B10" s="971"/>
      <c r="C10" s="976"/>
      <c r="D10" s="972"/>
      <c r="E10" s="973"/>
      <c r="F10" s="974"/>
      <c r="G10" s="975"/>
      <c r="H10" s="162"/>
      <c r="I10" s="162"/>
    </row>
    <row r="11" spans="1:9" s="668" customFormat="1" ht="22.5" customHeight="1">
      <c r="A11" s="2305" t="s">
        <v>1937</v>
      </c>
      <c r="B11" s="2306"/>
      <c r="C11" s="2306"/>
      <c r="D11" s="2307"/>
      <c r="E11" s="977">
        <v>43159</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1355</v>
      </c>
      <c r="B16" s="983"/>
      <c r="C16" s="984"/>
      <c r="D16" s="963"/>
      <c r="E16" s="958"/>
      <c r="F16" s="958"/>
      <c r="G16" s="959"/>
      <c r="H16" s="162"/>
      <c r="I16" s="162"/>
    </row>
    <row r="17" spans="1:9" s="668" customFormat="1" ht="12" customHeight="1">
      <c r="A17" s="985"/>
      <c r="B17" s="986"/>
      <c r="C17" s="329"/>
      <c r="D17" s="1570" t="s">
        <v>532</v>
      </c>
      <c r="E17" s="1571"/>
      <c r="F17" s="1570" t="s">
        <v>433</v>
      </c>
      <c r="G17" s="1572"/>
      <c r="H17" s="162"/>
      <c r="I17" s="162"/>
    </row>
    <row r="18" spans="1:9" s="259" customFormat="1" ht="11.25">
      <c r="A18" s="988"/>
      <c r="C18" s="989" t="s">
        <v>434</v>
      </c>
      <c r="D18" s="1573" t="s">
        <v>435</v>
      </c>
      <c r="E18" s="1573" t="s">
        <v>53</v>
      </c>
      <c r="F18" s="1573" t="s">
        <v>435</v>
      </c>
      <c r="G18" s="1573" t="s">
        <v>53</v>
      </c>
      <c r="H18" s="178"/>
      <c r="I18" s="178"/>
    </row>
    <row r="19" spans="1:9" s="668" customFormat="1" ht="12" customHeight="1">
      <c r="A19" s="990" t="s">
        <v>456</v>
      </c>
      <c r="B19" s="991"/>
      <c r="C19" s="992" t="s">
        <v>570</v>
      </c>
      <c r="D19" s="1730"/>
      <c r="E19" s="1731">
        <f>'Expenditures 15-22'!K33-SUM('Expenditures 15-22'!G33,'Expenditures 15-22'!I33)+'Expenditures 15-22'!D229</f>
        <v>9468537</v>
      </c>
      <c r="F19" s="1730"/>
      <c r="G19" s="1732">
        <f>'Expenditures 15-22'!K33-SUM('Expenditures 15-22'!G33,'Expenditures 15-22'!I33)+'Expenditures 15-22'!D229</f>
        <v>9468537</v>
      </c>
      <c r="H19" s="987"/>
      <c r="I19" s="162"/>
    </row>
    <row r="20" spans="1:9" s="668" customFormat="1" ht="12" customHeight="1">
      <c r="A20" s="990" t="s">
        <v>54</v>
      </c>
      <c r="B20" s="991"/>
      <c r="C20" s="993"/>
      <c r="D20" s="1733"/>
      <c r="E20" s="1733"/>
      <c r="F20" s="1733"/>
      <c r="G20" s="1734"/>
      <c r="H20" s="987"/>
      <c r="I20" s="162"/>
    </row>
    <row r="21" spans="1:9" s="668" customFormat="1" ht="12" customHeight="1">
      <c r="A21" s="994" t="s">
        <v>401</v>
      </c>
      <c r="B21" s="995"/>
      <c r="C21" s="993">
        <v>2100</v>
      </c>
      <c r="D21" s="1733"/>
      <c r="E21" s="1735">
        <f>'Expenditures 15-22'!K42-SUM('Expenditures 15-22'!G42,'Expenditures 15-22'!I42)+'Expenditures 15-22'!K120-SUM('Expenditures 15-22'!G120,'Expenditures 15-22'!I120)+'Expenditures 15-22'!K180-SUM('Expenditures 15-22'!G180,'Expenditures 15-22'!I180)+'Expenditures 15-22'!D238</f>
        <v>765948</v>
      </c>
      <c r="F21" s="1733"/>
      <c r="G21" s="1736">
        <f>'Expenditures 15-22'!K42-SUM('Expenditures 15-22'!G42,'Expenditures 15-22'!I42)+'Expenditures 15-22'!K120-SUM('Expenditures 15-22'!G120,'Expenditures 15-22'!I120)+'Expenditures 15-22'!K180-SUM('Expenditures 15-22'!G180,'Expenditures 15-22'!I180)+'Expenditures 15-22'!D238</f>
        <v>765948</v>
      </c>
      <c r="H21" s="987"/>
      <c r="I21" s="162"/>
    </row>
    <row r="22" spans="1:9" s="668" customFormat="1" ht="12" customHeight="1">
      <c r="A22" s="994" t="s">
        <v>564</v>
      </c>
      <c r="B22" s="995"/>
      <c r="C22" s="993">
        <v>2200</v>
      </c>
      <c r="D22" s="1733"/>
      <c r="E22" s="1735">
        <f>'Expenditures 15-22'!K47-SUM('Expenditures 15-22'!G47,'Expenditures 15-22'!I47)+'Expenditures 15-22'!D243</f>
        <v>492496</v>
      </c>
      <c r="F22" s="1733"/>
      <c r="G22" s="1736">
        <f>'Expenditures 15-22'!K47-SUM('Expenditures 15-22'!G47,'Expenditures 15-22'!I47)+'Expenditures 15-22'!D243</f>
        <v>492496</v>
      </c>
      <c r="H22" s="987"/>
      <c r="I22" s="162"/>
    </row>
    <row r="23" spans="1:9" s="668" customFormat="1" ht="12" customHeight="1">
      <c r="A23" s="994" t="s">
        <v>565</v>
      </c>
      <c r="B23" s="995"/>
      <c r="C23" s="993">
        <v>2300</v>
      </c>
      <c r="D23" s="1733"/>
      <c r="E23" s="1735">
        <f>'Expenditures 15-22'!K53-SUM('Expenditures 15-22'!G53,'Expenditures 15-22'!I53)+'Expenditures 15-22'!D257+'Expenditures 15-22'!K330-SUM('Expenditures 15-22'!G330,'Expenditures 15-22'!I330)</f>
        <v>983821</v>
      </c>
      <c r="F23" s="1733"/>
      <c r="G23" s="1735">
        <f>'Expenditures 15-22'!K53-SUM('Expenditures 15-22'!G53,'Expenditures 15-22'!I53)+'Expenditures 15-22'!D257+'Expenditures 15-22'!K330-SUM('Expenditures 15-22'!G330,'Expenditures 15-22'!I330)</f>
        <v>983821</v>
      </c>
      <c r="H23" s="987"/>
      <c r="I23" s="162"/>
    </row>
    <row r="24" spans="1:9" s="668" customFormat="1" ht="12" customHeight="1">
      <c r="A24" s="994" t="s">
        <v>566</v>
      </c>
      <c r="B24" s="995"/>
      <c r="C24" s="993">
        <v>2400</v>
      </c>
      <c r="D24" s="1733"/>
      <c r="E24" s="1735">
        <f>'Expenditures 15-22'!K57-SUM('Expenditures 15-22'!G57,'Expenditures 15-22'!I57)+'Expenditures 15-22'!D261</f>
        <v>1050183</v>
      </c>
      <c r="F24" s="1733"/>
      <c r="G24" s="1736">
        <f>'Expenditures 15-22'!K57-SUM('Expenditures 15-22'!G57,'Expenditures 15-22'!I57)+'Expenditures 15-22'!D261</f>
        <v>1050183</v>
      </c>
      <c r="H24" s="987"/>
      <c r="I24" s="162"/>
    </row>
    <row r="25" spans="1:9" s="668" customFormat="1" ht="12" customHeight="1">
      <c r="A25" s="990" t="s">
        <v>567</v>
      </c>
      <c r="B25" s="996"/>
      <c r="C25" s="993"/>
      <c r="D25" s="1733"/>
      <c r="E25" s="1735"/>
      <c r="F25" s="1733"/>
      <c r="G25" s="1736"/>
      <c r="H25" s="987"/>
      <c r="I25" s="162"/>
    </row>
    <row r="26" spans="1:9" s="668" customFormat="1" ht="12" customHeight="1">
      <c r="A26" s="994" t="s">
        <v>515</v>
      </c>
      <c r="B26" s="997"/>
      <c r="C26" s="993">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87"/>
      <c r="I26" s="162"/>
    </row>
    <row r="27" spans="1:9" s="668" customFormat="1" ht="12" customHeight="1">
      <c r="A27" s="994" t="s">
        <v>463</v>
      </c>
      <c r="B27" s="997"/>
      <c r="C27" s="993">
        <v>2520</v>
      </c>
      <c r="D27" s="1735">
        <f>'Expenditures 15-22'!K60-SUM('Expenditures 15-22'!G60,'Expenditures 15-22'!I60)+'Expenditures 15-22'!D264-E8</f>
        <v>60706</v>
      </c>
      <c r="E27" s="1735">
        <f>E8</f>
        <v>0</v>
      </c>
      <c r="F27" s="1735">
        <f>'Expenditures 15-22'!K60-SUM('Expenditures 15-22'!G60,'Expenditures 15-22'!I60)+'Expenditures 15-22'!D264-E8</f>
        <v>60706</v>
      </c>
      <c r="G27" s="1736">
        <f>E8</f>
        <v>0</v>
      </c>
      <c r="H27" s="987"/>
      <c r="I27" s="162"/>
    </row>
    <row r="28" spans="1:9" s="668" customFormat="1" ht="12" customHeight="1">
      <c r="A28" s="994" t="s">
        <v>516</v>
      </c>
      <c r="B28" s="997"/>
      <c r="C28" s="993">
        <v>2540</v>
      </c>
      <c r="D28" s="1737"/>
      <c r="E28" s="1735">
        <f>'Expenditures 15-22'!K61-SUM('Expenditures 15-22'!G61,'Expenditures 15-22'!I61)+'Expenditures 15-22'!K124-SUM('Expenditures 15-22'!G124,'Expenditures 15-22'!I124)+'Expenditures 15-22'!D266</f>
        <v>1258351</v>
      </c>
      <c r="F28" s="1737">
        <f>'Expenditures 15-22'!K61-SUM('Expenditures 15-22'!G61,'Expenditures 15-22'!I61)+'Expenditures 15-22'!K124-SUM('Expenditures 15-22'!G124,'Expenditures 15-22'!I124)+'Expenditures 15-22'!D266-E9</f>
        <v>1258351</v>
      </c>
      <c r="G28" s="1736">
        <f>E9</f>
        <v>0</v>
      </c>
      <c r="H28" s="987"/>
      <c r="I28" s="162"/>
    </row>
    <row r="29" spans="1:9" ht="12" customHeight="1">
      <c r="A29" s="994" t="s">
        <v>517</v>
      </c>
      <c r="B29" s="997"/>
      <c r="C29" s="993">
        <v>2550</v>
      </c>
      <c r="D29" s="1733"/>
      <c r="E29" s="1735">
        <f>'Expenditures 15-22'!K62-SUM('Expenditures 15-22'!G62,'Expenditures 15-22'!I62)+'Expenditures 15-22'!K125-SUM('Expenditures 15-22'!G125,'Expenditures 15-22'!I125)+'Expenditures 15-22'!K182-SUM('Expenditures 15-22'!G182,'Expenditures 15-22'!I182)+'Expenditures 15-22'!D267</f>
        <v>148169</v>
      </c>
      <c r="F29" s="1733"/>
      <c r="G29" s="1736">
        <f>'Expenditures 15-22'!K62-SUM('Expenditures 15-22'!G62,'Expenditures 15-22'!I62)+'Expenditures 15-22'!K125-SUM('Expenditures 15-22'!G125,'Expenditures 15-22'!I125)+'Expenditures 15-22'!K182-SUM('Expenditures 15-22'!G182,'Expenditures 15-22'!I182)+'Expenditures 15-22'!D267</f>
        <v>148169</v>
      </c>
      <c r="H29" s="985"/>
    </row>
    <row r="30" spans="1:9" ht="12" customHeight="1">
      <c r="A30" s="994" t="s">
        <v>100</v>
      </c>
      <c r="B30" s="997"/>
      <c r="C30" s="993">
        <v>2560</v>
      </c>
      <c r="D30" s="1733"/>
      <c r="E30" s="1735">
        <f>'Expenditures 15-22'!K63-SUM('Expenditures 15-22'!G63,'Expenditures 15-22'!I63)+'Expenditures 15-22'!D268-E10</f>
        <v>453969</v>
      </c>
      <c r="F30" s="1733"/>
      <c r="G30" s="1735">
        <f>'Expenditures 15-22'!K63-SUM('Expenditures 15-22'!G63,'Expenditures 15-22'!I63)+'Expenditures 15-22'!D268-E10</f>
        <v>453969</v>
      </c>
    </row>
    <row r="31" spans="1:9" ht="12" customHeight="1">
      <c r="A31" s="994" t="s">
        <v>101</v>
      </c>
      <c r="B31" s="997"/>
      <c r="C31" s="993">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90" t="s">
        <v>518</v>
      </c>
      <c r="B32" s="996"/>
      <c r="C32" s="993"/>
      <c r="D32" s="1733"/>
      <c r="E32" s="1733"/>
      <c r="F32" s="1733"/>
      <c r="G32" s="1733"/>
    </row>
    <row r="33" spans="1:7" ht="12" customHeight="1">
      <c r="A33" s="994" t="s">
        <v>519</v>
      </c>
      <c r="B33" s="997"/>
      <c r="C33" s="993">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4" t="s">
        <v>520</v>
      </c>
      <c r="B34" s="997"/>
      <c r="C34" s="99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4" t="s">
        <v>1061</v>
      </c>
      <c r="B35" s="997"/>
      <c r="C35" s="993">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94" t="s">
        <v>403</v>
      </c>
      <c r="B36" s="997"/>
      <c r="C36" s="993">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94" t="s">
        <v>404</v>
      </c>
      <c r="B37" s="997"/>
      <c r="C37" s="993">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c r="A38" s="990" t="s">
        <v>521</v>
      </c>
      <c r="B38" s="991"/>
      <c r="C38" s="993">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733"/>
      <c r="E39" s="1735">
        <f>'Expenditures 15-22'!K75-SUM('Expenditures 15-22'!G75,'Expenditures 15-22'!I75)+'Expenditures 15-22'!K130-SUM('Expenditures 15-22'!G130,'Expenditures 15-22'!I130)+'Expenditures 15-22'!K185-SUM('Expenditures 15-22'!G185,'Expenditures 15-22'!I185)+'Expenditures 15-22'!D280</f>
        <v>2382</v>
      </c>
      <c r="F39" s="1733"/>
      <c r="G39" s="1735">
        <f>'Expenditures 15-22'!K75-SUM('Expenditures 15-22'!G75,'Expenditures 15-22'!I75)+'Expenditures 15-22'!K130-SUM('Expenditures 15-22'!G130,'Expenditures 15-22'!I130)+'Expenditures 15-22'!K185-SUM('Expenditures 15-22'!G185,'Expenditures 15-22'!I185)+'Expenditures 15-22'!D280</f>
        <v>2382</v>
      </c>
    </row>
    <row r="40" spans="1:7" ht="12" customHeight="1">
      <c r="A40" s="990" t="s">
        <v>1785</v>
      </c>
      <c r="B40" s="991"/>
      <c r="C40" s="993"/>
      <c r="D40" s="1733"/>
      <c r="E40" s="1737">
        <f>-'Contracts Paid in CY 29'!G141</f>
        <v>0</v>
      </c>
      <c r="F40" s="1733"/>
      <c r="G40" s="1737">
        <f>-'Contracts Paid in CY 29'!G141</f>
        <v>0</v>
      </c>
    </row>
    <row r="41" spans="1:7" ht="12" customHeight="1">
      <c r="A41" s="998" t="s">
        <v>156</v>
      </c>
      <c r="B41" s="999"/>
      <c r="C41" s="1000"/>
      <c r="D41" s="1737">
        <f>SUM(D19:D39)</f>
        <v>60706</v>
      </c>
      <c r="E41" s="1737">
        <f>SUM(E19:E40)</f>
        <v>14623856</v>
      </c>
      <c r="F41" s="1737">
        <f>SUM(F19:F39)</f>
        <v>1319057</v>
      </c>
      <c r="G41" s="1737">
        <f>SUM(G19:G40)</f>
        <v>13365505</v>
      </c>
    </row>
    <row r="42" spans="1:7">
      <c r="A42" s="987"/>
      <c r="B42" s="162"/>
      <c r="C42" s="1001"/>
      <c r="D42" s="2303" t="s">
        <v>522</v>
      </c>
      <c r="E42" s="2304"/>
      <c r="F42" s="1002" t="s">
        <v>523</v>
      </c>
      <c r="G42" s="1003"/>
    </row>
    <row r="43" spans="1:7" ht="12" customHeight="1">
      <c r="A43" s="987"/>
      <c r="B43" s="162"/>
      <c r="C43" s="1001"/>
      <c r="D43" s="1738" t="s">
        <v>473</v>
      </c>
      <c r="E43" s="1739">
        <f>D41</f>
        <v>60706</v>
      </c>
      <c r="F43" s="1738" t="s">
        <v>473</v>
      </c>
      <c r="G43" s="1739">
        <f>F41</f>
        <v>1319057</v>
      </c>
    </row>
    <row r="44" spans="1:7" ht="12" customHeight="1">
      <c r="A44" s="987"/>
      <c r="B44" s="162"/>
      <c r="C44" s="1001"/>
      <c r="D44" s="1738" t="s">
        <v>474</v>
      </c>
      <c r="E44" s="1739">
        <f>E41</f>
        <v>14623856</v>
      </c>
      <c r="F44" s="1738" t="s">
        <v>474</v>
      </c>
      <c r="G44" s="1739">
        <f>G41</f>
        <v>13365505</v>
      </c>
    </row>
    <row r="45" spans="1:7" ht="12" customHeight="1">
      <c r="A45" s="987"/>
      <c r="B45" s="162"/>
      <c r="C45" s="162"/>
      <c r="D45" s="1740" t="s">
        <v>1006</v>
      </c>
      <c r="E45" s="1741">
        <f>(E43/E44)</f>
        <v>4.1511623199790805E-3</v>
      </c>
      <c r="F45" s="1740" t="s">
        <v>1006</v>
      </c>
      <c r="G45" s="1741">
        <f>(G43/G44)</f>
        <v>9.8691145602055441E-2</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X29" sqref="X29"/>
      <selection pane="bottomLeft" activeCell="A42" sqref="A42:F42"/>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11" t="s">
        <v>1358</v>
      </c>
      <c r="B1" s="2311"/>
      <c r="C1" s="2311"/>
      <c r="D1" s="2311"/>
      <c r="E1" s="2311"/>
      <c r="F1" s="2311"/>
    </row>
    <row r="2" spans="1:10">
      <c r="A2" s="1818" t="s">
        <v>1872</v>
      </c>
      <c r="B2" s="1779"/>
      <c r="C2" s="1818"/>
      <c r="D2" s="1779"/>
      <c r="E2" s="1779"/>
      <c r="F2" s="1780"/>
    </row>
    <row r="3" spans="1:10">
      <c r="A3" s="1818" t="s">
        <v>1938</v>
      </c>
      <c r="B3" s="1779"/>
      <c r="C3" s="1818"/>
      <c r="D3" s="1779"/>
      <c r="E3" s="1779"/>
      <c r="F3" s="1780"/>
    </row>
    <row r="4" spans="1:10" ht="3.75" customHeight="1">
      <c r="A4" s="1779"/>
      <c r="B4" s="1779"/>
      <c r="C4" s="1779"/>
      <c r="D4" s="1779"/>
      <c r="E4" s="1779"/>
      <c r="F4" s="1780"/>
    </row>
    <row r="5" spans="1:10" ht="15">
      <c r="A5" s="2312" t="s">
        <v>1525</v>
      </c>
      <c r="B5" s="2313"/>
      <c r="C5" s="2314"/>
      <c r="D5" s="2314"/>
      <c r="E5" s="2314"/>
      <c r="F5" s="2314"/>
    </row>
    <row r="6" spans="1:10" ht="12" customHeight="1">
      <c r="A6" s="1781"/>
      <c r="B6" s="1782"/>
      <c r="C6" s="2315" t="str">
        <f>COVER!A17</f>
        <v>Rochelle CCSD 231</v>
      </c>
      <c r="D6" s="2315"/>
      <c r="E6" s="2315"/>
      <c r="F6" s="1783"/>
    </row>
    <row r="7" spans="1:10" ht="11.25" customHeight="1" thickBot="1">
      <c r="A7" s="1781"/>
      <c r="B7" s="1782"/>
      <c r="C7" s="2316">
        <f>COVER!A13</f>
        <v>47071231004</v>
      </c>
      <c r="D7" s="2316"/>
      <c r="E7" s="2316"/>
      <c r="F7" s="1783"/>
    </row>
    <row r="8" spans="1:10" ht="25.5" customHeight="1" thickBot="1">
      <c r="A8" s="1824" t="s">
        <v>1868</v>
      </c>
      <c r="B8" s="1784"/>
      <c r="C8" s="1820" t="s">
        <v>1654</v>
      </c>
      <c r="D8" s="1819" t="s">
        <v>1655</v>
      </c>
      <c r="E8" s="1821" t="s">
        <v>1359</v>
      </c>
      <c r="F8" s="1819" t="s">
        <v>1656</v>
      </c>
      <c r="H8" s="1785" t="b">
        <v>0</v>
      </c>
    </row>
    <row r="9" spans="1:10" ht="15.75" customHeight="1">
      <c r="A9" s="1786" t="s">
        <v>1521</v>
      </c>
      <c r="B9" s="1787"/>
      <c r="C9" s="1788"/>
      <c r="D9" s="1788"/>
      <c r="E9" s="1789"/>
      <c r="F9" s="1790"/>
    </row>
    <row r="10" spans="1:10" ht="27.75" customHeight="1">
      <c r="A10" s="1791" t="s">
        <v>1653</v>
      </c>
      <c r="B10" s="1792"/>
      <c r="C10" s="1793"/>
      <c r="D10" s="1793"/>
      <c r="E10" s="1822" t="s">
        <v>1360</v>
      </c>
      <c r="F10" s="1823" t="s">
        <v>1361</v>
      </c>
    </row>
    <row r="11" spans="1:10" ht="12" customHeight="1">
      <c r="A11" s="1794" t="s">
        <v>1362</v>
      </c>
      <c r="B11" s="1795"/>
      <c r="C11" s="1796"/>
      <c r="D11" s="1796"/>
      <c r="E11" s="1797"/>
      <c r="F11" s="1798"/>
      <c r="H11" s="1809">
        <f>IF(C11="X",5,0)</f>
        <v>0</v>
      </c>
      <c r="I11" s="1809">
        <f>IF(D11="X",5,0)</f>
        <v>0</v>
      </c>
      <c r="J11" s="1809">
        <f>IF(E11="X",5,0)</f>
        <v>0</v>
      </c>
    </row>
    <row r="12" spans="1:10" ht="12" customHeight="1">
      <c r="A12" s="1794" t="s">
        <v>1363</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1364</v>
      </c>
      <c r="B13" s="1795"/>
      <c r="C13" s="1796"/>
      <c r="D13" s="1796"/>
      <c r="E13" s="1799"/>
      <c r="F13" s="1798"/>
      <c r="H13" s="1809">
        <f t="shared" si="0"/>
        <v>0</v>
      </c>
      <c r="I13" s="1809">
        <f t="shared" si="1"/>
        <v>0</v>
      </c>
      <c r="J13" s="1809">
        <f t="shared" si="2"/>
        <v>0</v>
      </c>
    </row>
    <row r="14" spans="1:10" ht="12" customHeight="1">
      <c r="A14" s="1794" t="s">
        <v>1365</v>
      </c>
      <c r="B14" s="1795"/>
      <c r="C14" s="1796"/>
      <c r="D14" s="1796"/>
      <c r="E14" s="1799"/>
      <c r="F14" s="1798"/>
      <c r="H14" s="1809">
        <f t="shared" si="0"/>
        <v>0</v>
      </c>
      <c r="I14" s="1809">
        <f t="shared" si="1"/>
        <v>0</v>
      </c>
      <c r="J14" s="1809">
        <f t="shared" si="2"/>
        <v>0</v>
      </c>
    </row>
    <row r="15" spans="1:10" ht="12" customHeight="1">
      <c r="A15" s="1794" t="s">
        <v>1366</v>
      </c>
      <c r="B15" s="1795"/>
      <c r="C15" s="1796"/>
      <c r="D15" s="1796"/>
      <c r="E15" s="1799"/>
      <c r="F15" s="1798"/>
      <c r="H15" s="1809">
        <f t="shared" si="0"/>
        <v>0</v>
      </c>
      <c r="I15" s="1809">
        <f t="shared" si="1"/>
        <v>0</v>
      </c>
      <c r="J15" s="1809">
        <f t="shared" si="2"/>
        <v>0</v>
      </c>
    </row>
    <row r="16" spans="1:10" ht="12" customHeight="1">
      <c r="A16" s="1794" t="s">
        <v>1367</v>
      </c>
      <c r="B16" s="1795"/>
      <c r="C16" s="1796"/>
      <c r="D16" s="1796"/>
      <c r="E16" s="1799"/>
      <c r="F16" s="1798"/>
      <c r="H16" s="1809">
        <f t="shared" si="0"/>
        <v>0</v>
      </c>
      <c r="I16" s="1809">
        <f t="shared" si="1"/>
        <v>0</v>
      </c>
      <c r="J16" s="1809">
        <f t="shared" si="2"/>
        <v>0</v>
      </c>
    </row>
    <row r="17" spans="1:12" ht="12" customHeight="1">
      <c r="A17" s="1794" t="s">
        <v>1368</v>
      </c>
      <c r="B17" s="1795"/>
      <c r="C17" s="1796"/>
      <c r="D17" s="1796"/>
      <c r="E17" s="1799"/>
      <c r="F17" s="1798"/>
      <c r="H17" s="1809">
        <f t="shared" si="0"/>
        <v>0</v>
      </c>
      <c r="I17" s="1809">
        <f t="shared" si="1"/>
        <v>0</v>
      </c>
      <c r="J17" s="1809">
        <f t="shared" si="2"/>
        <v>0</v>
      </c>
    </row>
    <row r="18" spans="1:12" ht="12" customHeight="1">
      <c r="A18" s="1794" t="s">
        <v>1369</v>
      </c>
      <c r="B18" s="1795"/>
      <c r="C18" s="1796"/>
      <c r="D18" s="1796"/>
      <c r="E18" s="1799"/>
      <c r="F18" s="1798"/>
      <c r="H18" s="1809">
        <f t="shared" si="0"/>
        <v>0</v>
      </c>
      <c r="I18" s="1809">
        <f t="shared" si="1"/>
        <v>0</v>
      </c>
      <c r="J18" s="1809">
        <f t="shared" si="2"/>
        <v>0</v>
      </c>
    </row>
    <row r="19" spans="1:12" ht="12" customHeight="1">
      <c r="A19" s="1794" t="s">
        <v>1506</v>
      </c>
      <c r="B19" s="1795"/>
      <c r="C19" s="1796"/>
      <c r="D19" s="1796"/>
      <c r="E19" s="1799"/>
      <c r="F19" s="1798"/>
      <c r="H19" s="1809">
        <f t="shared" si="0"/>
        <v>0</v>
      </c>
      <c r="I19" s="1809">
        <f t="shared" si="1"/>
        <v>0</v>
      </c>
      <c r="J19" s="1809">
        <f t="shared" si="2"/>
        <v>0</v>
      </c>
    </row>
    <row r="20" spans="1:12" ht="12" customHeight="1">
      <c r="A20" s="1794" t="s">
        <v>1507</v>
      </c>
      <c r="B20" s="1795"/>
      <c r="C20" s="1796"/>
      <c r="D20" s="1796"/>
      <c r="E20" s="1799"/>
      <c r="F20" s="1798"/>
      <c r="H20" s="1809">
        <f t="shared" si="0"/>
        <v>0</v>
      </c>
      <c r="I20" s="1809">
        <f t="shared" si="1"/>
        <v>0</v>
      </c>
      <c r="J20" s="1809">
        <f t="shared" si="2"/>
        <v>0</v>
      </c>
    </row>
    <row r="21" spans="1:12" ht="12" customHeight="1">
      <c r="A21" s="1794" t="s">
        <v>1508</v>
      </c>
      <c r="B21" s="1795"/>
      <c r="C21" s="1796"/>
      <c r="D21" s="1796"/>
      <c r="E21" s="1799"/>
      <c r="F21" s="1798"/>
      <c r="H21" s="1809">
        <f t="shared" si="0"/>
        <v>0</v>
      </c>
      <c r="I21" s="1809">
        <f t="shared" si="1"/>
        <v>0</v>
      </c>
      <c r="J21" s="1809">
        <f t="shared" si="2"/>
        <v>0</v>
      </c>
    </row>
    <row r="22" spans="1:12" ht="12" customHeight="1">
      <c r="A22" s="1794" t="s">
        <v>1509</v>
      </c>
      <c r="B22" s="1795"/>
      <c r="C22" s="1796"/>
      <c r="D22" s="1796"/>
      <c r="E22" s="1799"/>
      <c r="F22" s="1798"/>
      <c r="H22" s="1809">
        <f t="shared" si="0"/>
        <v>0</v>
      </c>
      <c r="I22" s="1809">
        <f t="shared" si="1"/>
        <v>0</v>
      </c>
      <c r="J22" s="1809">
        <f t="shared" si="2"/>
        <v>0</v>
      </c>
    </row>
    <row r="23" spans="1:12" ht="12" customHeight="1">
      <c r="A23" s="1794" t="s">
        <v>1510</v>
      </c>
      <c r="B23" s="1795"/>
      <c r="C23" s="1796"/>
      <c r="D23" s="1796"/>
      <c r="E23" s="1799"/>
      <c r="F23" s="1798"/>
      <c r="H23" s="1809">
        <f t="shared" si="0"/>
        <v>0</v>
      </c>
      <c r="I23" s="1809">
        <f t="shared" si="1"/>
        <v>0</v>
      </c>
      <c r="J23" s="1809">
        <f t="shared" si="2"/>
        <v>0</v>
      </c>
    </row>
    <row r="24" spans="1:12" ht="12" customHeight="1">
      <c r="A24" s="1794" t="s">
        <v>1511</v>
      </c>
      <c r="B24" s="1795"/>
      <c r="C24" s="1796"/>
      <c r="D24" s="1796"/>
      <c r="E24" s="1799"/>
      <c r="F24" s="1798"/>
      <c r="H24" s="1809">
        <f t="shared" si="0"/>
        <v>0</v>
      </c>
      <c r="I24" s="1809">
        <f t="shared" si="1"/>
        <v>0</v>
      </c>
      <c r="J24" s="1809">
        <f t="shared" si="2"/>
        <v>0</v>
      </c>
    </row>
    <row r="25" spans="1:12" ht="12" customHeight="1">
      <c r="A25" s="1794" t="s">
        <v>1512</v>
      </c>
      <c r="B25" s="1795"/>
      <c r="C25" s="1796"/>
      <c r="D25" s="1796"/>
      <c r="E25" s="1799"/>
      <c r="F25" s="1798"/>
      <c r="H25" s="1809">
        <f t="shared" si="0"/>
        <v>0</v>
      </c>
      <c r="I25" s="1809">
        <f t="shared" si="1"/>
        <v>0</v>
      </c>
      <c r="J25" s="1809">
        <f t="shared" si="2"/>
        <v>0</v>
      </c>
    </row>
    <row r="26" spans="1:12" ht="12" customHeight="1">
      <c r="A26" s="1794" t="s">
        <v>1513</v>
      </c>
      <c r="B26" s="1795"/>
      <c r="C26" s="1796" t="s">
        <v>2052</v>
      </c>
      <c r="D26" s="1796" t="s">
        <v>2052</v>
      </c>
      <c r="E26" s="1799"/>
      <c r="F26" s="1798" t="s">
        <v>2054</v>
      </c>
      <c r="H26" s="1809">
        <f t="shared" si="0"/>
        <v>5</v>
      </c>
      <c r="I26" s="1809">
        <f t="shared" si="1"/>
        <v>5</v>
      </c>
      <c r="J26" s="1809">
        <f t="shared" si="2"/>
        <v>0</v>
      </c>
    </row>
    <row r="27" spans="1:12" ht="18.75">
      <c r="A27" s="1794" t="s">
        <v>1514</v>
      </c>
      <c r="B27" s="1795"/>
      <c r="C27" s="1796"/>
      <c r="D27" s="1796"/>
      <c r="E27" s="1799"/>
      <c r="F27" s="1798"/>
      <c r="H27" s="1809">
        <f t="shared" si="0"/>
        <v>0</v>
      </c>
      <c r="I27" s="1809">
        <f t="shared" si="1"/>
        <v>0</v>
      </c>
      <c r="J27" s="1809">
        <f t="shared" si="2"/>
        <v>0</v>
      </c>
    </row>
    <row r="28" spans="1:12" ht="12" customHeight="1">
      <c r="A28" s="1794" t="s">
        <v>1515</v>
      </c>
      <c r="B28" s="1795"/>
      <c r="C28" s="1796"/>
      <c r="D28" s="1796"/>
      <c r="E28" s="1799"/>
      <c r="F28" s="1798"/>
      <c r="H28" s="1809">
        <f t="shared" si="0"/>
        <v>0</v>
      </c>
      <c r="I28" s="1809">
        <f t="shared" si="1"/>
        <v>0</v>
      </c>
      <c r="J28" s="1809">
        <f t="shared" si="2"/>
        <v>0</v>
      </c>
    </row>
    <row r="29" spans="1:12" ht="12" customHeight="1">
      <c r="A29" s="1794" t="s">
        <v>1516</v>
      </c>
      <c r="B29" s="1795"/>
      <c r="C29" s="1796"/>
      <c r="D29" s="1796"/>
      <c r="E29" s="1799"/>
      <c r="F29" s="1798"/>
      <c r="H29" s="1809">
        <f t="shared" si="0"/>
        <v>0</v>
      </c>
      <c r="I29" s="1809">
        <f t="shared" si="1"/>
        <v>0</v>
      </c>
      <c r="J29" s="1809">
        <f t="shared" si="2"/>
        <v>0</v>
      </c>
    </row>
    <row r="30" spans="1:12" ht="12" customHeight="1">
      <c r="A30" s="1794" t="s">
        <v>1517</v>
      </c>
      <c r="B30" s="1795"/>
      <c r="C30" s="1796" t="s">
        <v>2052</v>
      </c>
      <c r="D30" s="1796" t="s">
        <v>2052</v>
      </c>
      <c r="E30" s="1799"/>
      <c r="F30" s="1798" t="s">
        <v>2055</v>
      </c>
      <c r="H30" s="1809">
        <f t="shared" si="0"/>
        <v>5</v>
      </c>
      <c r="I30" s="1809">
        <f t="shared" si="1"/>
        <v>5</v>
      </c>
      <c r="J30" s="1809">
        <f t="shared" si="2"/>
        <v>0</v>
      </c>
    </row>
    <row r="31" spans="1:12" ht="12" customHeight="1">
      <c r="A31" s="1794" t="s">
        <v>1518</v>
      </c>
      <c r="B31" s="1795"/>
      <c r="C31" s="1796"/>
      <c r="D31" s="1796"/>
      <c r="E31" s="1799"/>
      <c r="F31" s="1798"/>
      <c r="H31" s="1809">
        <f t="shared" si="0"/>
        <v>0</v>
      </c>
      <c r="I31" s="1809">
        <f t="shared" si="1"/>
        <v>0</v>
      </c>
      <c r="J31" s="1809">
        <f t="shared" si="2"/>
        <v>0</v>
      </c>
      <c r="L31" s="1800"/>
    </row>
    <row r="32" spans="1:12" ht="12" customHeight="1">
      <c r="A32" s="1794" t="s">
        <v>1519</v>
      </c>
      <c r="B32" s="1795"/>
      <c r="C32" s="1796"/>
      <c r="D32" s="1796"/>
      <c r="E32" s="1799"/>
      <c r="F32" s="1798"/>
      <c r="H32" s="1809">
        <f t="shared" si="0"/>
        <v>0</v>
      </c>
      <c r="I32" s="1809">
        <f t="shared" si="1"/>
        <v>0</v>
      </c>
      <c r="J32" s="1809">
        <f t="shared" si="2"/>
        <v>0</v>
      </c>
    </row>
    <row r="33" spans="1:11" ht="12" customHeight="1">
      <c r="A33" s="1794" t="s">
        <v>1520</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10</v>
      </c>
      <c r="I34" s="1809">
        <f>SUM(I11:I32)</f>
        <v>10</v>
      </c>
      <c r="J34" s="1809">
        <f>SUM(J11:J32)</f>
        <v>0</v>
      </c>
      <c r="K34" s="1809">
        <f>SUM(H34:J34)</f>
        <v>20</v>
      </c>
    </row>
    <row r="35" spans="1:11" ht="12" customHeight="1">
      <c r="A35" s="1802" t="s">
        <v>1371</v>
      </c>
      <c r="B35" s="1803"/>
      <c r="C35" s="2317"/>
      <c r="D35" s="2317"/>
      <c r="E35" s="2317"/>
      <c r="F35" s="2318"/>
    </row>
    <row r="36" spans="1:11" ht="12" customHeight="1">
      <c r="A36" s="2308"/>
      <c r="B36" s="2309"/>
      <c r="C36" s="2309"/>
      <c r="D36" s="2309"/>
      <c r="E36" s="2309"/>
      <c r="F36" s="2310"/>
    </row>
    <row r="37" spans="1:11" ht="12" customHeight="1">
      <c r="A37" s="2308"/>
      <c r="B37" s="2309"/>
      <c r="C37" s="2309"/>
      <c r="D37" s="2309"/>
      <c r="E37" s="2309"/>
      <c r="F37" s="2310"/>
    </row>
    <row r="38" spans="1:11" ht="12" customHeight="1">
      <c r="A38" s="2322"/>
      <c r="B38" s="2323"/>
      <c r="C38" s="2323"/>
      <c r="D38" s="2323"/>
      <c r="E38" s="2323"/>
      <c r="F38" s="2324"/>
    </row>
    <row r="39" spans="1:11" ht="4.5" hidden="1" customHeight="1">
      <c r="A39" s="1804"/>
      <c r="B39" s="1804"/>
      <c r="C39" s="1804"/>
      <c r="D39" s="1804"/>
      <c r="E39" s="1804"/>
      <c r="F39" s="1804"/>
    </row>
    <row r="40" spans="1:11" s="1801" customFormat="1" ht="12" customHeight="1">
      <c r="A40" s="1805" t="s">
        <v>1370</v>
      </c>
      <c r="B40" s="1806"/>
      <c r="C40" s="2325"/>
      <c r="D40" s="2325"/>
      <c r="E40" s="2325"/>
      <c r="F40" s="2326"/>
      <c r="H40" s="1810"/>
      <c r="I40" s="1810"/>
      <c r="J40" s="1810"/>
      <c r="K40" s="1810"/>
    </row>
    <row r="41" spans="1:11" s="1801" customFormat="1" ht="12" customHeight="1">
      <c r="A41" s="2327" t="s">
        <v>2056</v>
      </c>
      <c r="B41" s="2328"/>
      <c r="C41" s="2328"/>
      <c r="D41" s="2328"/>
      <c r="E41" s="2328"/>
      <c r="F41" s="2329"/>
      <c r="H41" s="1810"/>
      <c r="I41" s="1810"/>
      <c r="J41" s="1810"/>
      <c r="K41" s="1810"/>
    </row>
    <row r="42" spans="1:11" s="1801" customFormat="1" ht="12" customHeight="1">
      <c r="A42" s="2327"/>
      <c r="B42" s="2328"/>
      <c r="C42" s="2328"/>
      <c r="D42" s="2328"/>
      <c r="E42" s="2328"/>
      <c r="F42" s="2329"/>
      <c r="H42" s="1810"/>
      <c r="I42" s="1810"/>
      <c r="J42" s="1810"/>
      <c r="K42" s="1810"/>
    </row>
    <row r="43" spans="1:11" s="1801" customFormat="1" ht="15">
      <c r="A43" s="2319"/>
      <c r="B43" s="2320"/>
      <c r="C43" s="2320"/>
      <c r="D43" s="2320"/>
      <c r="E43" s="2320"/>
      <c r="F43" s="2321"/>
      <c r="H43" s="1810"/>
      <c r="I43" s="1810"/>
      <c r="J43" s="1810"/>
      <c r="K43" s="1810"/>
    </row>
    <row r="44" spans="1:11" s="1801" customFormat="1" ht="12" hidden="1" customHeight="1">
      <c r="A44" s="2319"/>
      <c r="B44" s="2320"/>
      <c r="C44" s="2320"/>
      <c r="D44" s="2320"/>
      <c r="E44" s="2320"/>
      <c r="F44" s="2321"/>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D1" colorId="8" zoomScale="110" zoomScaleNormal="110" workbookViewId="0">
      <selection activeCell="H13" sqref="H13"/>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5" t="s">
        <v>672</v>
      </c>
      <c r="B6" s="1574"/>
      <c r="C6" s="1574"/>
      <c r="D6" s="1574"/>
      <c r="E6" s="1575"/>
      <c r="F6" s="1015"/>
      <c r="G6" s="1009"/>
      <c r="H6" s="1016" t="s">
        <v>1028</v>
      </c>
      <c r="I6" s="2335" t="str">
        <f>COVER!A17</f>
        <v>Rochelle CCSD 231</v>
      </c>
      <c r="J6" s="2336"/>
      <c r="Q6" s="1596"/>
    </row>
    <row r="7" spans="1:17">
      <c r="A7" s="2337" t="s">
        <v>869</v>
      </c>
      <c r="B7" s="2338"/>
      <c r="C7" s="2338"/>
      <c r="D7" s="2338"/>
      <c r="E7" s="2339"/>
      <c r="F7" s="1017"/>
      <c r="G7" s="1009"/>
      <c r="H7" s="1016" t="s">
        <v>372</v>
      </c>
      <c r="I7" s="2340">
        <f>COVER!A13</f>
        <v>47071231004</v>
      </c>
      <c r="J7" s="2340"/>
    </row>
    <row r="8" spans="1:17" ht="8.25" customHeight="1">
      <c r="A8" s="1576"/>
      <c r="B8" s="1577"/>
      <c r="C8" s="1577"/>
      <c r="D8" s="1577"/>
      <c r="E8" s="1578"/>
      <c r="F8" s="1018"/>
      <c r="G8" s="1019"/>
      <c r="H8" s="1019"/>
      <c r="I8" s="1019"/>
      <c r="J8" s="1019"/>
    </row>
    <row r="9" spans="1:17" ht="13.5" customHeight="1">
      <c r="A9" s="1020"/>
      <c r="B9" s="1021"/>
      <c r="C9" s="1021"/>
      <c r="D9" s="1022"/>
      <c r="E9" s="1826" t="s">
        <v>1939</v>
      </c>
      <c r="F9" s="1023"/>
      <c r="G9" s="1023"/>
      <c r="H9" s="1827" t="s">
        <v>1940</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41" t="s">
        <v>481</v>
      </c>
      <c r="B11" s="2342"/>
      <c r="C11" s="2343"/>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2">
        <f>'Expenditures 15-22'!K50</f>
        <v>117745</v>
      </c>
      <c r="F12" s="1039"/>
      <c r="G12" s="1742">
        <f t="shared" ref="G12:G18" si="0">SUM(E12:F12)</f>
        <v>117745</v>
      </c>
      <c r="H12" s="1040">
        <v>52500</v>
      </c>
      <c r="I12" s="1039"/>
      <c r="J12" s="1742">
        <f t="shared" ref="J12:J18" si="1">SUM(H12:I12)</f>
        <v>52500</v>
      </c>
    </row>
    <row r="13" spans="1:17" ht="15" customHeight="1">
      <c r="A13" s="1035">
        <v>2</v>
      </c>
      <c r="B13" s="1036" t="s">
        <v>42</v>
      </c>
      <c r="C13" s="1037"/>
      <c r="D13" s="1038">
        <v>2330</v>
      </c>
      <c r="E13" s="1742">
        <f>'Expenditures 15-22'!K51</f>
        <v>0</v>
      </c>
      <c r="F13" s="1039"/>
      <c r="G13" s="1742">
        <f t="shared" si="0"/>
        <v>0</v>
      </c>
      <c r="H13" s="1040"/>
      <c r="I13" s="1039"/>
      <c r="J13" s="1742">
        <f t="shared" si="1"/>
        <v>0</v>
      </c>
    </row>
    <row r="14" spans="1:17" ht="15" customHeight="1">
      <c r="A14" s="1035">
        <v>3</v>
      </c>
      <c r="B14" s="1036" t="s">
        <v>43</v>
      </c>
      <c r="C14" s="1037"/>
      <c r="D14" s="1041">
        <v>2490</v>
      </c>
      <c r="E14" s="1742">
        <f>'Expenditures 15-22'!K56</f>
        <v>0</v>
      </c>
      <c r="F14" s="1039"/>
      <c r="G14" s="1742">
        <f t="shared" si="0"/>
        <v>0</v>
      </c>
      <c r="H14" s="1040"/>
      <c r="I14" s="1039"/>
      <c r="J14" s="1742">
        <f t="shared" si="1"/>
        <v>0</v>
      </c>
    </row>
    <row r="15" spans="1:17" ht="15" customHeight="1">
      <c r="A15" s="1035">
        <v>4</v>
      </c>
      <c r="B15" s="1036" t="s">
        <v>1068</v>
      </c>
      <c r="C15" s="1037"/>
      <c r="D15" s="1038">
        <v>2510</v>
      </c>
      <c r="E15" s="1742">
        <f>'Expenditures 15-22'!K59</f>
        <v>0</v>
      </c>
      <c r="F15" s="1742">
        <f>'Expenditures 15-22'!K122</f>
        <v>0</v>
      </c>
      <c r="G15" s="1742">
        <f t="shared" si="0"/>
        <v>0</v>
      </c>
      <c r="H15" s="1040"/>
      <c r="I15" s="1040"/>
      <c r="J15" s="1742">
        <f t="shared" si="1"/>
        <v>0</v>
      </c>
    </row>
    <row r="16" spans="1:17" ht="15" customHeight="1">
      <c r="A16" s="1035">
        <v>5</v>
      </c>
      <c r="B16" s="1036" t="s">
        <v>101</v>
      </c>
      <c r="C16" s="1037"/>
      <c r="D16" s="1038">
        <v>2570</v>
      </c>
      <c r="E16" s="1742">
        <f>'Expenditures 15-22'!K64</f>
        <v>0</v>
      </c>
      <c r="F16" s="1039"/>
      <c r="G16" s="1742">
        <f t="shared" si="0"/>
        <v>0</v>
      </c>
      <c r="H16" s="1040"/>
      <c r="I16" s="1039"/>
      <c r="J16" s="1742">
        <f t="shared" si="1"/>
        <v>0</v>
      </c>
    </row>
    <row r="17" spans="1:10" ht="15" customHeight="1">
      <c r="A17" s="1035">
        <v>6</v>
      </c>
      <c r="B17" s="1036" t="s">
        <v>1060</v>
      </c>
      <c r="C17" s="1037"/>
      <c r="D17" s="1038">
        <v>2610</v>
      </c>
      <c r="E17" s="1742">
        <f>'Expenditures 15-22'!K67</f>
        <v>0</v>
      </c>
      <c r="F17" s="1039"/>
      <c r="G17" s="1742">
        <f t="shared" si="0"/>
        <v>0</v>
      </c>
      <c r="H17" s="1040"/>
      <c r="I17" s="1039"/>
      <c r="J17" s="1742">
        <f t="shared" si="1"/>
        <v>0</v>
      </c>
    </row>
    <row r="18" spans="1:10" ht="22.5" customHeight="1">
      <c r="A18" s="1042">
        <v>7</v>
      </c>
      <c r="B18" s="2344" t="s">
        <v>7</v>
      </c>
      <c r="C18" s="2345"/>
      <c r="D18" s="2346"/>
      <c r="E18" s="1043"/>
      <c r="F18" s="1043"/>
      <c r="G18" s="1743">
        <f t="shared" si="0"/>
        <v>0</v>
      </c>
      <c r="H18" s="1040"/>
      <c r="I18" s="1040"/>
      <c r="J18" s="1742">
        <f t="shared" si="1"/>
        <v>0</v>
      </c>
    </row>
    <row r="19" spans="1:10" ht="12.95" customHeight="1" thickBot="1">
      <c r="A19" s="1035">
        <v>8</v>
      </c>
      <c r="B19" s="1044" t="s">
        <v>1161</v>
      </c>
      <c r="D19" s="1045"/>
      <c r="E19" s="1744">
        <f t="shared" ref="E19:J19" si="2">SUM(E12:E17)-E18</f>
        <v>117745</v>
      </c>
      <c r="F19" s="1744">
        <f t="shared" si="2"/>
        <v>0</v>
      </c>
      <c r="G19" s="1744">
        <f t="shared" si="2"/>
        <v>117745</v>
      </c>
      <c r="H19" s="1744">
        <f t="shared" si="2"/>
        <v>52500</v>
      </c>
      <c r="I19" s="1744">
        <f t="shared" si="2"/>
        <v>0</v>
      </c>
      <c r="J19" s="1744">
        <f t="shared" si="2"/>
        <v>52500</v>
      </c>
    </row>
    <row r="20" spans="1:10" ht="13.5" thickTop="1">
      <c r="A20" s="1035">
        <v>9</v>
      </c>
      <c r="B20" s="2347" t="s">
        <v>1941</v>
      </c>
      <c r="C20" s="2347"/>
      <c r="D20" s="2348"/>
      <c r="E20" s="1046"/>
      <c r="F20" s="1046"/>
      <c r="G20" s="1046"/>
      <c r="H20" s="1046"/>
      <c r="I20" s="1046"/>
      <c r="J20" s="1745">
        <f>IF(AND(G19&gt;0,J19&gt;0),(((J19-G19)/G19)),"Enter Budget Data")</f>
        <v>-0.55412119410590688</v>
      </c>
    </row>
    <row r="21" spans="1:10" ht="9.1999999999999993" customHeight="1">
      <c r="B21" s="1047"/>
    </row>
    <row r="22" spans="1:10">
      <c r="A22" s="1048" t="s">
        <v>133</v>
      </c>
      <c r="B22" s="1047"/>
    </row>
    <row r="23" spans="1:10">
      <c r="A23" s="1011" t="s">
        <v>1942</v>
      </c>
      <c r="B23" s="1047"/>
    </row>
    <row r="24" spans="1:10">
      <c r="A24" s="1011" t="s">
        <v>1954</v>
      </c>
      <c r="B24" s="1047"/>
    </row>
    <row r="25" spans="1:10">
      <c r="A25" s="1049"/>
      <c r="B25" s="1047"/>
    </row>
    <row r="26" spans="1:10" ht="20.25" customHeight="1">
      <c r="B26" s="1047"/>
      <c r="C26" s="2353"/>
      <c r="D26" s="2353"/>
      <c r="E26" s="1050"/>
      <c r="F26" s="2352"/>
      <c r="G26" s="2352"/>
    </row>
    <row r="27" spans="1:10">
      <c r="B27" s="1047"/>
      <c r="C27" s="1051" t="s">
        <v>1033</v>
      </c>
      <c r="D27" s="1052"/>
      <c r="E27" s="1053"/>
      <c r="F27" s="2349" t="s">
        <v>1488</v>
      </c>
      <c r="G27" s="2349"/>
    </row>
    <row r="28" spans="1:10" ht="28.5" customHeight="1">
      <c r="B28" s="1047"/>
      <c r="C28" s="2351"/>
      <c r="D28" s="2351"/>
      <c r="E28" s="1054"/>
      <c r="F28" s="2351"/>
      <c r="G28" s="2351"/>
    </row>
    <row r="29" spans="1:10">
      <c r="B29" s="1047"/>
      <c r="C29" s="1055" t="s">
        <v>1540</v>
      </c>
      <c r="E29" s="1056"/>
      <c r="F29" s="2350" t="s">
        <v>1489</v>
      </c>
      <c r="G29" s="2350"/>
    </row>
    <row r="30" spans="1:10" ht="9.1999999999999993" customHeight="1">
      <c r="B30" s="1047"/>
      <c r="C30" s="1057"/>
      <c r="E30" s="1058"/>
      <c r="F30" s="1059"/>
      <c r="G30" s="1059"/>
    </row>
    <row r="31" spans="1:10" ht="15" customHeight="1">
      <c r="A31" s="1011"/>
      <c r="B31" s="1060" t="s">
        <v>1034</v>
      </c>
    </row>
    <row r="32" spans="1:10" ht="9.1999999999999993" customHeight="1">
      <c r="A32" s="1011"/>
      <c r="B32" s="1048"/>
    </row>
    <row r="33" spans="1:10" ht="12.95" customHeight="1">
      <c r="A33" s="1011"/>
      <c r="B33" s="1061"/>
      <c r="C33" s="2332" t="s">
        <v>132</v>
      </c>
      <c r="D33" s="2333"/>
      <c r="E33" s="2333"/>
      <c r="F33" s="2333"/>
      <c r="G33" s="2333"/>
      <c r="H33" s="2333"/>
      <c r="I33" s="2333"/>
    </row>
    <row r="34" spans="1:10" ht="10.35" customHeight="1">
      <c r="C34" s="2333"/>
      <c r="D34" s="2333"/>
      <c r="E34" s="2333"/>
      <c r="F34" s="2333"/>
      <c r="G34" s="2333"/>
      <c r="H34" s="2333"/>
      <c r="I34" s="2333"/>
    </row>
    <row r="35" spans="1:10" ht="7.5" customHeight="1">
      <c r="C35" s="1062"/>
    </row>
    <row r="36" spans="1:10" ht="13.5" customHeight="1">
      <c r="B36" s="1061"/>
      <c r="C36" s="2334" t="s">
        <v>1943</v>
      </c>
      <c r="D36" s="2333"/>
      <c r="E36" s="2333"/>
      <c r="F36" s="2333"/>
      <c r="G36" s="2333"/>
      <c r="H36" s="2333"/>
      <c r="I36" s="2333"/>
      <c r="J36" s="1063"/>
    </row>
    <row r="37" spans="1:10" ht="22.5" customHeight="1">
      <c r="C37" s="2333"/>
      <c r="D37" s="2333"/>
      <c r="E37" s="2333"/>
      <c r="F37" s="2333"/>
      <c r="G37" s="2333"/>
      <c r="H37" s="2333"/>
      <c r="I37" s="2333"/>
      <c r="J37" s="1063"/>
    </row>
    <row r="38" spans="1:10" ht="7.5" customHeight="1">
      <c r="C38" s="1062"/>
      <c r="D38" s="1064"/>
      <c r="E38" s="1065"/>
      <c r="F38" s="1066"/>
      <c r="G38" s="1065"/>
    </row>
    <row r="39" spans="1:10" ht="13.5" customHeight="1">
      <c r="B39" s="1061"/>
      <c r="C39" s="2330" t="s">
        <v>882</v>
      </c>
      <c r="D39" s="2331"/>
      <c r="E39" s="2331"/>
      <c r="F39" s="2331"/>
      <c r="G39" s="2331"/>
      <c r="H39" s="2331"/>
      <c r="I39" s="2331"/>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J4" sqref="J4"/>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1819</v>
      </c>
      <c r="C4" s="162" t="s">
        <v>1169</v>
      </c>
      <c r="D4" s="169" t="s">
        <v>10</v>
      </c>
      <c r="E4" s="170" t="s">
        <v>22</v>
      </c>
    </row>
    <row r="5" spans="1:5">
      <c r="A5" s="168" t="s">
        <v>1821</v>
      </c>
      <c r="C5" s="162" t="s">
        <v>1169</v>
      </c>
      <c r="D5" s="169" t="s">
        <v>10</v>
      </c>
      <c r="E5" s="170" t="s">
        <v>22</v>
      </c>
    </row>
    <row r="6" spans="1:5">
      <c r="A6" s="168" t="s">
        <v>1820</v>
      </c>
      <c r="C6" s="162" t="s">
        <v>1169</v>
      </c>
      <c r="D6" s="167" t="s">
        <v>11</v>
      </c>
      <c r="E6" s="170" t="s">
        <v>941</v>
      </c>
    </row>
    <row r="7" spans="1:5">
      <c r="A7" s="168" t="s">
        <v>1822</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1823</v>
      </c>
      <c r="C11" s="162" t="s">
        <v>1169</v>
      </c>
      <c r="D11" s="169" t="s">
        <v>14</v>
      </c>
      <c r="E11" s="170" t="s">
        <v>1156</v>
      </c>
    </row>
    <row r="12" spans="1:5">
      <c r="B12" s="169" t="s">
        <v>1824</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1825</v>
      </c>
      <c r="C15" s="162" t="s">
        <v>1169</v>
      </c>
      <c r="D15" s="169" t="s">
        <v>17</v>
      </c>
      <c r="E15" s="170" t="s">
        <v>636</v>
      </c>
    </row>
    <row r="16" spans="1:5">
      <c r="A16" s="172"/>
      <c r="B16" s="162" t="s">
        <v>1826</v>
      </c>
      <c r="C16" s="162" t="s">
        <v>1169</v>
      </c>
      <c r="D16" s="169" t="s">
        <v>681</v>
      </c>
      <c r="E16" s="170" t="s">
        <v>1040</v>
      </c>
    </row>
    <row r="17" spans="1:5">
      <c r="B17" s="167" t="s">
        <v>988</v>
      </c>
      <c r="C17" s="162" t="s">
        <v>1169</v>
      </c>
    </row>
    <row r="18" spans="1:5">
      <c r="B18" s="167" t="s">
        <v>1832</v>
      </c>
      <c r="D18" s="169" t="s">
        <v>18</v>
      </c>
      <c r="E18" s="170" t="s">
        <v>1041</v>
      </c>
    </row>
    <row r="19" spans="1:5">
      <c r="A19" s="168" t="s">
        <v>1099</v>
      </c>
      <c r="C19" s="162" t="s">
        <v>1169</v>
      </c>
      <c r="D19" s="169"/>
      <c r="E19" s="171"/>
    </row>
    <row r="20" spans="1:5">
      <c r="B20" s="167" t="s">
        <v>1827</v>
      </c>
      <c r="C20" s="162" t="s">
        <v>1169</v>
      </c>
      <c r="D20" s="169" t="s">
        <v>19</v>
      </c>
      <c r="E20" s="170" t="s">
        <v>51</v>
      </c>
    </row>
    <row r="21" spans="1:5">
      <c r="B21" s="167" t="s">
        <v>1828</v>
      </c>
      <c r="C21" s="162" t="s">
        <v>1169</v>
      </c>
      <c r="D21" s="169" t="s">
        <v>20</v>
      </c>
      <c r="E21" s="170" t="s">
        <v>1583</v>
      </c>
    </row>
    <row r="22" spans="1:5">
      <c r="A22" s="168"/>
      <c r="B22" s="162" t="s">
        <v>1816</v>
      </c>
      <c r="C22" s="162" t="s">
        <v>1169</v>
      </c>
      <c r="D22" s="167" t="s">
        <v>1818</v>
      </c>
      <c r="E22" s="1767" t="s">
        <v>1584</v>
      </c>
    </row>
    <row r="23" spans="1:5">
      <c r="A23" s="168"/>
      <c r="B23" s="162" t="s">
        <v>1817</v>
      </c>
      <c r="D23" s="167" t="s">
        <v>637</v>
      </c>
      <c r="E23" s="1767" t="s">
        <v>959</v>
      </c>
    </row>
    <row r="24" spans="1:5">
      <c r="A24" s="168" t="s">
        <v>1582</v>
      </c>
      <c r="C24" s="162" t="s">
        <v>1169</v>
      </c>
      <c r="D24" s="167" t="s">
        <v>1372</v>
      </c>
      <c r="E24" s="170" t="s">
        <v>960</v>
      </c>
    </row>
    <row r="25" spans="1:5">
      <c r="A25" s="168" t="s">
        <v>1829</v>
      </c>
      <c r="C25" s="162" t="s">
        <v>1169</v>
      </c>
      <c r="D25" s="169" t="s">
        <v>21</v>
      </c>
      <c r="E25" s="170" t="s">
        <v>1042</v>
      </c>
    </row>
    <row r="26" spans="1:5">
      <c r="A26" s="168" t="s">
        <v>1830</v>
      </c>
      <c r="C26" s="162" t="s">
        <v>1169</v>
      </c>
      <c r="D26" s="169" t="s">
        <v>563</v>
      </c>
      <c r="E26" s="170" t="s">
        <v>1043</v>
      </c>
    </row>
    <row r="27" spans="1:5">
      <c r="A27" s="168" t="s">
        <v>1831</v>
      </c>
      <c r="C27" s="162" t="s">
        <v>1169</v>
      </c>
      <c r="D27" s="169" t="s">
        <v>557</v>
      </c>
      <c r="E27" s="170" t="s">
        <v>683</v>
      </c>
    </row>
    <row r="28" spans="1:5">
      <c r="A28" s="168" t="s">
        <v>1833</v>
      </c>
      <c r="D28" s="169" t="s">
        <v>684</v>
      </c>
      <c r="E28" s="170" t="s">
        <v>1345</v>
      </c>
    </row>
    <row r="29" spans="1:5">
      <c r="A29" s="168" t="s">
        <v>1834</v>
      </c>
      <c r="D29" s="169" t="s">
        <v>1373</v>
      </c>
      <c r="E29" s="170" t="s">
        <v>1354</v>
      </c>
    </row>
    <row r="30" spans="1:5">
      <c r="A30" s="173" t="s">
        <v>1835</v>
      </c>
      <c r="C30" s="162" t="s">
        <v>1169</v>
      </c>
      <c r="D30" s="169" t="s">
        <v>40</v>
      </c>
      <c r="E30" s="170" t="s">
        <v>982</v>
      </c>
    </row>
    <row r="31" spans="1:5">
      <c r="A31" s="168" t="s">
        <v>1500</v>
      </c>
      <c r="C31" s="162" t="s">
        <v>1169</v>
      </c>
      <c r="D31" s="167"/>
      <c r="E31" s="171"/>
    </row>
    <row r="32" spans="1:5">
      <c r="B32" s="167" t="s">
        <v>1836</v>
      </c>
      <c r="C32" s="162" t="s">
        <v>1169</v>
      </c>
      <c r="D32" s="169" t="s">
        <v>1501</v>
      </c>
      <c r="E32" s="170" t="s">
        <v>1374</v>
      </c>
    </row>
    <row r="33" spans="1:5">
      <c r="A33" s="172"/>
      <c r="D33" s="169"/>
      <c r="E33" s="171"/>
    </row>
    <row r="34" spans="1:5">
      <c r="A34" s="172"/>
      <c r="D34" s="169"/>
      <c r="E34" s="171"/>
    </row>
    <row r="35" spans="1:5" ht="15.75" customHeight="1" thickBot="1">
      <c r="A35" s="2071" t="s">
        <v>1065</v>
      </c>
      <c r="B35" s="2071"/>
      <c r="C35" s="2071"/>
      <c r="D35" s="2071"/>
      <c r="E35" s="207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68" t="s">
        <v>691</v>
      </c>
      <c r="B40" s="2068"/>
      <c r="C40" s="2068"/>
      <c r="D40" s="2068"/>
      <c r="E40" s="2068"/>
    </row>
    <row r="41" spans="1:5">
      <c r="A41" s="2069" t="s">
        <v>1581</v>
      </c>
      <c r="B41" s="2069"/>
      <c r="C41" s="2069"/>
      <c r="D41" s="2069"/>
      <c r="E41" s="2069"/>
    </row>
    <row r="42" spans="1:5" ht="12.95" customHeight="1">
      <c r="A42" s="2070" t="s">
        <v>1022</v>
      </c>
      <c r="B42" s="2070"/>
      <c r="C42" s="2070"/>
      <c r="D42" s="2070"/>
      <c r="E42" s="2070"/>
    </row>
    <row r="43" spans="1:5" ht="6.75" customHeight="1">
      <c r="A43" s="167"/>
      <c r="B43" s="176"/>
    </row>
    <row r="44" spans="1:5">
      <c r="A44" s="185" t="s">
        <v>983</v>
      </c>
      <c r="B44" s="186" t="s">
        <v>1862</v>
      </c>
    </row>
    <row r="45" spans="1:5" ht="6.75" customHeight="1">
      <c r="A45" s="187"/>
      <c r="B45" s="186"/>
    </row>
    <row r="46" spans="1:5">
      <c r="A46" s="185" t="s">
        <v>984</v>
      </c>
      <c r="B46" s="169" t="s">
        <v>1586</v>
      </c>
    </row>
    <row r="47" spans="1:5" ht="9.75" customHeight="1">
      <c r="A47" s="189"/>
      <c r="B47" s="188"/>
    </row>
    <row r="48" spans="1:5">
      <c r="A48" s="169" t="s">
        <v>1585</v>
      </c>
      <c r="B48" s="169" t="s">
        <v>1590</v>
      </c>
      <c r="C48" s="177"/>
    </row>
    <row r="49" spans="1:3" ht="9.75" customHeight="1">
      <c r="A49" s="188"/>
      <c r="B49" s="188"/>
      <c r="C49" s="177"/>
    </row>
    <row r="50" spans="1:3">
      <c r="A50" s="200" t="s">
        <v>1587</v>
      </c>
      <c r="B50" s="198" t="s">
        <v>1591</v>
      </c>
    </row>
    <row r="51" spans="1:3">
      <c r="B51" s="169" t="s">
        <v>1733</v>
      </c>
    </row>
    <row r="52" spans="1:3">
      <c r="A52" s="190"/>
      <c r="B52" s="188" t="s">
        <v>1753</v>
      </c>
    </row>
    <row r="53" spans="1:3" ht="4.5" customHeight="1">
      <c r="A53" s="190"/>
      <c r="B53" s="190"/>
    </row>
    <row r="54" spans="1:3">
      <c r="A54" s="190"/>
      <c r="B54" s="201" t="s">
        <v>1588</v>
      </c>
    </row>
    <row r="55" spans="1:3" ht="8.25" customHeight="1">
      <c r="A55" s="190"/>
      <c r="B55" s="191"/>
    </row>
    <row r="56" spans="1:3">
      <c r="A56" s="192"/>
      <c r="B56" s="169" t="s">
        <v>1734</v>
      </c>
    </row>
    <row r="57" spans="1:3">
      <c r="A57" s="193"/>
      <c r="B57" s="190" t="s">
        <v>1736</v>
      </c>
    </row>
    <row r="58" spans="1:3">
      <c r="A58" s="194"/>
      <c r="B58" s="190" t="s">
        <v>1737</v>
      </c>
    </row>
    <row r="59" spans="1:3">
      <c r="A59" s="195"/>
      <c r="B59" s="1417" t="s">
        <v>1738</v>
      </c>
    </row>
    <row r="60" spans="1:3">
      <c r="A60" s="196"/>
      <c r="B60" s="1417" t="s">
        <v>1739</v>
      </c>
    </row>
    <row r="61" spans="1:3" ht="6" customHeight="1">
      <c r="A61" s="197"/>
      <c r="B61" s="189"/>
    </row>
    <row r="62" spans="1:3">
      <c r="A62" s="169" t="s">
        <v>1589</v>
      </c>
      <c r="B62" s="198" t="s">
        <v>1735</v>
      </c>
    </row>
    <row r="63" spans="1:3">
      <c r="A63" s="188"/>
      <c r="B63" s="169" t="s">
        <v>1750</v>
      </c>
    </row>
    <row r="64" spans="1:3">
      <c r="A64" s="195"/>
      <c r="B64" s="1419" t="s">
        <v>1740</v>
      </c>
    </row>
    <row r="65" spans="1:9">
      <c r="A65" s="188"/>
      <c r="B65" s="169" t="s">
        <v>1751</v>
      </c>
    </row>
    <row r="66" spans="1:9">
      <c r="A66" s="190"/>
      <c r="B66" s="190" t="s">
        <v>1741</v>
      </c>
    </row>
    <row r="67" spans="1:9" ht="12" customHeight="1">
      <c r="A67" s="188"/>
      <c r="B67" s="169" t="s">
        <v>1752</v>
      </c>
    </row>
    <row r="68" spans="1:9">
      <c r="A68" s="189"/>
      <c r="B68" s="190" t="s">
        <v>1742</v>
      </c>
    </row>
    <row r="69" spans="1:9">
      <c r="A69" s="190"/>
      <c r="B69" s="188" t="s">
        <v>1743</v>
      </c>
    </row>
    <row r="70" spans="1:9" ht="13.5" customHeight="1">
      <c r="A70" s="190"/>
      <c r="B70" s="188" t="s">
        <v>1744</v>
      </c>
    </row>
    <row r="71" spans="1:9" ht="12" customHeight="1">
      <c r="A71" s="192"/>
      <c r="B71" s="1418" t="s">
        <v>1592</v>
      </c>
    </row>
    <row r="72" spans="1:9" ht="9.1999999999999993" customHeight="1">
      <c r="A72" s="192"/>
      <c r="B72" s="199"/>
    </row>
    <row r="73" spans="1:9">
      <c r="A73" s="189" t="s">
        <v>1593</v>
      </c>
      <c r="B73" s="169" t="s">
        <v>1746</v>
      </c>
    </row>
    <row r="74" spans="1:9">
      <c r="A74" s="189"/>
      <c r="B74" s="169" t="s">
        <v>1745</v>
      </c>
    </row>
    <row r="75" spans="1:9" ht="8.25" customHeight="1">
      <c r="A75" s="189"/>
      <c r="B75" s="189"/>
    </row>
    <row r="76" spans="1:9" ht="12.2" customHeight="1">
      <c r="A76" s="189" t="s">
        <v>1594</v>
      </c>
      <c r="B76" s="198" t="s">
        <v>1747</v>
      </c>
    </row>
    <row r="77" spans="1:9" ht="12.2" customHeight="1">
      <c r="A77" s="190"/>
      <c r="B77" s="169" t="s">
        <v>1595</v>
      </c>
      <c r="C77" s="179"/>
      <c r="D77" s="180"/>
      <c r="E77" s="181"/>
      <c r="F77" s="181"/>
      <c r="G77" s="181"/>
      <c r="H77" s="181"/>
      <c r="I77" s="181"/>
    </row>
    <row r="78" spans="1:9" ht="11.25" customHeight="1">
      <c r="A78" s="190"/>
      <c r="B78" s="190" t="s">
        <v>1749</v>
      </c>
      <c r="C78" s="179"/>
      <c r="D78" s="182"/>
      <c r="E78" s="182"/>
      <c r="F78" s="182"/>
      <c r="G78" s="182"/>
      <c r="H78" s="182"/>
      <c r="I78" s="181"/>
    </row>
    <row r="79" spans="1:9" ht="12.2" customHeight="1">
      <c r="A79" s="190"/>
      <c r="B79" s="169" t="s">
        <v>1596</v>
      </c>
      <c r="C79" s="179"/>
      <c r="D79" s="182"/>
      <c r="E79" s="182"/>
      <c r="F79" s="182"/>
      <c r="G79" s="182"/>
      <c r="H79" s="182"/>
      <c r="I79" s="181"/>
    </row>
    <row r="80" spans="1:9" ht="11.25" customHeight="1">
      <c r="A80" s="189"/>
      <c r="B80" s="190" t="s">
        <v>1748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0" sqref="B10"/>
    </sheetView>
  </sheetViews>
  <sheetFormatPr defaultColWidth="9.140625" defaultRowHeight="12.75"/>
  <cols>
    <col min="1" max="1" width="3.85546875"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1869" t="s">
        <v>2058</v>
      </c>
    </row>
    <row r="6" spans="1:2">
      <c r="A6" s="1068">
        <v>2</v>
      </c>
      <c r="B6" s="1869" t="s">
        <v>2059</v>
      </c>
    </row>
    <row r="7" spans="1:2" ht="24">
      <c r="A7" s="1068">
        <v>3</v>
      </c>
      <c r="B7" s="1870" t="s">
        <v>2060</v>
      </c>
    </row>
    <row r="8" spans="1:2">
      <c r="A8" s="1068">
        <v>4</v>
      </c>
      <c r="B8" s="1869" t="s">
        <v>2061</v>
      </c>
    </row>
    <row r="9" spans="1:2">
      <c r="A9" s="1069">
        <v>5</v>
      </c>
      <c r="B9" s="1869" t="s">
        <v>2169</v>
      </c>
    </row>
    <row r="10" spans="1:2">
      <c r="A10" s="1069">
        <v>6</v>
      </c>
      <c r="B10" s="1869" t="s">
        <v>2062</v>
      </c>
    </row>
    <row r="11" spans="1:2">
      <c r="A11" s="1069">
        <v>7</v>
      </c>
      <c r="B11" s="1869" t="s">
        <v>2063</v>
      </c>
    </row>
    <row r="12" spans="1:2">
      <c r="A12" s="1069">
        <v>8</v>
      </c>
      <c r="B12" s="1869" t="s">
        <v>2064</v>
      </c>
    </row>
    <row r="13" spans="1:2">
      <c r="A13" s="1069">
        <v>9</v>
      </c>
      <c r="B13" s="1869" t="s">
        <v>2065</v>
      </c>
    </row>
    <row r="14" spans="1:2">
      <c r="A14" s="1069">
        <v>10</v>
      </c>
      <c r="B14" s="1869" t="s">
        <v>2057</v>
      </c>
    </row>
    <row r="15" spans="1:2">
      <c r="A15" s="1069">
        <v>11</v>
      </c>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Rochelle CCSD 231</v>
      </c>
    </row>
    <row r="65" spans="2:2">
      <c r="B65" s="1070">
        <f>COVER!A13</f>
        <v>47071231004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X29" sqref="X2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1393</v>
      </c>
      <c r="D6" s="24"/>
    </row>
    <row r="7" spans="1:4" ht="13.5" customHeight="1">
      <c r="A7" s="23"/>
      <c r="B7" s="25"/>
      <c r="C7" s="65" t="s">
        <v>1394</v>
      </c>
      <c r="D7" s="24"/>
    </row>
    <row r="8" spans="1:4" ht="13.5" customHeight="1">
      <c r="A8" s="23"/>
      <c r="B8" s="146" t="s">
        <v>943</v>
      </c>
      <c r="C8" s="65" t="s">
        <v>1379</v>
      </c>
      <c r="D8" s="24"/>
    </row>
    <row r="9" spans="1:4" ht="13.5" customHeight="1">
      <c r="A9" s="14"/>
      <c r="B9" s="144" t="s">
        <v>944</v>
      </c>
      <c r="C9" s="142" t="s">
        <v>1298</v>
      </c>
    </row>
    <row r="10" spans="1:4" ht="13.5" customHeight="1">
      <c r="B10" s="18" t="s">
        <v>945</v>
      </c>
      <c r="C10" s="15" t="s">
        <v>909</v>
      </c>
    </row>
    <row r="11" spans="1:4" ht="12.95" customHeight="1">
      <c r="B11" s="18" t="s">
        <v>946</v>
      </c>
      <c r="C11" s="16" t="s">
        <v>859</v>
      </c>
    </row>
    <row r="12" spans="1:4" ht="21.75" customHeight="1">
      <c r="B12" s="18" t="s">
        <v>947</v>
      </c>
      <c r="C12" s="145" t="s">
        <v>1378</v>
      </c>
    </row>
    <row r="13" spans="1:4" s="19" customFormat="1" ht="12.95" customHeight="1">
      <c r="B13" s="18" t="s">
        <v>915</v>
      </c>
      <c r="C13" s="16" t="s">
        <v>1127</v>
      </c>
    </row>
    <row r="14" spans="1:4" ht="21.75" customHeight="1">
      <c r="B14" s="18" t="s">
        <v>916</v>
      </c>
      <c r="C14" s="16" t="s">
        <v>843</v>
      </c>
    </row>
    <row r="15" spans="1:4" ht="12.95" customHeight="1">
      <c r="B15" s="143" t="s">
        <v>1304</v>
      </c>
      <c r="C15" s="142" t="s">
        <v>1305</v>
      </c>
    </row>
    <row r="16" spans="1:4" ht="12.95" customHeight="1">
      <c r="C16" s="142" t="s">
        <v>1306</v>
      </c>
    </row>
    <row r="17" spans="3:3" ht="12.95" customHeight="1">
      <c r="C17" s="66" t="s">
        <v>1307</v>
      </c>
    </row>
    <row r="19" spans="3:3">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3" sqref="B3"/>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1472</v>
      </c>
    </row>
    <row r="15" spans="1:6">
      <c r="A15" s="389" t="s">
        <v>857</v>
      </c>
    </row>
    <row r="16" spans="1:6" s="1071" customFormat="1" ht="45.2" customHeight="1">
      <c r="A16" s="1073"/>
      <c r="B16" s="1073" t="s">
        <v>1657</v>
      </c>
    </row>
    <row r="17" spans="1:2" ht="6" customHeight="1"/>
    <row r="18" spans="1:2" ht="24.75" customHeight="1">
      <c r="A18" s="2354" t="s">
        <v>1658</v>
      </c>
      <c r="B18" s="235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114300</xdr:colOff>
                <xdr:row>5</xdr:row>
                <xdr:rowOff>0</xdr:rowOff>
              </from>
              <to>
                <xdr:col>1</xdr:col>
                <xdr:colOff>1028700</xdr:colOff>
                <xdr:row>9</xdr:row>
                <xdr:rowOff>38100</xdr:rowOff>
              </to>
            </anchor>
          </objectPr>
        </oleObject>
      </mc:Choice>
      <mc:Fallback>
        <oleObject progId="Acrobat Document" dvAspect="DVASPECT_ICON" shapeId="36866"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3" zoomScale="110" zoomScaleNormal="110" workbookViewId="0">
      <selection activeCell="X29" sqref="X29"/>
    </sheetView>
  </sheetViews>
  <sheetFormatPr defaultColWidth="9.140625" defaultRowHeight="12.75"/>
  <cols>
    <col min="1" max="1" width="33.85546875" style="316" customWidth="1"/>
    <col min="2" max="6" width="16.7109375" style="316" customWidth="1"/>
    <col min="7" max="16384" width="9.140625" style="316"/>
  </cols>
  <sheetData>
    <row r="1" spans="1:8" ht="48.95" customHeight="1">
      <c r="A1" s="2355" t="s">
        <v>1663</v>
      </c>
      <c r="B1" s="2356"/>
      <c r="C1" s="2356"/>
      <c r="D1" s="2356"/>
      <c r="E1" s="2356"/>
      <c r="F1" s="2357"/>
    </row>
    <row r="2" spans="1:8" ht="45.2" customHeight="1">
      <c r="A2" s="2365" t="s">
        <v>1947</v>
      </c>
      <c r="B2" s="2366"/>
      <c r="C2" s="2366"/>
      <c r="D2" s="2366"/>
      <c r="E2" s="2366"/>
      <c r="F2" s="2367"/>
      <c r="G2" s="1074"/>
      <c r="H2" s="1074"/>
    </row>
    <row r="3" spans="1:8" ht="57" customHeight="1">
      <c r="A3" s="2368" t="s">
        <v>1659</v>
      </c>
      <c r="B3" s="2369"/>
      <c r="C3" s="2369"/>
      <c r="D3" s="2369"/>
      <c r="E3" s="2369"/>
      <c r="F3" s="2370"/>
      <c r="G3" s="1074"/>
      <c r="H3" s="1074"/>
    </row>
    <row r="4" spans="1:8" ht="14.25" customHeight="1">
      <c r="A4" s="2374" t="s">
        <v>1948</v>
      </c>
      <c r="B4" s="2375"/>
      <c r="C4" s="2375"/>
      <c r="D4" s="2375"/>
      <c r="E4" s="2375"/>
      <c r="F4" s="2376"/>
      <c r="G4" s="1074"/>
      <c r="H4" s="1074"/>
    </row>
    <row r="5" spans="1:8" ht="14.25" customHeight="1">
      <c r="A5" s="2377" t="s">
        <v>1944</v>
      </c>
      <c r="B5" s="2378"/>
      <c r="C5" s="2378"/>
      <c r="D5" s="2378"/>
      <c r="E5" s="2378"/>
      <c r="F5" s="2379"/>
      <c r="G5" s="1074"/>
      <c r="H5" s="1074"/>
    </row>
    <row r="6" spans="1:8" s="1075" customFormat="1" ht="41.25" customHeight="1">
      <c r="A6" s="2371" t="s">
        <v>1664</v>
      </c>
      <c r="B6" s="2372"/>
      <c r="C6" s="2372"/>
      <c r="D6" s="2372"/>
      <c r="E6" s="2372"/>
      <c r="F6" s="2373"/>
    </row>
    <row r="7" spans="1:8" ht="42" customHeight="1">
      <c r="A7" s="1076" t="s">
        <v>481</v>
      </c>
      <c r="B7" s="1077" t="s">
        <v>1475</v>
      </c>
      <c r="C7" s="1077" t="s">
        <v>1476</v>
      </c>
      <c r="D7" s="1077" t="s">
        <v>1474</v>
      </c>
      <c r="E7" s="1077" t="s">
        <v>1477</v>
      </c>
      <c r="F7" s="1077" t="s">
        <v>1346</v>
      </c>
    </row>
    <row r="8" spans="1:8" s="1079" customFormat="1" ht="14.25" customHeight="1">
      <c r="A8" s="1078" t="s">
        <v>1347</v>
      </c>
      <c r="B8" s="1746">
        <f>'Acct Summary 7-8'!C8</f>
        <v>12875188</v>
      </c>
      <c r="C8" s="1746">
        <f>'Acct Summary 7-8'!D8</f>
        <v>1358935</v>
      </c>
      <c r="D8" s="1746">
        <f>'Acct Summary 7-8'!F8</f>
        <v>938546</v>
      </c>
      <c r="E8" s="1746">
        <f>'Acct Summary 7-8'!I8</f>
        <v>163509</v>
      </c>
      <c r="F8" s="1746">
        <f>SUM(B8:E8)</f>
        <v>15336178</v>
      </c>
    </row>
    <row r="9" spans="1:8" s="1079" customFormat="1" ht="14.25" customHeight="1" thickBot="1">
      <c r="A9" s="1078" t="s">
        <v>1348</v>
      </c>
      <c r="B9" s="1747">
        <f>'Acct Summary 7-8'!C17</f>
        <v>13112126</v>
      </c>
      <c r="C9" s="1747">
        <f>'Acct Summary 7-8'!D17</f>
        <v>1401002</v>
      </c>
      <c r="D9" s="1747">
        <f>'Acct Summary 7-8'!F17</f>
        <v>1156174</v>
      </c>
      <c r="E9" s="1746"/>
      <c r="F9" s="1746">
        <f>SUM(B9:E9)</f>
        <v>15669302</v>
      </c>
    </row>
    <row r="10" spans="1:8" s="1079" customFormat="1" ht="14.25" thickTop="1" thickBot="1">
      <c r="A10" s="1080" t="s">
        <v>1349</v>
      </c>
      <c r="B10" s="1748">
        <f>(B8-B9)</f>
        <v>-236938</v>
      </c>
      <c r="C10" s="1748">
        <f>(C8-C9)</f>
        <v>-42067</v>
      </c>
      <c r="D10" s="1748">
        <f>(D8-D9)</f>
        <v>-217628</v>
      </c>
      <c r="E10" s="1747">
        <f>(E8-E9)</f>
        <v>163509</v>
      </c>
      <c r="F10" s="1749">
        <f>SUM(F8-F9)</f>
        <v>-333124</v>
      </c>
    </row>
    <row r="11" spans="1:8" s="1079" customFormat="1" ht="14.25" thickTop="1" thickBot="1">
      <c r="A11" s="1081" t="s">
        <v>1945</v>
      </c>
      <c r="B11" s="1750">
        <f>'Acct Summary 7-8'!C81</f>
        <v>2690636</v>
      </c>
      <c r="C11" s="1750">
        <f>'Acct Summary 7-8'!D81</f>
        <v>5136058</v>
      </c>
      <c r="D11" s="1750">
        <f>'Acct Summary 7-8'!F81</f>
        <v>803652</v>
      </c>
      <c r="E11" s="1750">
        <f>'Acct Summary 7-8'!I81</f>
        <v>1863768</v>
      </c>
      <c r="F11" s="1751">
        <f>SUM(B11:E11)</f>
        <v>10494114</v>
      </c>
    </row>
    <row r="12" spans="1:8" ht="16.7" customHeight="1" thickTop="1">
      <c r="A12" s="1082"/>
      <c r="B12" s="1083"/>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c r="A13" s="1084"/>
      <c r="B13" s="1085"/>
      <c r="C13" s="2359"/>
      <c r="D13" s="2360"/>
      <c r="E13" s="2360"/>
      <c r="F13" s="2361"/>
      <c r="H13" s="1074"/>
    </row>
    <row r="14" spans="1:8" ht="19.5" customHeight="1">
      <c r="A14" s="1084"/>
      <c r="B14" s="1085"/>
      <c r="C14" s="2359"/>
      <c r="D14" s="2360"/>
      <c r="E14" s="2360"/>
      <c r="F14" s="2361"/>
      <c r="H14" s="1074"/>
    </row>
    <row r="15" spans="1:8" ht="17.25" customHeight="1">
      <c r="A15" s="1084"/>
      <c r="B15" s="1085"/>
      <c r="C15" s="2362"/>
      <c r="D15" s="2363"/>
      <c r="E15" s="2363"/>
      <c r="F15" s="2364"/>
      <c r="H15" s="1074"/>
    </row>
    <row r="16" spans="1:8" s="310" customFormat="1" ht="51.75" hidden="1" customHeight="1">
      <c r="A16" s="2358" t="s">
        <v>1660</v>
      </c>
      <c r="B16" s="2358"/>
      <c r="C16" s="2358"/>
      <c r="D16" s="2358"/>
      <c r="E16" s="2358"/>
      <c r="F16" s="310" t="s">
        <v>1350</v>
      </c>
    </row>
    <row r="17" spans="1:6" hidden="1">
      <c r="A17" s="316" t="s">
        <v>1661</v>
      </c>
      <c r="F17" s="1086" t="s">
        <v>1351</v>
      </c>
    </row>
    <row r="18" spans="1:6" hidden="1">
      <c r="A18" s="316" t="s">
        <v>1662</v>
      </c>
      <c r="F18" s="316" t="s">
        <v>1389</v>
      </c>
    </row>
    <row r="19" spans="1:6" hidden="1">
      <c r="A19" s="316" t="s">
        <v>1388</v>
      </c>
      <c r="F19" s="316" t="s">
        <v>1353</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G11" sqref="G11"/>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8"/>
      <c r="B2" s="1829"/>
      <c r="C2" s="1830"/>
      <c r="D2" s="1831"/>
    </row>
    <row r="3" spans="1:4" ht="36" customHeight="1">
      <c r="A3" s="2380" t="s">
        <v>665</v>
      </c>
      <c r="B3" s="2381"/>
      <c r="C3" s="2381"/>
      <c r="D3" s="2382"/>
    </row>
    <row r="4" spans="1:4">
      <c r="A4" s="1152" t="s">
        <v>1665</v>
      </c>
      <c r="B4" s="1153"/>
      <c r="C4" s="1154"/>
      <c r="D4" s="1155"/>
    </row>
    <row r="5" spans="1:4" ht="21" customHeight="1">
      <c r="A5" s="1148"/>
      <c r="B5" s="1149">
        <v>1</v>
      </c>
      <c r="C5" s="1150" t="s">
        <v>1797</v>
      </c>
      <c r="D5" s="1151"/>
    </row>
    <row r="6" spans="1:4" s="668" customFormat="1" ht="14.25" customHeight="1">
      <c r="A6" s="1138"/>
      <c r="B6" s="1093">
        <f t="shared" ref="B6:B13" si="0">B5+1</f>
        <v>2</v>
      </c>
      <c r="C6" s="1094" t="s">
        <v>864</v>
      </c>
      <c r="D6" s="1095"/>
    </row>
    <row r="7" spans="1:4" s="668" customFormat="1" ht="12.75">
      <c r="A7" s="1138"/>
      <c r="B7" s="1093">
        <f t="shared" si="0"/>
        <v>3</v>
      </c>
      <c r="C7" s="2391" t="s">
        <v>1483</v>
      </c>
      <c r="D7" s="2392"/>
    </row>
    <row r="8" spans="1:4" s="668" customFormat="1" ht="12.75">
      <c r="A8" s="1138"/>
      <c r="B8" s="1093"/>
      <c r="C8" s="1096" t="s">
        <v>1482</v>
      </c>
      <c r="D8" s="1097"/>
    </row>
    <row r="9" spans="1:4" s="668" customFormat="1" ht="14.25" customHeight="1">
      <c r="A9" s="1138"/>
      <c r="B9" s="1093">
        <f>B7+1</f>
        <v>4</v>
      </c>
      <c r="C9" s="1094" t="s">
        <v>1873</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1484</v>
      </c>
      <c r="D14" s="1137"/>
    </row>
    <row r="15" spans="1:4" s="668" customFormat="1" ht="21.75" customHeight="1">
      <c r="A15" s="2383" t="s">
        <v>1008</v>
      </c>
      <c r="B15" s="2384"/>
      <c r="C15" s="2384"/>
      <c r="D15" s="2385"/>
    </row>
    <row r="16" spans="1:4" s="668" customFormat="1" ht="24" customHeight="1">
      <c r="A16" s="2386" t="s">
        <v>663</v>
      </c>
      <c r="B16" s="2387"/>
      <c r="C16" s="2387"/>
      <c r="D16" s="2388"/>
    </row>
    <row r="17" spans="1:10" s="668" customFormat="1" ht="12.95" customHeight="1">
      <c r="A17" s="1156" t="s">
        <v>1666</v>
      </c>
      <c r="B17" s="1157"/>
      <c r="C17" s="1158"/>
      <c r="D17" s="1159"/>
    </row>
    <row r="18" spans="1:10" s="668" customFormat="1" ht="12.95" customHeight="1">
      <c r="A18" s="1160" t="s">
        <v>1667</v>
      </c>
      <c r="B18" s="1161"/>
      <c r="C18" s="1162"/>
      <c r="D18" s="1163"/>
    </row>
    <row r="19" spans="1:10" ht="6.75" customHeight="1" thickBot="1">
      <c r="A19" s="1164"/>
      <c r="B19" s="1165"/>
      <c r="C19" s="1166"/>
      <c r="D19" s="1167"/>
    </row>
    <row r="20" spans="1:10" s="1171" customFormat="1" ht="12.75" thickTop="1">
      <c r="A20" s="1168"/>
      <c r="B20" s="1169" t="s">
        <v>1668</v>
      </c>
      <c r="C20" s="1170"/>
      <c r="D20" s="1173" t="s">
        <v>710</v>
      </c>
    </row>
    <row r="21" spans="1:10">
      <c r="A21" s="1098"/>
      <c r="B21" s="1099">
        <v>1</v>
      </c>
      <c r="C21" s="2395" t="s">
        <v>314</v>
      </c>
      <c r="D21" s="2396"/>
    </row>
    <row r="22" spans="1:10" ht="12.75">
      <c r="A22" s="1139"/>
      <c r="B22" s="1140">
        <v>2</v>
      </c>
      <c r="C22" s="2393" t="s">
        <v>1503</v>
      </c>
      <c r="D22" s="2394"/>
    </row>
    <row r="23" spans="1:10" ht="12.2" customHeight="1">
      <c r="A23" s="1139"/>
      <c r="B23" s="1140"/>
      <c r="C23" s="1141" t="s">
        <v>954</v>
      </c>
      <c r="D23" s="1142" t="str">
        <f>IF(COVER!O11="X","CASH",IF(COVER!O12="X","ACCRUAL ","PLEASE CHECK AN ACCOUNTING BASIS."))</f>
        <v>CASH</v>
      </c>
    </row>
    <row r="24" spans="1:10" ht="12.2" customHeight="1">
      <c r="A24" s="1139"/>
      <c r="B24" s="1140"/>
      <c r="C24" s="1141" t="s">
        <v>1311</v>
      </c>
      <c r="D24" s="1142" t="str">
        <f>IF(COVER!O11="X","OK",IF(AND('Aud Quest 2'!J90=0,'Aud Quest 2'!I77&lt;DATE(2017,12,31)),"ENTER ACCOUNTING INFO",IF(AND('Aud Quest 2'!J90&gt;0,'Aud Quest 2'!I77&lt;DATE(2017,12,31)),"OK")))</f>
        <v>OK</v>
      </c>
    </row>
    <row r="25" spans="1:10">
      <c r="A25" s="1100"/>
      <c r="B25" s="1101"/>
      <c r="C25" s="1102" t="s">
        <v>1505</v>
      </c>
      <c r="D25" s="1103" t="str">
        <f>IF(AND(COVER!J29="X",COVER!J30="X",COVER!L30&lt;&gt;"X"),"OK",IF(AND(COVER!J29="X",COVER!J30&lt;&gt;"X",COVER!L30="X"),"OK",IF(AND(COVER!L29="X",COVER!J30&lt;&gt;"X"),"OK","PLEASE CHECK YES or NO.")))</f>
        <v>OK</v>
      </c>
    </row>
    <row r="26" spans="1:10">
      <c r="A26" s="1100"/>
      <c r="B26" s="1143"/>
      <c r="C26" s="1104" t="s">
        <v>1504</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75"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9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97" t="s">
        <v>536</v>
      </c>
      <c r="D43" s="2398"/>
    </row>
    <row r="44" spans="1:12">
      <c r="A44" s="1119"/>
      <c r="B44" s="1121"/>
      <c r="C44" s="1122" t="s">
        <v>1314</v>
      </c>
      <c r="D44" s="1123" t="str">
        <f>IF(SUM('Assets-Liab 5-6'!C13)&lt;&gt;SUM('Assets-Liab 5-6'!C41),"ERROR!","OK")</f>
        <v>OK</v>
      </c>
    </row>
    <row r="45" spans="1:12">
      <c r="A45" s="1119"/>
      <c r="B45" s="1121"/>
      <c r="C45" s="1122" t="s">
        <v>1315</v>
      </c>
      <c r="D45" s="1123" t="str">
        <f>IF(SUM('Assets-Liab 5-6'!D13)&lt;&gt;SUM('Assets-Liab 5-6'!D41),"ERROR!","OK")</f>
        <v>OK</v>
      </c>
    </row>
    <row r="46" spans="1:12">
      <c r="A46" s="1119"/>
      <c r="B46" s="1121"/>
      <c r="C46" s="1122" t="s">
        <v>1316</v>
      </c>
      <c r="D46" s="1123" t="str">
        <f>IF(SUM('Assets-Liab 5-6'!E13)&lt;&gt;SUM('Assets-Liab 5-6'!E41),"ERROR!","OK")</f>
        <v>OK</v>
      </c>
    </row>
    <row r="47" spans="1:12">
      <c r="A47" s="1119"/>
      <c r="B47" s="1121"/>
      <c r="C47" s="1122" t="s">
        <v>1317</v>
      </c>
      <c r="D47" s="1123" t="str">
        <f>IF(SUM('Assets-Liab 5-6'!F13)&lt;&gt;SUM('Assets-Liab 5-6'!F41),"ERROR!","OK")</f>
        <v>OK</v>
      </c>
    </row>
    <row r="48" spans="1:12">
      <c r="A48" s="1119"/>
      <c r="B48" s="1121"/>
      <c r="C48" s="1122" t="s">
        <v>1318</v>
      </c>
      <c r="D48" s="1123" t="str">
        <f>IF(SUM('Assets-Liab 5-6'!G13)&lt;&gt;SUM('Assets-Liab 5-6'!G41),"ERROR!","OK")</f>
        <v>OK</v>
      </c>
    </row>
    <row r="49" spans="1:4">
      <c r="A49" s="1119"/>
      <c r="B49" s="1121"/>
      <c r="C49" s="1122" t="s">
        <v>1319</v>
      </c>
      <c r="D49" s="1123" t="str">
        <f>IF(SUM('Assets-Liab 5-6'!H13)&lt;&gt;SUM('Assets-Liab 5-6'!H41),"ERROR!","OK")</f>
        <v>OK</v>
      </c>
    </row>
    <row r="50" spans="1:4">
      <c r="A50" s="1119"/>
      <c r="B50" s="1121"/>
      <c r="C50" s="1122" t="s">
        <v>1320</v>
      </c>
      <c r="D50" s="1123" t="str">
        <f>IF(SUM('Assets-Liab 5-6'!I13)&lt;&gt;SUM('Assets-Liab 5-6'!I41),"ERROR!","OK")</f>
        <v>OK</v>
      </c>
    </row>
    <row r="51" spans="1:4">
      <c r="A51" s="1119"/>
      <c r="B51" s="1121"/>
      <c r="C51" s="1122" t="s">
        <v>1321</v>
      </c>
      <c r="D51" s="1123" t="str">
        <f>IF(SUM('Assets-Liab 5-6'!J13)&lt;&gt;SUM('Assets-Liab 5-6'!J41),"ERROR!","OK")</f>
        <v>OK</v>
      </c>
    </row>
    <row r="52" spans="1:4">
      <c r="A52" s="1119"/>
      <c r="B52" s="1121"/>
      <c r="C52" s="1122" t="s">
        <v>1322</v>
      </c>
      <c r="D52" s="1123" t="str">
        <f>IF(SUM('Assets-Liab 5-6'!K13)&lt;&gt;SUM('Assets-Liab 5-6'!K41),"ERROR!","OK")</f>
        <v>OK</v>
      </c>
    </row>
    <row r="53" spans="1:4">
      <c r="A53" s="1119"/>
      <c r="B53" s="1121"/>
      <c r="C53" s="1122" t="s">
        <v>1323</v>
      </c>
      <c r="D53" s="1123" t="str">
        <f>IF(SUM('Assets-Liab 5-6'!L13)&lt;&gt;('Assets-Liab 5-6'!L41),"ERROR!","OK")</f>
        <v>OK</v>
      </c>
    </row>
    <row r="54" spans="1:4">
      <c r="A54" s="1119"/>
      <c r="B54" s="1121"/>
      <c r="C54" s="1122" t="s">
        <v>1324</v>
      </c>
      <c r="D54" s="1123" t="str">
        <f>IF(SUM('Assets-Liab 5-6'!M23)&lt;&gt;('Assets-Liab 5-6'!M41),"ERROR!","OK")</f>
        <v>OK</v>
      </c>
    </row>
    <row r="55" spans="1:4">
      <c r="A55" s="1119"/>
      <c r="B55" s="1121"/>
      <c r="C55" s="1122" t="s">
        <v>1325</v>
      </c>
      <c r="D55" s="1123" t="str">
        <f>IF(SUM('Assets-Liab 5-6'!N23)&lt;&gt;('Assets-Liab 5-6'!N41),"ERROR!","OK")</f>
        <v>OK</v>
      </c>
    </row>
    <row r="56" spans="1:4">
      <c r="A56" s="1100"/>
      <c r="B56" s="1120">
        <f>B43+1</f>
        <v>6</v>
      </c>
      <c r="C56" s="2389" t="s">
        <v>784</v>
      </c>
      <c r="D56" s="2390"/>
    </row>
    <row r="57" spans="1:4" s="1116" customFormat="1">
      <c r="A57" s="1100"/>
      <c r="B57" s="1110"/>
      <c r="C57" s="1118" t="s">
        <v>1326</v>
      </c>
      <c r="D57" s="1124" t="str">
        <f>IF('Assets-Liab 5-6'!C38+'Assets-Liab 5-6'!C39='Acct Summary 7-8'!C81,"OK","ERROR!")</f>
        <v>OK</v>
      </c>
    </row>
    <row r="58" spans="1:4">
      <c r="A58" s="1100"/>
      <c r="B58" s="1110"/>
      <c r="C58" s="1118" t="s">
        <v>1327</v>
      </c>
      <c r="D58" s="1124" t="str">
        <f>IF((('Assets-Liab 5-6'!D38+'Assets-Liab 5-6'!D39) ='Acct Summary 7-8'!D81), "OK", "ERROR!" )</f>
        <v>OK</v>
      </c>
    </row>
    <row r="59" spans="1:4" s="1116" customFormat="1">
      <c r="A59" s="1100"/>
      <c r="B59" s="1110"/>
      <c r="C59" s="1118" t="s">
        <v>1328</v>
      </c>
      <c r="D59" s="1124" t="str">
        <f>IF((('Assets-Liab 5-6'!E38 + 'Assets-Liab 5-6'!E39) ='Acct Summary 7-8'!E81), "OK", "ERROR!" )</f>
        <v>OK</v>
      </c>
    </row>
    <row r="60" spans="1:4">
      <c r="A60" s="1100"/>
      <c r="B60" s="1110"/>
      <c r="C60" s="1118" t="s">
        <v>1329</v>
      </c>
      <c r="D60" s="1124" t="str">
        <f>IF((('Assets-Liab 5-6'!F38 + 'Assets-Liab 5-6'!F39) ='Acct Summary 7-8'!F81), "OK", "ERROR!" )</f>
        <v>OK</v>
      </c>
    </row>
    <row r="61" spans="1:4" ht="12.95" customHeight="1">
      <c r="A61" s="1100"/>
      <c r="B61" s="1110"/>
      <c r="C61" s="1118" t="s">
        <v>1342</v>
      </c>
      <c r="D61" s="1124" t="str">
        <f>IF((('Assets-Liab 5-6'!G38 + 'Assets-Liab 5-6'!G39) ='Acct Summary 7-8'!G81), "OK", "ERROR!" )</f>
        <v>OK</v>
      </c>
    </row>
    <row r="62" spans="1:4">
      <c r="A62" s="1100"/>
      <c r="B62" s="1110"/>
      <c r="C62" s="1118" t="s">
        <v>1330</v>
      </c>
      <c r="D62" s="1124" t="str">
        <f>IF((('Assets-Liab 5-6'!H38 + 'Assets-Liab 5-6'!H39) ='Acct Summary 7-8'!H81), "OK", "ERROR!" )</f>
        <v>OK</v>
      </c>
    </row>
    <row r="63" spans="1:4" ht="12.95" customHeight="1">
      <c r="A63" s="1100"/>
      <c r="B63" s="1110"/>
      <c r="C63" s="1118" t="s">
        <v>1331</v>
      </c>
      <c r="D63" s="1124" t="str">
        <f>IF((('Assets-Liab 5-6'!I38 + 'Assets-Liab 5-6'!I39) ='Acct Summary 7-8'!I81), "OK", "ERROR!" )</f>
        <v>OK</v>
      </c>
    </row>
    <row r="64" spans="1:4">
      <c r="A64" s="1100"/>
      <c r="B64" s="1110"/>
      <c r="C64" s="1118" t="s">
        <v>1332</v>
      </c>
      <c r="D64" s="1124" t="str">
        <f>IF((('Assets-Liab 5-6'!J38 + 'Assets-Liab 5-6'!J39) ='Acct Summary 7-8'!J81), "OK", "ERROR!" )</f>
        <v>OK</v>
      </c>
    </row>
    <row r="65" spans="1:4">
      <c r="A65" s="1117"/>
      <c r="B65" s="1110"/>
      <c r="C65" s="1118" t="s">
        <v>1343</v>
      </c>
      <c r="D65" s="1124" t="str">
        <f>IF((('Assets-Liab 5-6'!K38 + 'Assets-Liab 5-6'!K39) ='Acct Summary 7-8'!K81), "OK", "ERROR!" )</f>
        <v>OK</v>
      </c>
    </row>
    <row r="66" spans="1:4">
      <c r="A66" s="1098"/>
      <c r="B66" s="1140">
        <f>B56+1+1</f>
        <v>8</v>
      </c>
      <c r="C66" s="1146" t="s">
        <v>1874</v>
      </c>
      <c r="D66" s="1125"/>
    </row>
    <row r="67" spans="1:4">
      <c r="A67" s="1119"/>
      <c r="B67" s="1140"/>
      <c r="C67" s="1147" t="s">
        <v>1021</v>
      </c>
      <c r="D67" s="1125"/>
    </row>
    <row r="68" spans="1:4">
      <c r="A68" s="1100"/>
      <c r="B68" s="1110"/>
      <c r="C68" s="1102" t="s">
        <v>1875</v>
      </c>
      <c r="D68" s="1124" t="str">
        <f>IF('Short-Term Long-Term Debt 24'!F49=SUM(,'Acct Summary 7-8'!C33:K33),"OK","ERROR!")</f>
        <v>OK</v>
      </c>
    </row>
    <row r="69" spans="1:4">
      <c r="A69" s="1100"/>
      <c r="B69" s="1110"/>
      <c r="C69" s="1102" t="s">
        <v>1876</v>
      </c>
      <c r="D69" s="1124" t="str">
        <f>IF('Expenditures 15-22'!H170&lt;&gt;'Short-Term Long-Term Debt 24'!H49,"ERROR!","OK")</f>
        <v>OK</v>
      </c>
    </row>
    <row r="70" spans="1:4">
      <c r="A70" s="1098"/>
      <c r="B70" s="1120">
        <f>B66+1</f>
        <v>9</v>
      </c>
      <c r="C70" s="2389" t="s">
        <v>1669</v>
      </c>
      <c r="D70" s="2390"/>
    </row>
    <row r="71" spans="1:4">
      <c r="A71" s="1098"/>
      <c r="B71" s="1120"/>
      <c r="C71" s="1102" t="s">
        <v>1333</v>
      </c>
      <c r="D71" s="1126" t="str">
        <f>IF(SUM('Acct Summary 7-8'!C27:K27) =SUM( 'Acct Summary 7-8'!C49:K49),"OK", "ERROR")</f>
        <v>OK</v>
      </c>
    </row>
    <row r="72" spans="1:4">
      <c r="A72" s="1100"/>
      <c r="B72" s="1110"/>
      <c r="C72" s="1118" t="s">
        <v>1334</v>
      </c>
      <c r="D72" s="1124" t="str">
        <f>IF(SUM('Acct Summary 7-8'!C28:K28)=SUM('Acct Summary 7-8'!C50:K50),"OK","ERROR!")</f>
        <v>OK</v>
      </c>
    </row>
    <row r="73" spans="1:4" ht="24">
      <c r="A73" s="1127"/>
      <c r="B73" s="1110"/>
      <c r="C73" s="1118" t="s">
        <v>1670</v>
      </c>
      <c r="D73" s="1126" t="str">
        <f>IF(SUM('Acct Summary 7-8'!C42:K42)&gt;=SUM( 'Acct Summary 7-8'!C74:K74),"OK", "ERROR")</f>
        <v>OK</v>
      </c>
    </row>
    <row r="74" spans="1:4">
      <c r="A74" s="1098"/>
      <c r="B74" s="1120">
        <f>B70+1</f>
        <v>10</v>
      </c>
      <c r="C74" s="1114" t="s">
        <v>1877</v>
      </c>
      <c r="D74" s="1128"/>
    </row>
    <row r="75" spans="1:4">
      <c r="A75" s="1100"/>
      <c r="B75" s="1110"/>
      <c r="C75" s="1118" t="s">
        <v>1356</v>
      </c>
      <c r="D75" s="1124" t="str">
        <f>IF(SUM('Assets-Liab 5-6'!C38:H38)&gt;=SUM('Rest Tax Levies-Tort Im 25'!G25:K25),"OK","ERROR")</f>
        <v>OK</v>
      </c>
    </row>
    <row r="76" spans="1:4">
      <c r="A76" s="1100"/>
      <c r="B76" s="1110"/>
      <c r="C76" s="1118" t="s">
        <v>1397</v>
      </c>
      <c r="D76" s="1124" t="str">
        <f>IF(SUM('Assets-Liab 5-6'!C39:K39)&gt;0,"OK","ENTRY IS REQUIRED!")</f>
        <v>OK</v>
      </c>
    </row>
    <row r="77" spans="1:4">
      <c r="A77" s="1100"/>
      <c r="B77" s="1129">
        <f>B74+1</f>
        <v>11</v>
      </c>
      <c r="C77" s="1174" t="s">
        <v>1357</v>
      </c>
      <c r="D77" s="1124"/>
    </row>
    <row r="78" spans="1:4">
      <c r="A78" s="1100"/>
      <c r="B78" s="1110"/>
      <c r="C78" s="1118" t="s">
        <v>1878</v>
      </c>
      <c r="D78" s="1124" t="str">
        <f>IF(ISNUMBER('Acct Summary 7-8'!C9),"OK","ENTRY IS REQUIRED!")</f>
        <v>OK</v>
      </c>
    </row>
    <row r="79" spans="1:4">
      <c r="A79" s="1119"/>
      <c r="B79" s="1120">
        <f>B74+1+1</f>
        <v>12</v>
      </c>
      <c r="C79" s="1130" t="s">
        <v>1863</v>
      </c>
      <c r="D79" s="1131" t="str">
        <f>IF(OR(COVER!$B$6="X",'PCTC-OEPP 27-28'!F78&gt;0),"OK","PLEASE ENTER 9 MO ADA.")</f>
        <v>OK</v>
      </c>
    </row>
    <row r="80" spans="1:4">
      <c r="A80" s="1098"/>
      <c r="B80" s="1120">
        <v>13</v>
      </c>
      <c r="C80" s="1130" t="s">
        <v>1879</v>
      </c>
      <c r="D80" s="1131" t="str">
        <f>IF('Contracts Paid in CY 29'!D141&gt;0,"OK","PLEASE ENTER CONTRACTS PAID IN CURRENT YEAR.")</f>
        <v>PLEASE ENTER CONTRACTS PAID IN CURRENT YEAR.</v>
      </c>
    </row>
    <row r="81" spans="1:4">
      <c r="A81" s="1098"/>
      <c r="B81" s="1120">
        <v>14</v>
      </c>
      <c r="C81" s="1130" t="s">
        <v>1403</v>
      </c>
      <c r="D81" s="1123" t="str">
        <f>IF('Shared Outsourced Services 31'!B8="X","OK",IF('Shared Outsourced Services 31'!K34&gt;0,"OK","ENTRY REQUIRED!"))</f>
        <v>OK</v>
      </c>
    </row>
    <row r="82" spans="1:4">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47071231004</v>
      </c>
    </row>
    <row r="3" spans="1:2">
      <c r="A3" t="s">
        <v>956</v>
      </c>
      <c r="B3" s="138" t="str">
        <f>COVER!A15</f>
        <v>Ogle</v>
      </c>
    </row>
    <row r="4" spans="1:2">
      <c r="A4" t="s">
        <v>1007</v>
      </c>
      <c r="B4" s="138" t="str">
        <f>COVER!A17</f>
        <v>Rochelle CCSD 231</v>
      </c>
    </row>
    <row r="5" spans="1:2">
      <c r="A5" t="s">
        <v>704</v>
      </c>
      <c r="B5" s="138" t="str">
        <f>COVER!A38</f>
        <v>Jason Harper</v>
      </c>
    </row>
    <row r="6" spans="1:2">
      <c r="A6" t="s">
        <v>709</v>
      </c>
      <c r="B6" s="138">
        <f>COVER!P35</f>
        <v>0</v>
      </c>
    </row>
    <row r="7" spans="1:2">
      <c r="A7" t="s">
        <v>705</v>
      </c>
      <c r="B7" s="138">
        <f>COVER!I38</f>
        <v>0</v>
      </c>
    </row>
    <row r="8" spans="1:2">
      <c r="A8" t="s">
        <v>706</v>
      </c>
      <c r="B8" s="138">
        <f>COVER!T38</f>
        <v>0</v>
      </c>
    </row>
    <row r="9" spans="1:2">
      <c r="A9" s="3" t="s">
        <v>957</v>
      </c>
      <c r="B9" s="158" t="str">
        <f>AUDITCHECK!D23</f>
        <v>CASH</v>
      </c>
    </row>
    <row r="10" spans="1:2">
      <c r="A10" t="s">
        <v>976</v>
      </c>
      <c r="B10" s="138" t="str">
        <f>COVER!B5</f>
        <v>X</v>
      </c>
    </row>
    <row r="11" spans="1:2">
      <c r="A11" t="s">
        <v>977</v>
      </c>
      <c r="B11" s="138">
        <f>COVER!B6</f>
        <v>0</v>
      </c>
    </row>
    <row r="12" spans="1:2">
      <c r="A12" s="1" t="s">
        <v>1522</v>
      </c>
      <c r="B12" s="138" t="str">
        <f>IF(COVER!J29="x","Yes",IF(COVER!L29="X","No",0))</f>
        <v>Yes</v>
      </c>
    </row>
    <row r="13" spans="1:2">
      <c r="A13" s="1" t="s">
        <v>1523</v>
      </c>
      <c r="B13" s="138" t="str">
        <f>IF(COVER!J30="x","Yes",IF(COVER!L30="x","No",0))</f>
        <v>Yes</v>
      </c>
    </row>
    <row r="14" spans="1:2">
      <c r="A14" t="s">
        <v>476</v>
      </c>
      <c r="B14" s="138" t="str">
        <f>IF(COVER!J31="x","Yes",IF(COVER!L31="x","No",0))</f>
        <v>Yes</v>
      </c>
    </row>
    <row r="15" spans="1:2">
      <c r="A15" t="s">
        <v>577</v>
      </c>
      <c r="B15" s="138" t="str">
        <f>COVER!T23</f>
        <v>066-004023</v>
      </c>
    </row>
    <row r="16" spans="1:2">
      <c r="A16" t="s">
        <v>422</v>
      </c>
      <c r="B16" s="138" t="str">
        <f>COVER!T13</f>
        <v>Wipfli LLP</v>
      </c>
    </row>
    <row r="17" spans="1:2">
      <c r="A17" t="s">
        <v>884</v>
      </c>
      <c r="B17" s="138" t="str">
        <f>COVER!T15</f>
        <v>Matthew J. Schueler</v>
      </c>
    </row>
    <row r="18" spans="1:2">
      <c r="A18" t="s">
        <v>1150</v>
      </c>
      <c r="B18" s="138" t="str">
        <f>COVER!T17</f>
        <v>403 East 3rd Street</v>
      </c>
    </row>
    <row r="19" spans="1:2">
      <c r="A19" t="s">
        <v>886</v>
      </c>
      <c r="B19" s="138" t="str">
        <f>COVER!T25</f>
        <v>mschueler@wipfli.com</v>
      </c>
    </row>
    <row r="20" spans="1:2">
      <c r="A20" t="s">
        <v>887</v>
      </c>
      <c r="B20" s="138" t="str">
        <f>COVER!T19</f>
        <v>Sterling</v>
      </c>
    </row>
    <row r="21" spans="1:2">
      <c r="A21" t="s">
        <v>479</v>
      </c>
      <c r="B21" s="138" t="str">
        <f>COVER!X19</f>
        <v>IL</v>
      </c>
    </row>
    <row r="22" spans="1:2">
      <c r="A22" t="s">
        <v>888</v>
      </c>
      <c r="B22" s="138">
        <f>COVER!Z19</f>
        <v>61081</v>
      </c>
    </row>
    <row r="23" spans="1:2">
      <c r="A23" t="s">
        <v>1152</v>
      </c>
      <c r="B23" s="138" t="str">
        <f>COVER!T21</f>
        <v>815-626-1277</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1460</v>
      </c>
      <c r="B49" s="138" t="str">
        <f>IF('Aud Quest 2'!B53="x","Yes",IF('Aud Quest 2'!B53&lt;&gt;"x","0"))</f>
        <v>0</v>
      </c>
    </row>
    <row r="50" spans="1:4">
      <c r="A50" s="1" t="s">
        <v>1459</v>
      </c>
      <c r="B50" s="150">
        <f>'Aud Quest 2'!H53</f>
        <v>0</v>
      </c>
    </row>
    <row r="51" spans="1:4">
      <c r="A51" s="1" t="s">
        <v>1461</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2690636</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573</v>
      </c>
      <c r="D91" s="2" t="str">
        <f t="shared" si="0"/>
        <v>Error?</v>
      </c>
    </row>
    <row r="92" spans="1:4">
      <c r="A92" s="5">
        <v>31</v>
      </c>
      <c r="B92" s="138">
        <f>'Assets-Liab 5-6'!C39</f>
        <v>2690636</v>
      </c>
      <c r="D92" s="2" t="str">
        <f t="shared" si="0"/>
        <v>Error?</v>
      </c>
    </row>
    <row r="93" spans="1:4">
      <c r="A93" s="5">
        <v>32</v>
      </c>
      <c r="B93" s="138">
        <f>'Assets-Liab 5-6'!C41</f>
        <v>2690636</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5136058</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5114389</v>
      </c>
      <c r="D123" s="2" t="str">
        <f t="shared" si="0"/>
        <v>Error?</v>
      </c>
    </row>
    <row r="124" spans="1:4">
      <c r="A124" s="5">
        <v>63</v>
      </c>
      <c r="B124" s="138">
        <f>'Assets-Liab 5-6'!D41</f>
        <v>5136058</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723179</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723179</v>
      </c>
      <c r="D140" s="2" t="str">
        <f t="shared" si="1"/>
        <v>Error?</v>
      </c>
    </row>
    <row r="141" spans="1:4">
      <c r="A141" s="5">
        <v>80</v>
      </c>
      <c r="B141" s="138">
        <f>'Assets-Liab 5-6'!E41</f>
        <v>723179</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803652</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803652</v>
      </c>
      <c r="D170" s="2" t="str">
        <f t="shared" si="1"/>
        <v>Error?</v>
      </c>
    </row>
    <row r="171" spans="1:4">
      <c r="A171" s="5">
        <v>110</v>
      </c>
      <c r="B171" s="138">
        <f>'Assets-Liab 5-6'!F41</f>
        <v>803652</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449999</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1428</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1428</v>
      </c>
      <c r="C188" s="2" t="s">
        <v>573</v>
      </c>
      <c r="D188" s="2" t="str">
        <f t="shared" si="1"/>
        <v>Error?</v>
      </c>
    </row>
    <row r="189" spans="1:4">
      <c r="A189" s="5">
        <v>128</v>
      </c>
      <c r="B189" s="138">
        <f>'Assets-Liab 5-6'!G39</f>
        <v>448571</v>
      </c>
      <c r="D189" s="2" t="str">
        <f t="shared" si="1"/>
        <v>Error?</v>
      </c>
    </row>
    <row r="190" spans="1:4">
      <c r="A190" s="5">
        <v>129</v>
      </c>
      <c r="B190" s="138">
        <f>'Assets-Liab 5-6'!G41</f>
        <v>449999</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1930229</v>
      </c>
      <c r="D273" s="2" t="str">
        <f t="shared" si="3"/>
        <v>Error?</v>
      </c>
    </row>
    <row r="274" spans="1:4">
      <c r="A274" s="5">
        <v>213</v>
      </c>
      <c r="B274" s="138">
        <f>'Assets-Liab 5-6'!M17</f>
        <v>25557761</v>
      </c>
      <c r="D274" s="2" t="str">
        <f t="shared" si="3"/>
        <v>Error?</v>
      </c>
    </row>
    <row r="275" spans="1:4">
      <c r="A275" s="5">
        <v>214</v>
      </c>
      <c r="B275" s="138">
        <f>'Assets-Liab 5-6'!M18</f>
        <v>942030</v>
      </c>
      <c r="D275" s="2" t="str">
        <f t="shared" si="3"/>
        <v>Error?</v>
      </c>
    </row>
    <row r="276" spans="1:4">
      <c r="A276" s="5">
        <v>215</v>
      </c>
      <c r="B276" s="138">
        <f>'Assets-Liab 5-6'!M19</f>
        <v>687916</v>
      </c>
      <c r="D276" s="2" t="str">
        <f t="shared" si="3"/>
        <v>Error?</v>
      </c>
    </row>
    <row r="277" spans="1:4">
      <c r="A277" s="10">
        <v>216</v>
      </c>
      <c r="D277" s="2" t="str">
        <f t="shared" si="3"/>
        <v>OK</v>
      </c>
    </row>
    <row r="278" spans="1:4">
      <c r="A278" s="10">
        <v>217</v>
      </c>
      <c r="D278" s="2" t="str">
        <f t="shared" si="3"/>
        <v>OK</v>
      </c>
    </row>
    <row r="279" spans="1:4">
      <c r="A279" s="5">
        <v>218</v>
      </c>
      <c r="B279" s="138">
        <f>'Assets-Liab 5-6'!M23</f>
        <v>29117936</v>
      </c>
      <c r="C279" s="2" t="s">
        <v>573</v>
      </c>
      <c r="D279" s="2" t="str">
        <f t="shared" si="3"/>
        <v>Error?</v>
      </c>
    </row>
    <row r="280" spans="1:4">
      <c r="A280" s="5">
        <v>219</v>
      </c>
      <c r="B280" s="138">
        <f>'Assets-Liab 5-6'!M40</f>
        <v>29117936</v>
      </c>
      <c r="D280" s="2" t="str">
        <f t="shared" si="3"/>
        <v>Error?</v>
      </c>
    </row>
    <row r="281" spans="1:4">
      <c r="A281" s="5">
        <v>220</v>
      </c>
      <c r="B281" s="138">
        <f>'Assets-Liab 5-6'!M41</f>
        <v>29117936</v>
      </c>
      <c r="C281" s="2" t="s">
        <v>573</v>
      </c>
      <c r="D281" s="2" t="str">
        <f t="shared" si="3"/>
        <v>Error?</v>
      </c>
    </row>
    <row r="282" spans="1:4">
      <c r="A282" s="5">
        <v>221</v>
      </c>
      <c r="B282" s="138">
        <f>'Assets-Liab 5-6'!N21</f>
        <v>723179</v>
      </c>
      <c r="D282" s="2" t="str">
        <f t="shared" si="3"/>
        <v>Error?</v>
      </c>
    </row>
    <row r="283" spans="1:4">
      <c r="A283" s="5">
        <v>222</v>
      </c>
      <c r="B283" s="138">
        <f>'Assets-Liab 5-6'!N22</f>
        <v>8977226</v>
      </c>
      <c r="D283" s="2" t="str">
        <f t="shared" si="3"/>
        <v>Error?</v>
      </c>
    </row>
    <row r="284" spans="1:4">
      <c r="A284" s="5">
        <v>223</v>
      </c>
      <c r="B284" s="138">
        <f>'Assets-Liab 5-6'!N23</f>
        <v>9700405</v>
      </c>
      <c r="C284" s="2" t="s">
        <v>573</v>
      </c>
      <c r="D284" s="2" t="str">
        <f t="shared" si="3"/>
        <v>Error?</v>
      </c>
    </row>
    <row r="285" spans="1:4">
      <c r="A285" s="5">
        <v>224</v>
      </c>
      <c r="B285" s="138">
        <f>'Assets-Liab 5-6'!N36</f>
        <v>9700405</v>
      </c>
      <c r="D285" s="2" t="str">
        <f t="shared" si="3"/>
        <v>Error?</v>
      </c>
    </row>
    <row r="286" spans="1:4">
      <c r="A286" s="10">
        <v>225</v>
      </c>
      <c r="D286" s="2" t="str">
        <f t="shared" si="3"/>
        <v>OK</v>
      </c>
    </row>
    <row r="287" spans="1:4">
      <c r="A287" s="5">
        <v>226</v>
      </c>
      <c r="B287" s="138">
        <f>'Assets-Liab 5-6'!N37</f>
        <v>9700405</v>
      </c>
      <c r="C287" s="2" t="s">
        <v>573</v>
      </c>
      <c r="D287" s="2" t="str">
        <f t="shared" si="3"/>
        <v>Error?</v>
      </c>
    </row>
    <row r="288" spans="1:4">
      <c r="A288" s="5">
        <v>227</v>
      </c>
      <c r="B288" s="138">
        <f>'Assets-Liab 5-6'!N41</f>
        <v>9700405</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28965</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4413377</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712319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39929</v>
      </c>
      <c r="D718" s="2" t="str">
        <f t="shared" si="10"/>
        <v>Error?</v>
      </c>
    </row>
    <row r="719" spans="1:4">
      <c r="A719" s="5">
        <v>658</v>
      </c>
      <c r="B719" s="138">
        <f>'Expenditures 15-22'!C15</f>
        <v>0</v>
      </c>
      <c r="D719" s="2" t="str">
        <f t="shared" si="10"/>
        <v>Error?</v>
      </c>
    </row>
    <row r="720" spans="1:4">
      <c r="A720" s="5">
        <v>659</v>
      </c>
      <c r="B720" s="138">
        <f>'Expenditures 15-22'!C33</f>
        <v>7354376</v>
      </c>
      <c r="C720" s="2" t="s">
        <v>573</v>
      </c>
      <c r="D720" s="2" t="str">
        <f t="shared" si="10"/>
        <v>Error?</v>
      </c>
    </row>
    <row r="721" spans="1:4">
      <c r="A721" s="5">
        <v>660</v>
      </c>
      <c r="B721" s="138">
        <f>'Expenditures 15-22'!C36</f>
        <v>0</v>
      </c>
      <c r="D721" s="2" t="str">
        <f t="shared" si="10"/>
        <v>Error?</v>
      </c>
    </row>
    <row r="722" spans="1:4">
      <c r="A722" s="5">
        <v>661</v>
      </c>
      <c r="B722" s="138">
        <f>'Expenditures 15-22'!C37</f>
        <v>238145</v>
      </c>
      <c r="D722" s="2" t="str">
        <f t="shared" si="10"/>
        <v>Error?</v>
      </c>
    </row>
    <row r="723" spans="1:4">
      <c r="A723" s="5">
        <v>662</v>
      </c>
      <c r="B723" s="138">
        <f>'Expenditures 15-22'!C38</f>
        <v>128148</v>
      </c>
      <c r="D723" s="2" t="str">
        <f t="shared" si="10"/>
        <v>Error?</v>
      </c>
    </row>
    <row r="724" spans="1:4">
      <c r="A724" s="5">
        <v>663</v>
      </c>
      <c r="B724" s="138">
        <f>'Expenditures 15-22'!C39</f>
        <v>0</v>
      </c>
      <c r="D724" s="2" t="str">
        <f t="shared" si="10"/>
        <v>Error?</v>
      </c>
    </row>
    <row r="725" spans="1:4">
      <c r="A725" s="5">
        <v>664</v>
      </c>
      <c r="B725" s="138">
        <f>'Expenditures 15-22'!C40</f>
        <v>22772</v>
      </c>
      <c r="D725" s="2" t="str">
        <f t="shared" si="10"/>
        <v>Error?</v>
      </c>
    </row>
    <row r="726" spans="1:4">
      <c r="A726" s="5">
        <v>665</v>
      </c>
      <c r="B726" s="138">
        <f>'Expenditures 15-22'!C41</f>
        <v>64485</v>
      </c>
      <c r="D726" s="2" t="str">
        <f t="shared" si="10"/>
        <v>Error?</v>
      </c>
    </row>
    <row r="727" spans="1:4">
      <c r="A727" s="5">
        <v>666</v>
      </c>
      <c r="B727" s="138">
        <f>'Expenditures 15-22'!C42</f>
        <v>453550</v>
      </c>
      <c r="C727" s="2" t="s">
        <v>573</v>
      </c>
      <c r="D727" s="2" t="str">
        <f t="shared" si="10"/>
        <v>Error?</v>
      </c>
    </row>
    <row r="728" spans="1:4">
      <c r="A728" s="5">
        <v>667</v>
      </c>
      <c r="B728" s="138">
        <f>'Expenditures 15-22'!C44</f>
        <v>94466</v>
      </c>
      <c r="D728" s="2" t="str">
        <f t="shared" si="10"/>
        <v>Error?</v>
      </c>
    </row>
    <row r="729" spans="1:4">
      <c r="A729" s="5">
        <v>668</v>
      </c>
      <c r="B729" s="138">
        <f>'Expenditures 15-22'!C45</f>
        <v>73414</v>
      </c>
      <c r="D729" s="2" t="str">
        <f t="shared" si="10"/>
        <v>Error?</v>
      </c>
    </row>
    <row r="730" spans="1:4">
      <c r="A730" s="5">
        <v>669</v>
      </c>
      <c r="B730" s="138">
        <f>'Expenditures 15-22'!C46</f>
        <v>0</v>
      </c>
      <c r="D730" s="2" t="str">
        <f t="shared" si="10"/>
        <v>Error?</v>
      </c>
    </row>
    <row r="731" spans="1:4">
      <c r="A731" s="5">
        <v>670</v>
      </c>
      <c r="B731" s="138">
        <f>'Expenditures 15-22'!C47</f>
        <v>167880</v>
      </c>
      <c r="C731" s="2" t="s">
        <v>573</v>
      </c>
      <c r="D731" s="2" t="str">
        <f t="shared" si="10"/>
        <v>Error?</v>
      </c>
    </row>
    <row r="732" spans="1:4">
      <c r="A732" s="5">
        <v>671</v>
      </c>
      <c r="B732" s="138">
        <f>'Expenditures 15-22'!C49</f>
        <v>0</v>
      </c>
      <c r="D732" s="2" t="str">
        <f t="shared" si="10"/>
        <v>Error?</v>
      </c>
    </row>
    <row r="733" spans="1:4">
      <c r="A733" s="5">
        <v>672</v>
      </c>
      <c r="B733" s="138">
        <f>'Expenditures 15-22'!C50</f>
        <v>59049</v>
      </c>
      <c r="D733" s="2" t="str">
        <f t="shared" si="10"/>
        <v>Error?</v>
      </c>
    </row>
    <row r="734" spans="1:4">
      <c r="A734" s="5">
        <v>673</v>
      </c>
      <c r="B734" s="138">
        <f>'Expenditures 15-22'!C53</f>
        <v>59049</v>
      </c>
      <c r="C734" s="2" t="s">
        <v>573</v>
      </c>
      <c r="D734" s="2" t="str">
        <f t="shared" si="10"/>
        <v>Error?</v>
      </c>
    </row>
    <row r="735" spans="1:4">
      <c r="A735" s="5">
        <v>674</v>
      </c>
      <c r="B735" s="138">
        <f>'Expenditures 15-22'!C55</f>
        <v>776582</v>
      </c>
      <c r="D735" s="2" t="str">
        <f t="shared" si="10"/>
        <v>Error?</v>
      </c>
    </row>
    <row r="736" spans="1:4">
      <c r="A736" s="5">
        <v>675</v>
      </c>
      <c r="B736" s="138">
        <f>'Expenditures 15-22'!C56</f>
        <v>0</v>
      </c>
      <c r="D736" s="2" t="str">
        <f t="shared" si="10"/>
        <v>Error?</v>
      </c>
    </row>
    <row r="737" spans="1:4">
      <c r="A737" s="5">
        <v>676</v>
      </c>
      <c r="B737" s="138">
        <f>'Expenditures 15-22'!C57</f>
        <v>776582</v>
      </c>
      <c r="C737" s="2" t="s">
        <v>573</v>
      </c>
      <c r="D737" s="2" t="str">
        <f t="shared" si="10"/>
        <v>Error?</v>
      </c>
    </row>
    <row r="738" spans="1:4">
      <c r="A738" s="5">
        <v>677</v>
      </c>
      <c r="B738" s="138">
        <f>'Expenditures 15-22'!C59</f>
        <v>0</v>
      </c>
      <c r="D738" s="2" t="str">
        <f t="shared" si="10"/>
        <v>Error?</v>
      </c>
    </row>
    <row r="739" spans="1:4">
      <c r="A739" s="5">
        <v>678</v>
      </c>
      <c r="B739" s="138">
        <f>'Expenditures 15-22'!C60</f>
        <v>17280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105685</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122965</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573</v>
      </c>
      <c r="D753" s="2" t="str">
        <f t="shared" si="10"/>
        <v>Error?</v>
      </c>
    </row>
    <row r="754" spans="1:4">
      <c r="A754" s="5">
        <v>693</v>
      </c>
      <c r="B754" s="138">
        <f>'Expenditures 15-22'!C73</f>
        <v>0</v>
      </c>
      <c r="D754" s="2" t="str">
        <f t="shared" si="10"/>
        <v>Error?</v>
      </c>
    </row>
    <row r="755" spans="1:4">
      <c r="A755" s="5">
        <v>694</v>
      </c>
      <c r="B755" s="138">
        <f>'Expenditures 15-22'!C74</f>
        <v>1580026</v>
      </c>
      <c r="C755" s="2" t="s">
        <v>573</v>
      </c>
      <c r="D755" s="2" t="str">
        <f t="shared" si="10"/>
        <v>Error?</v>
      </c>
    </row>
    <row r="756" spans="1:4">
      <c r="A756" s="5">
        <v>695</v>
      </c>
      <c r="B756" s="138">
        <f>'Expenditures 15-22'!C75</f>
        <v>0</v>
      </c>
      <c r="D756" s="2" t="str">
        <f t="shared" si="10"/>
        <v>Error?</v>
      </c>
    </row>
    <row r="757" spans="1:4">
      <c r="A757" s="5">
        <v>696</v>
      </c>
      <c r="B757" s="138">
        <f>'Expenditures 15-22'!C114</f>
        <v>8934402</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829627</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180486</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3572</v>
      </c>
      <c r="D776" s="2" t="str">
        <f t="shared" si="11"/>
        <v>Error?</v>
      </c>
    </row>
    <row r="777" spans="1:4">
      <c r="A777" s="5">
        <v>716</v>
      </c>
      <c r="B777" s="138">
        <f>'Expenditures 15-22'!D15</f>
        <v>0</v>
      </c>
      <c r="D777" s="2" t="str">
        <f t="shared" si="11"/>
        <v>Error?</v>
      </c>
    </row>
    <row r="778" spans="1:4">
      <c r="A778" s="5">
        <v>717</v>
      </c>
      <c r="B778" s="138">
        <f>'Expenditures 15-22'!D33</f>
        <v>1504461</v>
      </c>
      <c r="C778" s="2" t="s">
        <v>573</v>
      </c>
      <c r="D778" s="2" t="str">
        <f t="shared" si="11"/>
        <v>Error?</v>
      </c>
    </row>
    <row r="779" spans="1:4">
      <c r="A779" s="5">
        <v>718</v>
      </c>
      <c r="B779" s="138">
        <f>'Expenditures 15-22'!D36</f>
        <v>0</v>
      </c>
      <c r="D779" s="2" t="str">
        <f t="shared" si="11"/>
        <v>Error?</v>
      </c>
    </row>
    <row r="780" spans="1:4">
      <c r="A780" s="5">
        <v>719</v>
      </c>
      <c r="B780" s="138">
        <f>'Expenditures 15-22'!D37</f>
        <v>40693</v>
      </c>
      <c r="D780" s="2" t="str">
        <f t="shared" si="11"/>
        <v>Error?</v>
      </c>
    </row>
    <row r="781" spans="1:4">
      <c r="A781" s="5">
        <v>720</v>
      </c>
      <c r="B781" s="138">
        <f>'Expenditures 15-22'!D38</f>
        <v>26609</v>
      </c>
      <c r="D781" s="2" t="str">
        <f t="shared" si="11"/>
        <v>Error?</v>
      </c>
    </row>
    <row r="782" spans="1:4">
      <c r="A782" s="5">
        <v>721</v>
      </c>
      <c r="B782" s="138">
        <f>'Expenditures 15-22'!D39</f>
        <v>0</v>
      </c>
      <c r="D782" s="2" t="str">
        <f t="shared" si="11"/>
        <v>Error?</v>
      </c>
    </row>
    <row r="783" spans="1:4">
      <c r="A783" s="5">
        <v>722</v>
      </c>
      <c r="B783" s="138">
        <f>'Expenditures 15-22'!D40</f>
        <v>3436</v>
      </c>
      <c r="D783" s="2" t="str">
        <f t="shared" si="11"/>
        <v>Error?</v>
      </c>
    </row>
    <row r="784" spans="1:4">
      <c r="A784" s="5">
        <v>723</v>
      </c>
      <c r="B784" s="138">
        <f>'Expenditures 15-22'!D41</f>
        <v>11195</v>
      </c>
      <c r="D784" s="2" t="str">
        <f t="shared" si="11"/>
        <v>Error?</v>
      </c>
    </row>
    <row r="785" spans="1:4">
      <c r="A785" s="5">
        <v>724</v>
      </c>
      <c r="B785" s="138">
        <f>'Expenditures 15-22'!D42</f>
        <v>81933</v>
      </c>
      <c r="C785" s="2" t="s">
        <v>573</v>
      </c>
      <c r="D785" s="2" t="str">
        <f t="shared" si="11"/>
        <v>Error?</v>
      </c>
    </row>
    <row r="786" spans="1:4">
      <c r="A786" s="5">
        <v>725</v>
      </c>
      <c r="B786" s="138">
        <f>'Expenditures 15-22'!D44</f>
        <v>10888</v>
      </c>
      <c r="D786" s="2" t="str">
        <f t="shared" si="11"/>
        <v>Error?</v>
      </c>
    </row>
    <row r="787" spans="1:4">
      <c r="A787" s="5">
        <v>726</v>
      </c>
      <c r="B787" s="138">
        <f>'Expenditures 15-22'!D45</f>
        <v>4943</v>
      </c>
      <c r="D787" s="2" t="str">
        <f t="shared" si="11"/>
        <v>Error?</v>
      </c>
    </row>
    <row r="788" spans="1:4">
      <c r="A788" s="5">
        <v>727</v>
      </c>
      <c r="B788" s="138">
        <f>'Expenditures 15-22'!D46</f>
        <v>0</v>
      </c>
      <c r="D788" s="2" t="str">
        <f t="shared" si="11"/>
        <v>Error?</v>
      </c>
    </row>
    <row r="789" spans="1:4">
      <c r="A789" s="5">
        <v>728</v>
      </c>
      <c r="B789" s="138">
        <f>'Expenditures 15-22'!D47</f>
        <v>15831</v>
      </c>
      <c r="C789" s="2" t="s">
        <v>573</v>
      </c>
      <c r="D789" s="2" t="str">
        <f t="shared" si="11"/>
        <v>Error?</v>
      </c>
    </row>
    <row r="790" spans="1:4">
      <c r="A790" s="5">
        <v>729</v>
      </c>
      <c r="B790" s="138">
        <f>'Expenditures 15-22'!D49</f>
        <v>1291</v>
      </c>
      <c r="D790" s="2" t="str">
        <f t="shared" si="11"/>
        <v>Error?</v>
      </c>
    </row>
    <row r="791" spans="1:4">
      <c r="A791" s="5">
        <v>730</v>
      </c>
      <c r="B791" s="138">
        <f>'Expenditures 15-22'!D50</f>
        <v>23975</v>
      </c>
      <c r="D791" s="2" t="str">
        <f t="shared" si="11"/>
        <v>Error?</v>
      </c>
    </row>
    <row r="792" spans="1:4">
      <c r="A792" s="5">
        <v>731</v>
      </c>
      <c r="B792" s="138">
        <f>'Expenditures 15-22'!D53</f>
        <v>25266</v>
      </c>
      <c r="C792" s="2" t="s">
        <v>573</v>
      </c>
      <c r="D792" s="2" t="str">
        <f t="shared" si="11"/>
        <v>Error?</v>
      </c>
    </row>
    <row r="793" spans="1:4">
      <c r="A793" s="5">
        <v>732</v>
      </c>
      <c r="B793" s="138">
        <f>'Expenditures 15-22'!D55</f>
        <v>223609</v>
      </c>
      <c r="D793" s="2" t="str">
        <f t="shared" si="11"/>
        <v>Error?</v>
      </c>
    </row>
    <row r="794" spans="1:4">
      <c r="A794" s="5">
        <v>733</v>
      </c>
      <c r="B794" s="138">
        <f>'Expenditures 15-22'!D56</f>
        <v>0</v>
      </c>
      <c r="D794" s="2" t="str">
        <f t="shared" si="11"/>
        <v>Error?</v>
      </c>
    </row>
    <row r="795" spans="1:4">
      <c r="A795" s="5">
        <v>734</v>
      </c>
      <c r="B795" s="138">
        <f>'Expenditures 15-22'!D57</f>
        <v>223609</v>
      </c>
      <c r="C795" s="2" t="s">
        <v>573</v>
      </c>
      <c r="D795" s="2" t="str">
        <f t="shared" si="11"/>
        <v>Error?</v>
      </c>
    </row>
    <row r="796" spans="1:4">
      <c r="A796" s="5">
        <v>735</v>
      </c>
      <c r="B796" s="138">
        <f>'Expenditures 15-22'!D59</f>
        <v>0</v>
      </c>
      <c r="D796" s="2" t="str">
        <f t="shared" si="11"/>
        <v>Error?</v>
      </c>
    </row>
    <row r="797" spans="1:4">
      <c r="A797" s="5">
        <v>736</v>
      </c>
      <c r="B797" s="138">
        <f>'Expenditures 15-22'!D60</f>
        <v>4439</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17432</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21871</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573</v>
      </c>
      <c r="D811" s="2" t="str">
        <f t="shared" si="11"/>
        <v>Error?</v>
      </c>
    </row>
    <row r="812" spans="1:4">
      <c r="A812" s="5">
        <v>751</v>
      </c>
      <c r="B812" s="138">
        <f>'Expenditures 15-22'!D73</f>
        <v>0</v>
      </c>
      <c r="D812" s="2" t="str">
        <f t="shared" si="11"/>
        <v>Error?</v>
      </c>
    </row>
    <row r="813" spans="1:4">
      <c r="A813" s="5">
        <v>752</v>
      </c>
      <c r="B813" s="138">
        <f>'Expenditures 15-22'!D74</f>
        <v>368510</v>
      </c>
      <c r="C813" s="2" t="s">
        <v>573</v>
      </c>
      <c r="D813" s="2" t="str">
        <f t="shared" si="11"/>
        <v>Error?</v>
      </c>
    </row>
    <row r="814" spans="1:4">
      <c r="A814" s="5">
        <v>753</v>
      </c>
      <c r="B814" s="138">
        <f>'Expenditures 15-22'!D75</f>
        <v>0</v>
      </c>
      <c r="D814" s="2" t="str">
        <f t="shared" si="11"/>
        <v>Error?</v>
      </c>
    </row>
    <row r="815" spans="1:4">
      <c r="A815" s="5">
        <v>754</v>
      </c>
      <c r="B815" s="138">
        <f>'Expenditures 15-22'!D114</f>
        <v>1872971</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108197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22039</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10189</v>
      </c>
      <c r="D834" s="2" t="str">
        <f t="shared" si="12"/>
        <v>Error?</v>
      </c>
    </row>
    <row r="835" spans="1:4">
      <c r="A835" s="5">
        <v>774</v>
      </c>
      <c r="B835" s="138">
        <f>'Expenditures 15-22'!E15</f>
        <v>0</v>
      </c>
      <c r="D835" s="2" t="str">
        <f t="shared" si="12"/>
        <v>Error?</v>
      </c>
    </row>
    <row r="836" spans="1:4">
      <c r="A836" s="5">
        <v>775</v>
      </c>
      <c r="B836" s="138">
        <f>'Expenditures 15-22'!E33</f>
        <v>149416</v>
      </c>
      <c r="C836" s="2" t="s">
        <v>573</v>
      </c>
      <c r="D836" s="2" t="str">
        <f t="shared" si="12"/>
        <v>Error?</v>
      </c>
    </row>
    <row r="837" spans="1:4">
      <c r="A837" s="5">
        <v>776</v>
      </c>
      <c r="B837" s="138">
        <f>'Expenditures 15-22'!E36</f>
        <v>0</v>
      </c>
      <c r="D837" s="2" t="str">
        <f t="shared" si="12"/>
        <v>Error?</v>
      </c>
    </row>
    <row r="838" spans="1:4">
      <c r="A838" s="5">
        <v>777</v>
      </c>
      <c r="B838" s="138">
        <f>'Expenditures 15-22'!E37</f>
        <v>297</v>
      </c>
      <c r="D838" s="2" t="str">
        <f t="shared" si="12"/>
        <v>Error?</v>
      </c>
    </row>
    <row r="839" spans="1:4">
      <c r="A839" s="5">
        <v>778</v>
      </c>
      <c r="B839" s="138">
        <f>'Expenditures 15-22'!E38</f>
        <v>4928</v>
      </c>
      <c r="D839" s="2" t="str">
        <f t="shared" si="12"/>
        <v>Error?</v>
      </c>
    </row>
    <row r="840" spans="1:4">
      <c r="A840" s="5">
        <v>779</v>
      </c>
      <c r="B840" s="138">
        <f>'Expenditures 15-22'!E39</f>
        <v>0</v>
      </c>
      <c r="D840" s="2" t="str">
        <f t="shared" si="12"/>
        <v>Error?</v>
      </c>
    </row>
    <row r="841" spans="1:4">
      <c r="A841" s="5">
        <v>780</v>
      </c>
      <c r="B841" s="138">
        <f>'Expenditures 15-22'!E40</f>
        <v>198882</v>
      </c>
      <c r="D841" s="2" t="str">
        <f t="shared" si="12"/>
        <v>Error?</v>
      </c>
    </row>
    <row r="842" spans="1:4">
      <c r="A842" s="5">
        <v>781</v>
      </c>
      <c r="B842" s="138">
        <f>'Expenditures 15-22'!E41</f>
        <v>0</v>
      </c>
      <c r="D842" s="2" t="str">
        <f t="shared" si="12"/>
        <v>Error?</v>
      </c>
    </row>
    <row r="843" spans="1:4">
      <c r="A843" s="5">
        <v>782</v>
      </c>
      <c r="B843" s="138">
        <f>'Expenditures 15-22'!E42</f>
        <v>204107</v>
      </c>
      <c r="C843" s="2" t="s">
        <v>573</v>
      </c>
      <c r="D843" s="2" t="str">
        <f t="shared" si="12"/>
        <v>Error?</v>
      </c>
    </row>
    <row r="844" spans="1:4">
      <c r="A844" s="5">
        <v>783</v>
      </c>
      <c r="B844" s="138">
        <f>'Expenditures 15-22'!E44</f>
        <v>141878</v>
      </c>
      <c r="D844" s="2" t="str">
        <f t="shared" si="12"/>
        <v>Error?</v>
      </c>
    </row>
    <row r="845" spans="1:4">
      <c r="A845" s="5">
        <v>784</v>
      </c>
      <c r="B845" s="138">
        <f>'Expenditures 15-22'!E45</f>
        <v>4267</v>
      </c>
      <c r="D845" s="2" t="str">
        <f t="shared" si="12"/>
        <v>Error?</v>
      </c>
    </row>
    <row r="846" spans="1:4">
      <c r="A846" s="5">
        <v>785</v>
      </c>
      <c r="B846" s="138">
        <f>'Expenditures 15-22'!E46</f>
        <v>28034</v>
      </c>
      <c r="D846" s="2" t="str">
        <f t="shared" si="12"/>
        <v>Error?</v>
      </c>
    </row>
    <row r="847" spans="1:4">
      <c r="A847" s="5">
        <v>786</v>
      </c>
      <c r="B847" s="138">
        <f>'Expenditures 15-22'!E47</f>
        <v>174179</v>
      </c>
      <c r="C847" s="2" t="s">
        <v>573</v>
      </c>
      <c r="D847" s="2" t="str">
        <f t="shared" si="12"/>
        <v>Error?</v>
      </c>
    </row>
    <row r="848" spans="1:4">
      <c r="A848" s="5">
        <v>787</v>
      </c>
      <c r="B848" s="138">
        <f>'Expenditures 15-22'!E49</f>
        <v>175751</v>
      </c>
      <c r="D848" s="2" t="str">
        <f t="shared" si="12"/>
        <v>Error?</v>
      </c>
    </row>
    <row r="849" spans="1:4">
      <c r="A849" s="5">
        <v>788</v>
      </c>
      <c r="B849" s="138">
        <f>'Expenditures 15-22'!E50</f>
        <v>13445</v>
      </c>
      <c r="D849" s="2" t="str">
        <f t="shared" si="12"/>
        <v>Error?</v>
      </c>
    </row>
    <row r="850" spans="1:4">
      <c r="A850" s="5">
        <v>789</v>
      </c>
      <c r="B850" s="138">
        <f>'Expenditures 15-22'!E53</f>
        <v>189196</v>
      </c>
      <c r="C850" s="2" t="s">
        <v>573</v>
      </c>
      <c r="D850" s="2" t="str">
        <f t="shared" si="12"/>
        <v>Error?</v>
      </c>
    </row>
    <row r="851" spans="1:4">
      <c r="A851" s="5">
        <v>790</v>
      </c>
      <c r="B851" s="138">
        <f>'Expenditures 15-22'!E55</f>
        <v>16222</v>
      </c>
      <c r="D851" s="2" t="str">
        <f t="shared" si="12"/>
        <v>Error?</v>
      </c>
    </row>
    <row r="852" spans="1:4">
      <c r="A852" s="5">
        <v>791</v>
      </c>
      <c r="B852" s="138">
        <f>'Expenditures 15-22'!E56</f>
        <v>0</v>
      </c>
      <c r="D852" s="2" t="str">
        <f t="shared" si="12"/>
        <v>Error?</v>
      </c>
    </row>
    <row r="853" spans="1:4">
      <c r="A853" s="5">
        <v>792</v>
      </c>
      <c r="B853" s="138">
        <f>'Expenditures 15-22'!E57</f>
        <v>16222</v>
      </c>
      <c r="C853" s="2" t="s">
        <v>573</v>
      </c>
      <c r="D853" s="2" t="str">
        <f t="shared" si="12"/>
        <v>Error?</v>
      </c>
    </row>
    <row r="854" spans="1:4">
      <c r="A854" s="5">
        <v>793</v>
      </c>
      <c r="B854" s="138">
        <f>'Expenditures 15-22'!E59</f>
        <v>0</v>
      </c>
      <c r="D854" s="2" t="str">
        <f t="shared" si="12"/>
        <v>Error?</v>
      </c>
    </row>
    <row r="855" spans="1:4">
      <c r="A855" s="5">
        <v>794</v>
      </c>
      <c r="B855" s="138">
        <f>'Expenditures 15-22'!E60</f>
        <v>36145</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33258</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69403</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573</v>
      </c>
      <c r="D869" s="2" t="str">
        <f t="shared" si="12"/>
        <v>Error?</v>
      </c>
    </row>
    <row r="870" spans="1:4">
      <c r="A870" s="5">
        <v>809</v>
      </c>
      <c r="B870" s="138">
        <f>'Expenditures 15-22'!E73</f>
        <v>0</v>
      </c>
      <c r="D870" s="2" t="str">
        <f t="shared" si="12"/>
        <v>Error?</v>
      </c>
    </row>
    <row r="871" spans="1:4">
      <c r="A871" s="5">
        <v>810</v>
      </c>
      <c r="B871" s="138">
        <f>'Expenditures 15-22'!E74</f>
        <v>653107</v>
      </c>
      <c r="C871" s="2" t="s">
        <v>573</v>
      </c>
      <c r="D871" s="2" t="str">
        <f t="shared" si="12"/>
        <v>Error?</v>
      </c>
    </row>
    <row r="872" spans="1:4">
      <c r="A872" s="5">
        <v>811</v>
      </c>
      <c r="B872" s="138">
        <f>'Expenditures 15-22'!E75</f>
        <v>990</v>
      </c>
      <c r="D872" s="2" t="str">
        <f t="shared" si="12"/>
        <v>Error?</v>
      </c>
    </row>
    <row r="873" spans="1:4">
      <c r="A873" s="5">
        <v>812</v>
      </c>
      <c r="B873" s="138">
        <f>'Expenditures 15-22'!E114</f>
        <v>803513</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123402</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15477</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3435</v>
      </c>
      <c r="D892" s="2" t="str">
        <f t="shared" si="12"/>
        <v>Error?</v>
      </c>
    </row>
    <row r="893" spans="1:4">
      <c r="A893" s="5">
        <v>832</v>
      </c>
      <c r="B893" s="138">
        <f>'Expenditures 15-22'!F15</f>
        <v>0</v>
      </c>
      <c r="D893" s="2" t="str">
        <f t="shared" si="12"/>
        <v>Error?</v>
      </c>
    </row>
    <row r="894" spans="1:4">
      <c r="A894" s="5">
        <v>833</v>
      </c>
      <c r="B894" s="138">
        <f>'Expenditures 15-22'!F33</f>
        <v>233851</v>
      </c>
      <c r="C894" s="2" t="s">
        <v>573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80</v>
      </c>
      <c r="D896" s="2" t="str">
        <f t="shared" si="13"/>
        <v>Error?</v>
      </c>
    </row>
    <row r="897" spans="1:4">
      <c r="A897" s="5">
        <v>836</v>
      </c>
      <c r="B897" s="138">
        <f>'Expenditures 15-22'!F38</f>
        <v>1828</v>
      </c>
      <c r="D897" s="2" t="str">
        <f t="shared" si="13"/>
        <v>Error?</v>
      </c>
    </row>
    <row r="898" spans="1:4">
      <c r="A898" s="5">
        <v>837</v>
      </c>
      <c r="B898" s="138">
        <f>'Expenditures 15-22'!F39</f>
        <v>0</v>
      </c>
      <c r="D898" s="2" t="str">
        <f t="shared" si="13"/>
        <v>Error?</v>
      </c>
    </row>
    <row r="899" spans="1:4">
      <c r="A899" s="5">
        <v>838</v>
      </c>
      <c r="B899" s="138">
        <f>'Expenditures 15-22'!F40</f>
        <v>296</v>
      </c>
      <c r="D899" s="2" t="str">
        <f t="shared" si="13"/>
        <v>Error?</v>
      </c>
    </row>
    <row r="900" spans="1:4">
      <c r="A900" s="5">
        <v>839</v>
      </c>
      <c r="B900" s="138">
        <f>'Expenditures 15-22'!F41</f>
        <v>0</v>
      </c>
      <c r="D900" s="2" t="str">
        <f t="shared" si="13"/>
        <v>Error?</v>
      </c>
    </row>
    <row r="901" spans="1:4">
      <c r="A901" s="5">
        <v>840</v>
      </c>
      <c r="B901" s="138">
        <f>'Expenditures 15-22'!F42</f>
        <v>2204</v>
      </c>
      <c r="C901" s="2" t="s">
        <v>573</v>
      </c>
      <c r="D901" s="2" t="str">
        <f t="shared" si="13"/>
        <v>Error?</v>
      </c>
    </row>
    <row r="902" spans="1:4">
      <c r="A902" s="5">
        <v>841</v>
      </c>
      <c r="B902" s="138">
        <f>'Expenditures 15-22'!F44</f>
        <v>106838</v>
      </c>
      <c r="D902" s="2" t="str">
        <f t="shared" si="13"/>
        <v>Error?</v>
      </c>
    </row>
    <row r="903" spans="1:4">
      <c r="A903" s="5">
        <v>842</v>
      </c>
      <c r="B903" s="138">
        <f>'Expenditures 15-22'!F45</f>
        <v>10588</v>
      </c>
      <c r="D903" s="2" t="str">
        <f t="shared" si="13"/>
        <v>Error?</v>
      </c>
    </row>
    <row r="904" spans="1:4">
      <c r="A904" s="5">
        <v>843</v>
      </c>
      <c r="B904" s="138">
        <f>'Expenditures 15-22'!F46</f>
        <v>0</v>
      </c>
      <c r="D904" s="2" t="str">
        <f t="shared" si="13"/>
        <v>Error?</v>
      </c>
    </row>
    <row r="905" spans="1:4">
      <c r="A905" s="5">
        <v>844</v>
      </c>
      <c r="B905" s="138">
        <f>'Expenditures 15-22'!F47</f>
        <v>117426</v>
      </c>
      <c r="C905" s="2" t="s">
        <v>573</v>
      </c>
      <c r="D905" s="2" t="str">
        <f t="shared" si="13"/>
        <v>Error?</v>
      </c>
    </row>
    <row r="906" spans="1:4">
      <c r="A906" s="5">
        <v>845</v>
      </c>
      <c r="B906" s="138">
        <f>'Expenditures 15-22'!F49</f>
        <v>2954</v>
      </c>
      <c r="D906" s="2" t="str">
        <f t="shared" si="13"/>
        <v>Error?</v>
      </c>
    </row>
    <row r="907" spans="1:4">
      <c r="A907" s="5">
        <v>846</v>
      </c>
      <c r="B907" s="138">
        <f>'Expenditures 15-22'!F50</f>
        <v>21276</v>
      </c>
      <c r="D907" s="2" t="str">
        <f t="shared" si="13"/>
        <v>Error?</v>
      </c>
    </row>
    <row r="908" spans="1:4">
      <c r="A908" s="5">
        <v>847</v>
      </c>
      <c r="B908" s="138">
        <f>'Expenditures 15-22'!F53</f>
        <v>24230</v>
      </c>
      <c r="C908" s="2" t="s">
        <v>573</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573</v>
      </c>
      <c r="D911" s="2" t="str">
        <f t="shared" si="13"/>
        <v>Error?</v>
      </c>
    </row>
    <row r="912" spans="1:4">
      <c r="A912" s="5">
        <v>851</v>
      </c>
      <c r="B912" s="138">
        <f>'Expenditures 15-22'!F59</f>
        <v>0</v>
      </c>
      <c r="D912" s="2" t="str">
        <f t="shared" si="13"/>
        <v>Error?</v>
      </c>
    </row>
    <row r="913" spans="1:4">
      <c r="A913" s="5">
        <v>852</v>
      </c>
      <c r="B913" s="138">
        <f>'Expenditures 15-22'!F60</f>
        <v>1520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275917</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277437</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421297</v>
      </c>
      <c r="C929" s="2" t="s">
        <v>573</v>
      </c>
      <c r="D929" s="2" t="str">
        <f t="shared" si="13"/>
        <v>Error?</v>
      </c>
    </row>
    <row r="930" spans="1:4">
      <c r="A930" s="5">
        <v>869</v>
      </c>
      <c r="B930" s="138">
        <f>'Expenditures 15-22'!F75</f>
        <v>1392</v>
      </c>
      <c r="D930" s="2" t="str">
        <f t="shared" si="13"/>
        <v>Error?</v>
      </c>
    </row>
    <row r="931" spans="1:4">
      <c r="A931" s="5">
        <v>870</v>
      </c>
      <c r="B931" s="138">
        <f>'Expenditures 15-22'!F114</f>
        <v>656540</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2965</v>
      </c>
      <c r="D950" s="2" t="str">
        <f t="shared" si="13"/>
        <v>Error?</v>
      </c>
    </row>
    <row r="951" spans="1:4">
      <c r="A951" s="5">
        <v>890</v>
      </c>
      <c r="B951" s="138">
        <f>'Expenditures 15-22'!G15</f>
        <v>0</v>
      </c>
      <c r="D951" s="2" t="str">
        <f t="shared" si="13"/>
        <v>Error?</v>
      </c>
    </row>
    <row r="952" spans="1:4">
      <c r="A952" s="5">
        <v>891</v>
      </c>
      <c r="B952" s="138">
        <f>'Expenditures 15-22'!G33</f>
        <v>2965</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43009</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43009</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43009</v>
      </c>
      <c r="C987" s="2" t="s">
        <v>573</v>
      </c>
      <c r="D987" s="2" t="str">
        <f t="shared" si="14"/>
        <v>Error?</v>
      </c>
    </row>
    <row r="988" spans="1:4">
      <c r="A988" s="5">
        <v>927</v>
      </c>
      <c r="B988" s="138">
        <f>'Expenditures 15-22'!G75</f>
        <v>0</v>
      </c>
      <c r="D988" s="2" t="str">
        <f t="shared" si="14"/>
        <v>Error?</v>
      </c>
    </row>
    <row r="989" spans="1:4">
      <c r="A989" s="5">
        <v>928</v>
      </c>
      <c r="B989" s="138">
        <f>'Expenditures 15-22'!G114</f>
        <v>45974</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5800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5800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0</v>
      </c>
      <c r="C1045" s="2" t="s">
        <v>573</v>
      </c>
      <c r="D1045" s="2" t="str">
        <f t="shared" si="15"/>
        <v>Error?</v>
      </c>
    </row>
    <row r="1046" spans="1:4">
      <c r="A1046" s="5">
        <v>985</v>
      </c>
      <c r="B1046" s="138">
        <f>'Expenditures 15-22'!H75</f>
        <v>0</v>
      </c>
      <c r="D1046" s="2" t="str">
        <f t="shared" si="15"/>
        <v>Error?</v>
      </c>
    </row>
    <row r="1047" spans="1:4">
      <c r="A1047" s="5">
        <v>986</v>
      </c>
      <c r="B1047" s="138">
        <f>'Expenditures 15-22'!H102</f>
        <v>792926</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798726</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5474603</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936121</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60090</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9250869</v>
      </c>
      <c r="C1108" s="2" t="s">
        <v>573</v>
      </c>
      <c r="D1108" s="2" t="str">
        <f t="shared" si="16"/>
        <v>Error?</v>
      </c>
    </row>
    <row r="1109" spans="1:4">
      <c r="A1109" s="5">
        <v>1048</v>
      </c>
      <c r="B1109" s="138">
        <f>'Expenditures 15-22'!K36</f>
        <v>0</v>
      </c>
      <c r="C1109" s="2" t="s">
        <v>573</v>
      </c>
      <c r="D1109" s="2" t="str">
        <f t="shared" si="16"/>
        <v>Error?</v>
      </c>
    </row>
    <row r="1110" spans="1:4">
      <c r="A1110" s="5">
        <v>1049</v>
      </c>
      <c r="B1110" s="138">
        <f>'Expenditures 15-22'!K37</f>
        <v>279215</v>
      </c>
      <c r="C1110" s="2" t="s">
        <v>573</v>
      </c>
      <c r="D1110" s="2" t="str">
        <f t="shared" si="16"/>
        <v>Error?</v>
      </c>
    </row>
    <row r="1111" spans="1:4">
      <c r="A1111" s="5">
        <v>1050</v>
      </c>
      <c r="B1111" s="138">
        <f>'Expenditures 15-22'!K38</f>
        <v>161513</v>
      </c>
      <c r="C1111" s="2" t="s">
        <v>573</v>
      </c>
      <c r="D1111" s="2" t="str">
        <f t="shared" si="16"/>
        <v>Error?</v>
      </c>
    </row>
    <row r="1112" spans="1:4">
      <c r="A1112" s="5">
        <v>1051</v>
      </c>
      <c r="B1112" s="138">
        <f>'Expenditures 15-22'!K39</f>
        <v>0</v>
      </c>
      <c r="C1112" s="2" t="s">
        <v>573</v>
      </c>
      <c r="D1112" s="2" t="str">
        <f t="shared" si="16"/>
        <v>Error?</v>
      </c>
    </row>
    <row r="1113" spans="1:4">
      <c r="A1113" s="5">
        <v>1052</v>
      </c>
      <c r="B1113" s="138">
        <f>'Expenditures 15-22'!K40</f>
        <v>225386</v>
      </c>
      <c r="C1113" s="2" t="s">
        <v>573</v>
      </c>
      <c r="D1113" s="2" t="str">
        <f t="shared" si="16"/>
        <v>Error?</v>
      </c>
    </row>
    <row r="1114" spans="1:4">
      <c r="A1114" s="5">
        <v>1053</v>
      </c>
      <c r="B1114" s="138">
        <f>'Expenditures 15-22'!K41</f>
        <v>75680</v>
      </c>
      <c r="C1114" s="2" t="s">
        <v>573</v>
      </c>
      <c r="D1114" s="2" t="str">
        <f t="shared" si="16"/>
        <v>Error?</v>
      </c>
    </row>
    <row r="1115" spans="1:4">
      <c r="A1115" s="5">
        <v>1054</v>
      </c>
      <c r="B1115" s="138">
        <f>'Expenditures 15-22'!K42</f>
        <v>741794</v>
      </c>
      <c r="C1115" s="2" t="s">
        <v>573</v>
      </c>
      <c r="D1115" s="2" t="str">
        <f t="shared" si="16"/>
        <v>Error?</v>
      </c>
    </row>
    <row r="1116" spans="1:4">
      <c r="A1116" s="5">
        <v>1055</v>
      </c>
      <c r="B1116" s="138">
        <f>'Expenditures 15-22'!K44</f>
        <v>397079</v>
      </c>
      <c r="C1116" s="2" t="s">
        <v>573</v>
      </c>
      <c r="D1116" s="2" t="str">
        <f t="shared" si="16"/>
        <v>Error?</v>
      </c>
    </row>
    <row r="1117" spans="1:4">
      <c r="A1117" s="5">
        <v>1056</v>
      </c>
      <c r="B1117" s="138">
        <f>'Expenditures 15-22'!K45</f>
        <v>93212</v>
      </c>
      <c r="C1117" s="2" t="s">
        <v>573</v>
      </c>
      <c r="D1117" s="2" t="str">
        <f t="shared" si="16"/>
        <v>Error?</v>
      </c>
    </row>
    <row r="1118" spans="1:4">
      <c r="A1118" s="5">
        <v>1057</v>
      </c>
      <c r="B1118" s="138">
        <f>'Expenditures 15-22'!K46</f>
        <v>28034</v>
      </c>
      <c r="C1118" s="2" t="s">
        <v>573</v>
      </c>
      <c r="D1118" s="2" t="str">
        <f t="shared" si="16"/>
        <v>Error?</v>
      </c>
    </row>
    <row r="1119" spans="1:4">
      <c r="A1119" s="5">
        <v>1058</v>
      </c>
      <c r="B1119" s="138">
        <f>'Expenditures 15-22'!K47</f>
        <v>518325</v>
      </c>
      <c r="C1119" s="2" t="s">
        <v>573</v>
      </c>
      <c r="D1119" s="2" t="str">
        <f t="shared" si="16"/>
        <v>Error?</v>
      </c>
    </row>
    <row r="1120" spans="1:4">
      <c r="A1120" s="5">
        <v>1059</v>
      </c>
      <c r="B1120" s="138">
        <f>'Expenditures 15-22'!K49</f>
        <v>179996</v>
      </c>
      <c r="C1120" s="2" t="s">
        <v>573</v>
      </c>
      <c r="D1120" s="2" t="str">
        <f t="shared" si="16"/>
        <v>Error?</v>
      </c>
    </row>
    <row r="1121" spans="1:4">
      <c r="A1121" s="5">
        <v>1060</v>
      </c>
      <c r="B1121" s="138">
        <f>'Expenditures 15-22'!K50</f>
        <v>117745</v>
      </c>
      <c r="C1121" s="2" t="s">
        <v>573</v>
      </c>
      <c r="D1121" s="2" t="str">
        <f t="shared" si="16"/>
        <v>Error?</v>
      </c>
    </row>
    <row r="1122" spans="1:4">
      <c r="A1122" s="5">
        <v>1061</v>
      </c>
      <c r="B1122" s="138">
        <f>'Expenditures 15-22'!K53</f>
        <v>297741</v>
      </c>
      <c r="C1122" s="2" t="s">
        <v>573</v>
      </c>
      <c r="D1122" s="2" t="str">
        <f t="shared" si="16"/>
        <v>Error?</v>
      </c>
    </row>
    <row r="1123" spans="1:4">
      <c r="A1123" s="5">
        <v>1062</v>
      </c>
      <c r="B1123" s="138">
        <f>'Expenditures 15-22'!K55</f>
        <v>1016413</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1016413</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59384</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432292</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491676</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0</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3065949</v>
      </c>
      <c r="C1143" s="2" t="s">
        <v>573</v>
      </c>
      <c r="D1143" s="2" t="str">
        <f t="shared" si="16"/>
        <v>Error?</v>
      </c>
    </row>
    <row r="1144" spans="1:4">
      <c r="A1144" s="5">
        <v>1083</v>
      </c>
      <c r="B1144" s="138">
        <f>'Expenditures 15-22'!K75</f>
        <v>2382</v>
      </c>
      <c r="C1144" s="2" t="s">
        <v>573</v>
      </c>
      <c r="D1144" s="2" t="str">
        <f t="shared" si="16"/>
        <v>Error?</v>
      </c>
    </row>
    <row r="1145" spans="1:4">
      <c r="A1145" s="5">
        <v>1084</v>
      </c>
      <c r="B1145" s="138">
        <f>'Expenditures 15-22'!K102</f>
        <v>792926</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13112126</v>
      </c>
      <c r="C1152" s="2" t="s">
        <v>573</v>
      </c>
      <c r="D1152" s="2" t="str">
        <f t="shared" si="17"/>
        <v>Error?</v>
      </c>
    </row>
    <row r="1153" spans="1:4">
      <c r="A1153" s="5">
        <v>1092</v>
      </c>
      <c r="B1153" s="138">
        <f>'Expenditures 15-22'!K115</f>
        <v>-236938</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444889</v>
      </c>
      <c r="D1221" s="2" t="str">
        <f t="shared" si="18"/>
        <v>Error?</v>
      </c>
    </row>
    <row r="1222" spans="1:4">
      <c r="A1222" s="10">
        <v>1161</v>
      </c>
      <c r="D1222" s="2" t="str">
        <f t="shared" si="18"/>
        <v>OK</v>
      </c>
    </row>
    <row r="1223" spans="1:4">
      <c r="A1223" s="5">
        <v>1162</v>
      </c>
      <c r="B1223" s="138">
        <f>'Expenditures 15-22'!C127</f>
        <v>444889</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444889</v>
      </c>
      <c r="C1225" s="2" t="s">
        <v>573</v>
      </c>
      <c r="D1225" s="2" t="str">
        <f t="shared" si="18"/>
        <v>Error?</v>
      </c>
    </row>
    <row r="1226" spans="1:4">
      <c r="A1226" s="5">
        <v>1165</v>
      </c>
      <c r="B1226" s="138">
        <f>'Expenditures 15-22'!C151</f>
        <v>444889</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67894</v>
      </c>
      <c r="D1229" s="2" t="str">
        <f t="shared" si="18"/>
        <v>Error?</v>
      </c>
    </row>
    <row r="1230" spans="1:4">
      <c r="A1230" s="10">
        <v>1169</v>
      </c>
      <c r="D1230" s="2" t="str">
        <f t="shared" si="18"/>
        <v>OK</v>
      </c>
    </row>
    <row r="1231" spans="1:4">
      <c r="A1231" s="5">
        <v>1170</v>
      </c>
      <c r="B1231" s="138">
        <f>'Expenditures 15-22'!D127</f>
        <v>67894</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67894</v>
      </c>
      <c r="C1233" s="2" t="s">
        <v>573</v>
      </c>
      <c r="D1233" s="2" t="str">
        <f t="shared" si="18"/>
        <v>Error?</v>
      </c>
    </row>
    <row r="1234" spans="1:4">
      <c r="A1234" s="5">
        <v>1173</v>
      </c>
      <c r="B1234" s="138">
        <f>'Expenditures 15-22'!D151</f>
        <v>67894</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324045</v>
      </c>
      <c r="D1237" s="2" t="str">
        <f t="shared" si="18"/>
        <v>Error?</v>
      </c>
    </row>
    <row r="1238" spans="1:4">
      <c r="A1238" s="10">
        <v>1177</v>
      </c>
      <c r="D1238" s="2" t="str">
        <f t="shared" si="18"/>
        <v>OK</v>
      </c>
    </row>
    <row r="1239" spans="1:4">
      <c r="A1239" s="5">
        <v>1178</v>
      </c>
      <c r="B1239" s="138">
        <f>'Expenditures 15-22'!E127</f>
        <v>324045</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324045</v>
      </c>
      <c r="C1241" s="2" t="s">
        <v>573</v>
      </c>
      <c r="D1241" s="2" t="str">
        <f t="shared" si="18"/>
        <v>Error?</v>
      </c>
    </row>
    <row r="1242" spans="1:4">
      <c r="A1242" s="5">
        <v>1181</v>
      </c>
      <c r="B1242" s="138">
        <f>'Expenditures 15-22'!E151</f>
        <v>324045</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346152</v>
      </c>
      <c r="D1245" s="2" t="str">
        <f t="shared" si="18"/>
        <v>Error?</v>
      </c>
    </row>
    <row r="1246" spans="1:4">
      <c r="A1246" s="10">
        <v>1185</v>
      </c>
      <c r="D1246" s="2" t="str">
        <f t="shared" si="18"/>
        <v>OK</v>
      </c>
    </row>
    <row r="1247" spans="1:4">
      <c r="A1247" s="5">
        <v>1186</v>
      </c>
      <c r="B1247" s="138">
        <f>'Expenditures 15-22'!F127</f>
        <v>346152</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346152</v>
      </c>
      <c r="C1249" s="2" t="s">
        <v>573</v>
      </c>
      <c r="D1249" s="2" t="str">
        <f t="shared" si="18"/>
        <v>Error?</v>
      </c>
    </row>
    <row r="1250" spans="1:4">
      <c r="A1250" s="5">
        <v>1189</v>
      </c>
      <c r="B1250" s="138">
        <f>'Expenditures 15-22'!F151</f>
        <v>346152</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211002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211002</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211002</v>
      </c>
      <c r="C1258" s="2" t="s">
        <v>573</v>
      </c>
      <c r="D1258" s="2" t="str">
        <f t="shared" si="18"/>
        <v>Error?</v>
      </c>
    </row>
    <row r="1259" spans="1:4">
      <c r="A1259" s="5">
        <v>1198</v>
      </c>
      <c r="B1259" s="138">
        <f>'Expenditures 15-22'!G151</f>
        <v>211002</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7020</v>
      </c>
      <c r="D1262" s="2" t="str">
        <f t="shared" si="18"/>
        <v>Error?</v>
      </c>
    </row>
    <row r="1263" spans="1:4">
      <c r="A1263" s="10">
        <v>1202</v>
      </c>
      <c r="D1263" s="2" t="str">
        <f t="shared" si="18"/>
        <v>OK</v>
      </c>
    </row>
    <row r="1264" spans="1:4">
      <c r="A1264" s="5">
        <v>1203</v>
      </c>
      <c r="B1264" s="138">
        <f>'Expenditures 15-22'!H127</f>
        <v>7020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7020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7020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1401002</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1401002</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1401002</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1401002</v>
      </c>
      <c r="C1288" s="2" t="s">
        <v>573</v>
      </c>
      <c r="D1288" s="2" t="str">
        <f t="shared" si="19"/>
        <v>Error?</v>
      </c>
    </row>
    <row r="1289" spans="1:4">
      <c r="A1289" s="5">
        <v>1228</v>
      </c>
      <c r="B1289" s="138">
        <f>'Expenditures 15-22'!K152</f>
        <v>-42067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377697</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1081555</v>
      </c>
      <c r="D1315" s="2" t="str">
        <f t="shared" si="19"/>
        <v>Error?</v>
      </c>
    </row>
    <row r="1316" spans="1:4">
      <c r="A1316" s="5">
        <v>1255</v>
      </c>
      <c r="B1316" s="138">
        <f>'Expenditures 15-22'!H171</f>
        <v>0</v>
      </c>
      <c r="D1316" s="2" t="str">
        <f t="shared" si="19"/>
        <v>Error?</v>
      </c>
    </row>
    <row r="1317" spans="1:4">
      <c r="A1317" s="5">
        <v>1256</v>
      </c>
      <c r="B1317" s="138">
        <f>'Expenditures 15-22'!H172</f>
        <v>1459252</v>
      </c>
      <c r="C1317" s="2" t="s">
        <v>573</v>
      </c>
      <c r="D1317" s="2" t="str">
        <f t="shared" si="19"/>
        <v>Error?</v>
      </c>
    </row>
    <row r="1318" spans="1:4">
      <c r="A1318" s="5">
        <v>1257</v>
      </c>
      <c r="B1318" s="138">
        <f>'Expenditures 15-22'!H174</f>
        <v>1459252</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377697</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1081555</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1459252</v>
      </c>
      <c r="C1331" s="2" t="s">
        <v>573</v>
      </c>
      <c r="D1331" s="2" t="str">
        <f t="shared" si="19"/>
        <v>Error?</v>
      </c>
    </row>
    <row r="1332" spans="1:4">
      <c r="A1332" s="5">
        <v>1271</v>
      </c>
      <c r="B1332" s="138">
        <f>'Expenditures 15-22'!K174</f>
        <v>1459252</v>
      </c>
      <c r="C1332" s="2" t="s">
        <v>573</v>
      </c>
      <c r="D1332" s="2" t="str">
        <f t="shared" si="19"/>
        <v>Error?</v>
      </c>
    </row>
    <row r="1333" spans="1:4">
      <c r="A1333" s="5">
        <v>1272</v>
      </c>
      <c r="B1333" s="138">
        <f>'Expenditures 15-22'!K175</f>
        <v>-148344</v>
      </c>
      <c r="C1333" s="2" t="s">
        <v>573</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573</v>
      </c>
      <c r="D1339" s="2" t="str">
        <f t="shared" si="19"/>
        <v>Error?</v>
      </c>
    </row>
    <row r="1340" spans="1:4">
      <c r="A1340" s="5">
        <v>1279</v>
      </c>
      <c r="B1340" s="138">
        <f>'Expenditures 15-22'!C210</f>
        <v>0</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132760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132760</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132760</v>
      </c>
      <c r="C1353" s="2" t="s">
        <v>573</v>
      </c>
      <c r="D1353" s="2" t="str">
        <f t="shared" si="20"/>
        <v>Error?</v>
      </c>
    </row>
    <row r="1354" spans="1:4">
      <c r="A1354" s="5">
        <v>1293</v>
      </c>
      <c r="B1354" s="138">
        <f>'Expenditures 15-22'!F182</f>
        <v>15409</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15409</v>
      </c>
      <c r="C1358" s="2" t="s">
        <v>573</v>
      </c>
      <c r="D1358" s="2" t="str">
        <f t="shared" si="20"/>
        <v>Error?</v>
      </c>
    </row>
    <row r="1359" spans="1:4">
      <c r="A1359" s="5">
        <v>1298</v>
      </c>
      <c r="B1359" s="138">
        <f>'Expenditures 15-22'!F210</f>
        <v>15409</v>
      </c>
      <c r="C1359" s="2" t="s">
        <v>573</v>
      </c>
      <c r="D1359" s="2" t="str">
        <f t="shared" si="20"/>
        <v>Error?</v>
      </c>
    </row>
    <row r="1360" spans="1:4">
      <c r="A1360" s="5">
        <v>1299</v>
      </c>
      <c r="B1360" s="138">
        <f>'Expenditures 15-22'!G182</f>
        <v>123096</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123096</v>
      </c>
      <c r="C1364" s="2" t="s">
        <v>573</v>
      </c>
      <c r="D1364" s="2" t="str">
        <f t="shared" si="20"/>
        <v>Error?</v>
      </c>
    </row>
    <row r="1365" spans="1:4">
      <c r="A1365" s="5">
        <v>1304</v>
      </c>
      <c r="B1365" s="138">
        <f>'Expenditures 15-22'!G210</f>
        <v>123096</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884909</v>
      </c>
      <c r="C1376" s="2" t="s">
        <v>573</v>
      </c>
      <c r="D1376" s="2" t="str">
        <f t="shared" si="20"/>
        <v>Error?</v>
      </c>
    </row>
    <row r="1377" spans="1:4">
      <c r="A1377" s="5">
        <v>1316</v>
      </c>
      <c r="B1377" s="138">
        <f>'Expenditures 15-22'!K182</f>
        <v>271265</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271265</v>
      </c>
      <c r="C1381" s="2" t="s">
        <v>573</v>
      </c>
      <c r="D1381" s="2" t="str">
        <f t="shared" si="20"/>
        <v>Error?</v>
      </c>
    </row>
    <row r="1382" spans="1:4">
      <c r="A1382" s="5">
        <v>1321</v>
      </c>
      <c r="B1382" s="138">
        <f>'Expenditures 15-22'!K196</f>
        <v>884909</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1156174</v>
      </c>
      <c r="C1388" s="2" t="s">
        <v>573</v>
      </c>
      <c r="D1388" s="2" t="str">
        <f t="shared" si="20"/>
        <v>Error?</v>
      </c>
    </row>
    <row r="1389" spans="1:4">
      <c r="A1389" s="5">
        <v>1328</v>
      </c>
      <c r="B1389" s="138">
        <f>'Expenditures 15-22'!K211</f>
        <v>-217628</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24567</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1517</v>
      </c>
      <c r="D1408" s="2" t="str">
        <f t="shared" si="21"/>
        <v>Error?</v>
      </c>
    </row>
    <row r="1409" spans="1:4">
      <c r="A1409" s="5">
        <v>1348</v>
      </c>
      <c r="B1409" s="138">
        <f>'Expenditures 15-22'!D224</f>
        <v>0</v>
      </c>
      <c r="D1409" s="2" t="str">
        <f t="shared" si="21"/>
        <v>Error?</v>
      </c>
    </row>
    <row r="1410" spans="1:4">
      <c r="A1410" s="5">
        <v>1349</v>
      </c>
      <c r="B1410" s="138">
        <f>'Expenditures 15-22'!D229</f>
        <v>220633</v>
      </c>
      <c r="C1410" s="2" t="s">
        <v>573</v>
      </c>
      <c r="D1410" s="2" t="str">
        <f t="shared" si="21"/>
        <v>Error?</v>
      </c>
    </row>
    <row r="1411" spans="1:4">
      <c r="A1411" s="5">
        <v>1350</v>
      </c>
      <c r="B1411" s="138">
        <f>'Expenditures 15-22'!D232</f>
        <v>0</v>
      </c>
      <c r="D1411" s="2" t="str">
        <f t="shared" si="21"/>
        <v>Error?</v>
      </c>
    </row>
    <row r="1412" spans="1:4">
      <c r="A1412" s="5">
        <v>1351</v>
      </c>
      <c r="B1412" s="138">
        <f>'Expenditures 15-22'!D233</f>
        <v>3961</v>
      </c>
      <c r="D1412" s="2" t="str">
        <f t="shared" si="21"/>
        <v>Error?</v>
      </c>
    </row>
    <row r="1413" spans="1:4">
      <c r="A1413" s="5">
        <v>1352</v>
      </c>
      <c r="B1413" s="138">
        <f>'Expenditures 15-22'!D234</f>
        <v>15547</v>
      </c>
      <c r="D1413" s="2" t="str">
        <f t="shared" si="21"/>
        <v>Error?</v>
      </c>
    </row>
    <row r="1414" spans="1:4">
      <c r="A1414" s="5">
        <v>1353</v>
      </c>
      <c r="B1414" s="138">
        <f>'Expenditures 15-22'!D235</f>
        <v>0</v>
      </c>
      <c r="D1414" s="2" t="str">
        <f t="shared" si="21"/>
        <v>Error?</v>
      </c>
    </row>
    <row r="1415" spans="1:4">
      <c r="A1415" s="5">
        <v>1354</v>
      </c>
      <c r="B1415" s="138">
        <f>'Expenditures 15-22'!D236</f>
        <v>419</v>
      </c>
      <c r="D1415" s="2" t="str">
        <f t="shared" si="21"/>
        <v>Error?</v>
      </c>
    </row>
    <row r="1416" spans="1:4">
      <c r="A1416" s="5">
        <v>1355</v>
      </c>
      <c r="B1416" s="138">
        <f>'Expenditures 15-22'!D237</f>
        <v>4227</v>
      </c>
      <c r="D1416" s="2" t="str">
        <f t="shared" si="21"/>
        <v>Error?</v>
      </c>
    </row>
    <row r="1417" spans="1:4">
      <c r="A1417" s="5">
        <v>1356</v>
      </c>
      <c r="B1417" s="138">
        <f>'Expenditures 15-22'!D238</f>
        <v>24154</v>
      </c>
      <c r="C1417" s="2" t="s">
        <v>573</v>
      </c>
      <c r="D1417" s="2" t="str">
        <f t="shared" si="21"/>
        <v>Error?</v>
      </c>
    </row>
    <row r="1418" spans="1:4">
      <c r="A1418" s="5">
        <v>1357</v>
      </c>
      <c r="B1418" s="138">
        <f>'Expenditures 15-22'!D240</f>
        <v>1421</v>
      </c>
      <c r="D1418" s="2" t="str">
        <f t="shared" si="21"/>
        <v>Error?</v>
      </c>
    </row>
    <row r="1419" spans="1:4">
      <c r="A1419" s="5">
        <v>1358</v>
      </c>
      <c r="B1419" s="138">
        <f>'Expenditures 15-22'!D241</f>
        <v>15759</v>
      </c>
      <c r="D1419" s="2" t="str">
        <f t="shared" si="21"/>
        <v>Error?</v>
      </c>
    </row>
    <row r="1420" spans="1:4">
      <c r="A1420" s="5">
        <v>1359</v>
      </c>
      <c r="B1420" s="138">
        <f>'Expenditures 15-22'!D242</f>
        <v>0</v>
      </c>
      <c r="D1420" s="2" t="str">
        <f t="shared" si="21"/>
        <v>Error?</v>
      </c>
    </row>
    <row r="1421" spans="1:4">
      <c r="A1421" s="5">
        <v>1360</v>
      </c>
      <c r="B1421" s="138">
        <f>'Expenditures 15-22'!D243</f>
        <v>17180</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1161</v>
      </c>
      <c r="D1423" s="2" t="str">
        <f t="shared" si="21"/>
        <v>Error?</v>
      </c>
    </row>
    <row r="1424" spans="1:4">
      <c r="A1424" s="5">
        <v>1363</v>
      </c>
      <c r="B1424" s="138">
        <f>'Expenditures 15-22'!D257</f>
        <v>1161</v>
      </c>
      <c r="C1424" s="2" t="s">
        <v>573</v>
      </c>
      <c r="D1424" s="2" t="str">
        <f t="shared" si="21"/>
        <v>Error?</v>
      </c>
    </row>
    <row r="1425" spans="1:4">
      <c r="A1425" s="5">
        <v>1364</v>
      </c>
      <c r="B1425" s="138">
        <f>'Expenditures 15-22'!D259</f>
        <v>33770</v>
      </c>
      <c r="D1425" s="2" t="str">
        <f t="shared" si="21"/>
        <v>Error?</v>
      </c>
    </row>
    <row r="1426" spans="1:4">
      <c r="A1426" s="5">
        <v>1365</v>
      </c>
      <c r="B1426" s="138">
        <f>'Expenditures 15-22'!D260</f>
        <v>0</v>
      </c>
      <c r="D1426" s="2" t="str">
        <f t="shared" si="21"/>
        <v>Error?</v>
      </c>
    </row>
    <row r="1427" spans="1:4">
      <c r="A1427" s="5">
        <v>1366</v>
      </c>
      <c r="B1427" s="138">
        <f>'Expenditures 15-22'!D261</f>
        <v>33770</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1322</v>
      </c>
      <c r="D1429" s="2" t="str">
        <f t="shared" si="21"/>
        <v>Error?</v>
      </c>
    </row>
    <row r="1430" spans="1:4">
      <c r="A1430" s="5">
        <v>1369</v>
      </c>
      <c r="B1430" s="138">
        <f>'Expenditures 15-22'!D265</f>
        <v>0</v>
      </c>
      <c r="D1430" s="2" t="str">
        <f t="shared" si="21"/>
        <v>Error?</v>
      </c>
    </row>
    <row r="1431" spans="1:4">
      <c r="A1431" s="5">
        <v>1370</v>
      </c>
      <c r="B1431" s="138">
        <f>'Expenditures 15-22'!D266</f>
        <v>68351</v>
      </c>
      <c r="D1431" s="2" t="str">
        <f t="shared" si="21"/>
        <v>Error?</v>
      </c>
    </row>
    <row r="1432" spans="1:4">
      <c r="A1432" s="5">
        <v>1371</v>
      </c>
      <c r="B1432" s="138">
        <f>'Expenditures 15-22'!D267</f>
        <v>0</v>
      </c>
      <c r="D1432" s="2" t="str">
        <f t="shared" si="21"/>
        <v>Error?</v>
      </c>
    </row>
    <row r="1433" spans="1:4">
      <c r="A1433" s="5">
        <v>1372</v>
      </c>
      <c r="B1433" s="138">
        <f>'Expenditures 15-22'!D268</f>
        <v>21677</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91350</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167615</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423353</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24567</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1517</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220633</v>
      </c>
      <c r="C1474" s="2" t="s">
        <v>573</v>
      </c>
      <c r="D1474" s="2" t="str">
        <f t="shared" si="22"/>
        <v>Error?</v>
      </c>
    </row>
    <row r="1475" spans="1:4">
      <c r="A1475" s="5">
        <v>1414</v>
      </c>
      <c r="B1475" s="138">
        <f>'Expenditures 15-22'!K232</f>
        <v>0</v>
      </c>
      <c r="C1475" s="2" t="s">
        <v>573</v>
      </c>
      <c r="D1475" s="2" t="str">
        <f t="shared" si="22"/>
        <v>Error?</v>
      </c>
    </row>
    <row r="1476" spans="1:4">
      <c r="A1476" s="5">
        <v>1415</v>
      </c>
      <c r="B1476" s="138">
        <f>'Expenditures 15-22'!K233</f>
        <v>3961</v>
      </c>
      <c r="C1476" s="2" t="s">
        <v>573</v>
      </c>
      <c r="D1476" s="2" t="str">
        <f t="shared" si="22"/>
        <v>Error?</v>
      </c>
    </row>
    <row r="1477" spans="1:4">
      <c r="A1477" s="5">
        <v>1416</v>
      </c>
      <c r="B1477" s="138">
        <f>'Expenditures 15-22'!K234</f>
        <v>15547</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419</v>
      </c>
      <c r="C1479" s="2" t="s">
        <v>573</v>
      </c>
      <c r="D1479" s="2" t="str">
        <f t="shared" si="22"/>
        <v>Error?</v>
      </c>
    </row>
    <row r="1480" spans="1:4">
      <c r="A1480" s="5">
        <v>1419</v>
      </c>
      <c r="B1480" s="138">
        <f>'Expenditures 15-22'!K237</f>
        <v>4227</v>
      </c>
      <c r="C1480" s="2" t="s">
        <v>573</v>
      </c>
      <c r="D1480" s="2" t="str">
        <f t="shared" si="22"/>
        <v>Error?</v>
      </c>
    </row>
    <row r="1481" spans="1:4">
      <c r="A1481" s="5">
        <v>1420</v>
      </c>
      <c r="B1481" s="138">
        <f>'Expenditures 15-22'!K238</f>
        <v>24154</v>
      </c>
      <c r="C1481" s="2" t="s">
        <v>573</v>
      </c>
      <c r="D1481" s="2" t="str">
        <f t="shared" si="22"/>
        <v>Error?</v>
      </c>
    </row>
    <row r="1482" spans="1:4">
      <c r="A1482" s="5">
        <v>1421</v>
      </c>
      <c r="B1482" s="138">
        <f>'Expenditures 15-22'!K240</f>
        <v>1421</v>
      </c>
      <c r="C1482" s="2" t="s">
        <v>573</v>
      </c>
      <c r="D1482" s="2" t="str">
        <f t="shared" si="22"/>
        <v>OK</v>
      </c>
    </row>
    <row r="1483" spans="1:4">
      <c r="A1483" s="5">
        <v>1422</v>
      </c>
      <c r="B1483" s="138">
        <f>'Expenditures 15-22'!K241</f>
        <v>15759</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17180</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1161</v>
      </c>
      <c r="C1487" s="2" t="s">
        <v>573</v>
      </c>
      <c r="D1487" s="2" t="str">
        <f t="shared" si="22"/>
        <v>Error?</v>
      </c>
    </row>
    <row r="1488" spans="1:4">
      <c r="A1488" s="5">
        <v>1427</v>
      </c>
      <c r="B1488" s="138">
        <f>'Expenditures 15-22'!K257</f>
        <v>1161</v>
      </c>
      <c r="C1488" s="2" t="s">
        <v>573</v>
      </c>
      <c r="D1488" s="2" t="str">
        <f t="shared" si="22"/>
        <v>Error?</v>
      </c>
    </row>
    <row r="1489" spans="1:4">
      <c r="A1489" s="5">
        <v>1428</v>
      </c>
      <c r="B1489" s="138">
        <f>'Expenditures 15-22'!K259</f>
        <v>33770</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33770</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1322</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68351</v>
      </c>
      <c r="C1495" s="2" t="s">
        <v>573</v>
      </c>
      <c r="D1495" s="2" t="str">
        <f t="shared" si="22"/>
        <v>Error?</v>
      </c>
    </row>
    <row r="1496" spans="1:4">
      <c r="A1496" s="5">
        <v>1435</v>
      </c>
      <c r="B1496" s="138">
        <f>'Expenditures 15-22'!K267</f>
        <v>0</v>
      </c>
      <c r="C1496" s="2" t="s">
        <v>573</v>
      </c>
      <c r="D1496" s="2" t="str">
        <f t="shared" si="22"/>
        <v>Error?</v>
      </c>
    </row>
    <row r="1497" spans="1:4">
      <c r="A1497" s="5">
        <v>1436</v>
      </c>
      <c r="B1497" s="138">
        <f>'Expenditures 15-22'!K268</f>
        <v>21677</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91350</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167615</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423353</v>
      </c>
      <c r="C1517" s="2" t="s">
        <v>573</v>
      </c>
      <c r="D1517" s="2" t="str">
        <f t="shared" si="22"/>
        <v>Error?</v>
      </c>
    </row>
    <row r="1518" spans="1:4">
      <c r="A1518" s="5">
        <v>1457</v>
      </c>
      <c r="B1518" s="138">
        <f>'Expenditures 15-22'!K296</f>
        <v>-74675</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2898609</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2690636</v>
      </c>
      <c r="C1630" s="2" t="s">
        <v>573</v>
      </c>
      <c r="D1630" s="2" t="str">
        <f t="shared" si="24"/>
        <v>Error?</v>
      </c>
    </row>
    <row r="1631" spans="1:4">
      <c r="A1631" s="5">
        <v>1570</v>
      </c>
      <c r="B1631" s="138">
        <f>'Acct Summary 7-8'!D79</f>
        <v>5178125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5136058</v>
      </c>
      <c r="C1644" s="2" t="s">
        <v>573</v>
      </c>
      <c r="D1644" s="2" t="str">
        <f t="shared" si="24"/>
        <v>Error?</v>
      </c>
    </row>
    <row r="1645" spans="1:4">
      <c r="A1645" s="5">
        <v>1584</v>
      </c>
      <c r="B1645" s="138">
        <f>'Acct Summary 7-8'!E79</f>
        <v>871523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723179</v>
      </c>
      <c r="C1658" s="2" t="s">
        <v>573</v>
      </c>
      <c r="D1658" s="2" t="str">
        <f t="shared" si="24"/>
        <v>Error?</v>
      </c>
    </row>
    <row r="1659" spans="1:4">
      <c r="A1659" s="5">
        <v>1598</v>
      </c>
      <c r="B1659" s="138">
        <f>'Acct Summary 7-8'!F79</f>
        <v>18963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803652</v>
      </c>
      <c r="C1672" s="2" t="s">
        <v>573</v>
      </c>
      <c r="D1672" s="2" t="str">
        <f t="shared" si="25"/>
        <v>Error?</v>
      </c>
    </row>
    <row r="1673" spans="1:4">
      <c r="A1673" s="5">
        <v>1612</v>
      </c>
      <c r="B1673" s="138">
        <f>'Acct Summary 7-8'!G79</f>
        <v>523246</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448571</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4729480</v>
      </c>
      <c r="C1744" s="2" t="s">
        <v>573</v>
      </c>
      <c r="D1744" s="2" t="str">
        <f t="shared" si="26"/>
        <v>Error?</v>
      </c>
    </row>
    <row r="1745" spans="1:5">
      <c r="A1745" s="5">
        <v>1684</v>
      </c>
      <c r="B1745" s="138">
        <f>'Tax Sched 23'!B5</f>
        <v>1264681</v>
      </c>
      <c r="C1745" s="2" t="s">
        <v>573</v>
      </c>
      <c r="D1745" s="2" t="str">
        <f t="shared" si="26"/>
        <v>Error?</v>
      </c>
    </row>
    <row r="1746" spans="1:5">
      <c r="A1746" s="5">
        <v>1685</v>
      </c>
      <c r="B1746" s="138">
        <f>'Tax Sched 23'!B6</f>
        <v>1087892</v>
      </c>
      <c r="C1746" s="2" t="s">
        <v>573</v>
      </c>
      <c r="D1746" s="2" t="str">
        <f t="shared" si="26"/>
        <v>Error?</v>
      </c>
    </row>
    <row r="1747" spans="1:5">
      <c r="A1747" s="5">
        <v>1686</v>
      </c>
      <c r="B1747" s="138">
        <f>'Tax Sched 23'!B7</f>
        <v>322897</v>
      </c>
      <c r="C1747" s="2" t="s">
        <v>573</v>
      </c>
      <c r="D1747" s="2" t="str">
        <f t="shared" si="26"/>
        <v>Error?</v>
      </c>
    </row>
    <row r="1748" spans="1:5">
      <c r="A1748" s="5">
        <v>1687</v>
      </c>
      <c r="B1748" s="138">
        <f>'Tax Sched 23'!B8</f>
        <v>133903</v>
      </c>
      <c r="C1748" s="2" t="s">
        <v>573</v>
      </c>
      <c r="D1748" s="2" t="str">
        <f t="shared" si="26"/>
        <v>Error?</v>
      </c>
    </row>
    <row r="1749" spans="1:5">
      <c r="A1749" s="5">
        <v>1688</v>
      </c>
      <c r="B1749" s="138">
        <f>'Tax Sched 23'!B10</f>
        <v>134544</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592810</v>
      </c>
      <c r="C1752" s="2" t="s">
        <v>573</v>
      </c>
      <c r="D1752" s="2" t="str">
        <f t="shared" si="26"/>
        <v>Error?</v>
      </c>
    </row>
    <row r="1753" spans="1:5">
      <c r="A1753" s="5">
        <v>1692</v>
      </c>
      <c r="B1753" s="138">
        <f>'Tax Sched 23'!B12</f>
        <v>41122</v>
      </c>
      <c r="C1753" s="2" t="s">
        <v>573</v>
      </c>
      <c r="D1753" s="2" t="str">
        <f t="shared" si="26"/>
        <v>Error?</v>
      </c>
    </row>
    <row r="1754" spans="1:5">
      <c r="A1754" s="5">
        <v>1693</v>
      </c>
      <c r="B1754" s="138">
        <f>'Tax Sched 23'!B14</f>
        <v>53814</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8645486</v>
      </c>
      <c r="C1759" s="2" t="s">
        <v>573</v>
      </c>
      <c r="D1759" s="2" t="str">
        <f t="shared" si="26"/>
        <v>Error?</v>
      </c>
    </row>
    <row r="1760" spans="1:5">
      <c r="A1760" s="5">
        <v>1699</v>
      </c>
      <c r="B1760" s="138">
        <f>'Tax Sched 23'!D4</f>
        <v>2478583</v>
      </c>
      <c r="C1760" s="2" t="s">
        <v>573</v>
      </c>
      <c r="D1760" s="2" t="str">
        <f t="shared" si="26"/>
        <v>Error?</v>
      </c>
    </row>
    <row r="1761" spans="1:5">
      <c r="A1761" s="5">
        <v>1700</v>
      </c>
      <c r="B1761" s="138">
        <f>'Tax Sched 23'!D5</f>
        <v>663509</v>
      </c>
      <c r="C1761" s="2" t="s">
        <v>573</v>
      </c>
      <c r="D1761" s="2" t="str">
        <f t="shared" si="26"/>
        <v>Error?</v>
      </c>
    </row>
    <row r="1762" spans="1:5" s="8" customFormat="1">
      <c r="A1762" s="5">
        <v>1701</v>
      </c>
      <c r="B1762" s="138">
        <f>'Tax Sched 23'!D6</f>
        <v>586769</v>
      </c>
      <c r="C1762" s="2" t="s">
        <v>573</v>
      </c>
      <c r="D1762" s="2" t="str">
        <f t="shared" si="26"/>
        <v>Error?</v>
      </c>
      <c r="E1762" s="9"/>
    </row>
    <row r="1763" spans="1:5">
      <c r="A1763" s="5">
        <v>1702</v>
      </c>
      <c r="B1763" s="138">
        <f>'Tax Sched 23'!D7</f>
        <v>169406</v>
      </c>
      <c r="C1763" s="2" t="s">
        <v>573</v>
      </c>
      <c r="D1763" s="2" t="str">
        <f t="shared" si="26"/>
        <v>Error?</v>
      </c>
    </row>
    <row r="1764" spans="1:5">
      <c r="A1764" s="5">
        <v>1703</v>
      </c>
      <c r="B1764" s="138">
        <f>'Tax Sched 23'!D8</f>
        <v>65713</v>
      </c>
      <c r="C1764" s="2" t="s">
        <v>573</v>
      </c>
      <c r="D1764" s="2" t="str">
        <f t="shared" si="26"/>
        <v>Error?</v>
      </c>
    </row>
    <row r="1765" spans="1:5">
      <c r="A1765" s="5">
        <v>1704</v>
      </c>
      <c r="B1765" s="138">
        <f>'Tax Sched 23'!D10</f>
        <v>70588</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281609</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28233</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4490101</v>
      </c>
      <c r="C1775" s="2" t="s">
        <v>573</v>
      </c>
      <c r="D1775" s="2" t="str">
        <f t="shared" si="26"/>
        <v>Error?</v>
      </c>
    </row>
    <row r="1776" spans="1:5">
      <c r="A1776" s="5">
        <v>1715</v>
      </c>
      <c r="B1776" s="138">
        <f>'Tax Sched 23'!C4</f>
        <v>2250897</v>
      </c>
      <c r="D1776" s="2" t="str">
        <f t="shared" si="26"/>
        <v>Error?</v>
      </c>
    </row>
    <row r="1777" spans="1:4">
      <c r="A1777" s="5">
        <v>1716</v>
      </c>
      <c r="B1777" s="138">
        <f>'Tax Sched 23'!C5</f>
        <v>601172</v>
      </c>
      <c r="D1777" s="2" t="str">
        <f t="shared" si="26"/>
        <v>Error?</v>
      </c>
    </row>
    <row r="1778" spans="1:4">
      <c r="A1778" s="5">
        <v>1717</v>
      </c>
      <c r="B1778" s="138">
        <f>'Tax Sched 23'!C6</f>
        <v>501123</v>
      </c>
      <c r="D1778" s="2" t="str">
        <f t="shared" si="26"/>
        <v>Error?</v>
      </c>
    </row>
    <row r="1779" spans="1:4">
      <c r="A1779" s="5">
        <v>1718</v>
      </c>
      <c r="B1779" s="138">
        <f>'Tax Sched 23'!C7</f>
        <v>153491</v>
      </c>
      <c r="D1779" s="2" t="str">
        <f t="shared" si="26"/>
        <v>Error?</v>
      </c>
    </row>
    <row r="1780" spans="1:4">
      <c r="A1780" s="5">
        <v>1719</v>
      </c>
      <c r="B1780" s="138">
        <f>'Tax Sched 23'!C8</f>
        <v>68190</v>
      </c>
      <c r="D1780" s="2" t="str">
        <f t="shared" si="26"/>
        <v>Error?</v>
      </c>
    </row>
    <row r="1781" spans="1:4">
      <c r="A1781" s="5">
        <v>1720</v>
      </c>
      <c r="B1781" s="138">
        <f>'Tax Sched 23'!C10</f>
        <v>63956</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311201</v>
      </c>
      <c r="D1784" s="2" t="str">
        <f t="shared" si="26"/>
        <v>Error?</v>
      </c>
    </row>
    <row r="1785" spans="1:4">
      <c r="A1785" s="5">
        <v>1724</v>
      </c>
      <c r="B1785" s="138">
        <f>'Tax Sched 23'!C12</f>
        <v>41122</v>
      </c>
      <c r="D1785" s="2" t="str">
        <f t="shared" si="26"/>
        <v>Error?</v>
      </c>
    </row>
    <row r="1786" spans="1:4">
      <c r="A1786" s="5">
        <v>1725</v>
      </c>
      <c r="B1786" s="138">
        <f>'Tax Sched 23'!C14</f>
        <v>25581</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4155385</v>
      </c>
      <c r="C1791" s="2" t="s">
        <v>573</v>
      </c>
      <c r="D1791" s="2" t="str">
        <f t="shared" ref="D1791:D1854" si="27">IF(ISBLANK(B1791),"OK",IF(A1791-B1791=0,"OK","Error?"))</f>
        <v>Error?</v>
      </c>
    </row>
    <row r="1792" spans="1:4">
      <c r="A1792" s="5">
        <v>1731</v>
      </c>
      <c r="B1792" s="138">
        <f>'Tax Sched 23'!F4</f>
        <v>2751710</v>
      </c>
      <c r="C1792" s="2" t="s">
        <v>573</v>
      </c>
      <c r="D1792" s="2" t="str">
        <f t="shared" si="27"/>
        <v>Error?</v>
      </c>
    </row>
    <row r="1793" spans="1:4">
      <c r="A1793" s="5">
        <v>1732</v>
      </c>
      <c r="B1793" s="138">
        <f>'Tax Sched 23'!F5</f>
        <v>734932</v>
      </c>
      <c r="C1793" s="2" t="s">
        <v>573</v>
      </c>
      <c r="D1793" s="2" t="str">
        <f t="shared" si="27"/>
        <v>Error?</v>
      </c>
    </row>
    <row r="1794" spans="1:4">
      <c r="A1794" s="5">
        <v>1733</v>
      </c>
      <c r="B1794" s="138">
        <f>'Tax Sched 23'!F6</f>
        <v>612619</v>
      </c>
      <c r="C1794" s="2" t="s">
        <v>573</v>
      </c>
      <c r="D1794" s="2" t="str">
        <f t="shared" si="27"/>
        <v>Error?</v>
      </c>
    </row>
    <row r="1795" spans="1:4">
      <c r="A1795" s="5">
        <v>1734</v>
      </c>
      <c r="B1795" s="138">
        <f>'Tax Sched 23'!F7</f>
        <v>187642</v>
      </c>
      <c r="C1795" s="2" t="s">
        <v>573</v>
      </c>
      <c r="D1795" s="2" t="str">
        <f t="shared" si="27"/>
        <v>Error?</v>
      </c>
    </row>
    <row r="1796" spans="1:4">
      <c r="A1796" s="5">
        <v>1735</v>
      </c>
      <c r="B1796" s="138">
        <f>'Tax Sched 23'!F8</f>
        <v>83358</v>
      </c>
      <c r="C1796" s="2" t="s">
        <v>573</v>
      </c>
      <c r="D1796" s="2" t="str">
        <f t="shared" si="27"/>
        <v>Error?</v>
      </c>
    </row>
    <row r="1797" spans="1:4">
      <c r="A1797" s="5">
        <v>1736</v>
      </c>
      <c r="B1797" s="138">
        <f>'Tax Sched 23'!F10</f>
        <v>78183</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380446</v>
      </c>
      <c r="C1800" s="2" t="s">
        <v>573</v>
      </c>
      <c r="D1800" s="2" t="str">
        <f t="shared" si="27"/>
        <v>Error?</v>
      </c>
    </row>
    <row r="1801" spans="1:4">
      <c r="A1801" s="5">
        <v>1740</v>
      </c>
      <c r="B1801" s="138">
        <f>'Tax Sched 23'!F12</f>
        <v>50273</v>
      </c>
      <c r="C1801" s="2" t="s">
        <v>573</v>
      </c>
      <c r="D1801" s="2" t="str">
        <f t="shared" si="27"/>
        <v>Error?</v>
      </c>
    </row>
    <row r="1802" spans="1:4">
      <c r="A1802" s="5">
        <v>1741</v>
      </c>
      <c r="B1802" s="138">
        <f>'Tax Sched 23'!F14</f>
        <v>31274</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5079942</v>
      </c>
      <c r="C1807" s="2" t="s">
        <v>573</v>
      </c>
      <c r="D1807" s="2" t="str">
        <f t="shared" si="27"/>
        <v>Error?</v>
      </c>
    </row>
    <row r="1808" spans="1:4">
      <c r="A1808" s="5">
        <v>1747</v>
      </c>
      <c r="B1808" s="138">
        <f>'Tax Sched 23'!E4</f>
        <v>5002607</v>
      </c>
      <c r="D1808" s="2" t="str">
        <f t="shared" si="27"/>
        <v>Error?</v>
      </c>
    </row>
    <row r="1809" spans="1:4">
      <c r="A1809" s="5">
        <v>1748</v>
      </c>
      <c r="B1809" s="138">
        <f>'Tax Sched 23'!E5</f>
        <v>1336104</v>
      </c>
      <c r="D1809" s="2" t="str">
        <f t="shared" si="27"/>
        <v>Error?</v>
      </c>
    </row>
    <row r="1810" spans="1:4">
      <c r="A1810" s="5">
        <v>1749</v>
      </c>
      <c r="B1810" s="138">
        <f>'Tax Sched 23'!E6</f>
        <v>1113742</v>
      </c>
      <c r="D1810" s="2" t="str">
        <f t="shared" si="27"/>
        <v>Error?</v>
      </c>
    </row>
    <row r="1811" spans="1:4">
      <c r="A1811" s="5">
        <v>1750</v>
      </c>
      <c r="B1811" s="138">
        <f>'Tax Sched 23'!E7</f>
        <v>341133</v>
      </c>
      <c r="D1811" s="2" t="str">
        <f t="shared" si="27"/>
        <v>Error?</v>
      </c>
    </row>
    <row r="1812" spans="1:4">
      <c r="A1812" s="5">
        <v>1751</v>
      </c>
      <c r="B1812" s="138">
        <f>'Tax Sched 23'!E8</f>
        <v>151548</v>
      </c>
      <c r="D1812" s="2" t="str">
        <f t="shared" si="27"/>
        <v>Error?</v>
      </c>
    </row>
    <row r="1813" spans="1:4">
      <c r="A1813" s="5">
        <v>1752</v>
      </c>
      <c r="B1813" s="138">
        <f>'Tax Sched 23'!E10</f>
        <v>142139</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691647</v>
      </c>
      <c r="D1816" s="2" t="str">
        <f t="shared" si="27"/>
        <v>Error?</v>
      </c>
    </row>
    <row r="1817" spans="1:4">
      <c r="A1817" s="5">
        <v>1756</v>
      </c>
      <c r="B1817" s="138">
        <f>'Tax Sched 23'!E12</f>
        <v>91395</v>
      </c>
      <c r="D1817" s="2" t="str">
        <f t="shared" si="27"/>
        <v>Error?</v>
      </c>
    </row>
    <row r="1818" spans="1:4">
      <c r="A1818" s="5">
        <v>1757</v>
      </c>
      <c r="B1818" s="138">
        <f>'Tax Sched 23'!E14</f>
        <v>56855</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9235327</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10781960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53814</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53814</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53814</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1930229</v>
      </c>
      <c r="D2008" s="2" t="str">
        <f t="shared" si="30"/>
        <v>Error?</v>
      </c>
    </row>
    <row r="2009" spans="1:4">
      <c r="A2009" s="5">
        <v>1948</v>
      </c>
      <c r="B2009" s="138">
        <f>'Cap Outlay Deprec 26'!C8</f>
        <v>32947888</v>
      </c>
      <c r="D2009" s="2" t="str">
        <f t="shared" si="30"/>
        <v>Error?</v>
      </c>
    </row>
    <row r="2010" spans="1:4">
      <c r="A2010" s="5">
        <v>1949</v>
      </c>
      <c r="B2010" s="138">
        <f>'Cap Outlay Deprec 26'!C10</f>
        <v>1858922</v>
      </c>
      <c r="D2010" s="2" t="str">
        <f t="shared" si="30"/>
        <v>Error?</v>
      </c>
    </row>
    <row r="2011" spans="1:4">
      <c r="A2011" s="5">
        <v>1950</v>
      </c>
      <c r="B2011" s="138">
        <f>'Cap Outlay Deprec 26'!C12</f>
        <v>1433741</v>
      </c>
      <c r="D2011" s="2" t="str">
        <f t="shared" si="30"/>
        <v>Error?</v>
      </c>
    </row>
    <row r="2012" spans="1:4">
      <c r="A2012" s="5">
        <v>1951</v>
      </c>
      <c r="B2012" s="138">
        <f>'Cap Outlay Deprec 26'!C13</f>
        <v>247917</v>
      </c>
      <c r="D2012" s="2" t="str">
        <f t="shared" si="30"/>
        <v>Error?</v>
      </c>
    </row>
    <row r="2013" spans="1:4">
      <c r="A2013" s="5">
        <v>1952</v>
      </c>
      <c r="B2013" s="138">
        <f>'Cap Outlay Deprec 26'!C16</f>
        <v>38418697</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915787</v>
      </c>
      <c r="D2015" s="2" t="str">
        <f t="shared" si="30"/>
        <v>Error?</v>
      </c>
    </row>
    <row r="2016" spans="1:4">
      <c r="A2016" s="5">
        <v>1955</v>
      </c>
      <c r="B2016" s="138">
        <f>'Cap Outlay Deprec 26'!D10</f>
        <v>0</v>
      </c>
      <c r="D2016" s="2" t="str">
        <f t="shared" si="30"/>
        <v>Error?</v>
      </c>
    </row>
    <row r="2017" spans="1:4">
      <c r="A2017" s="5">
        <v>1956</v>
      </c>
      <c r="B2017" s="138">
        <f>'Cap Outlay Deprec 26'!D12</f>
        <v>45974</v>
      </c>
      <c r="D2017" s="2" t="str">
        <f t="shared" si="30"/>
        <v>Error?</v>
      </c>
    </row>
    <row r="2018" spans="1:4">
      <c r="A2018" s="5">
        <v>1957</v>
      </c>
      <c r="B2018" s="138">
        <f>'Cap Outlay Deprec 26'!D13</f>
        <v>123096</v>
      </c>
      <c r="D2018" s="2" t="str">
        <f t="shared" si="30"/>
        <v>Error?</v>
      </c>
    </row>
    <row r="2019" spans="1:4">
      <c r="A2019" s="5">
        <v>1958</v>
      </c>
      <c r="B2019" s="138">
        <f>'Cap Outlay Deprec 26'!D16</f>
        <v>1084857</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267327</v>
      </c>
      <c r="D2023" s="2" t="str">
        <f t="shared" si="30"/>
        <v>Error?</v>
      </c>
    </row>
    <row r="2024" spans="1:4">
      <c r="A2024" s="5">
        <v>1963</v>
      </c>
      <c r="B2024" s="138">
        <f>'Cap Outlay Deprec 26'!E13</f>
        <v>86540</v>
      </c>
      <c r="D2024" s="2" t="str">
        <f t="shared" si="30"/>
        <v>Error?</v>
      </c>
    </row>
    <row r="2025" spans="1:4">
      <c r="A2025" s="5">
        <v>1964</v>
      </c>
      <c r="B2025" s="138">
        <f>'Cap Outlay Deprec 26'!E16</f>
        <v>353867</v>
      </c>
      <c r="C2025" s="2" t="s">
        <v>573</v>
      </c>
      <c r="D2025" s="2" t="str">
        <f t="shared" si="30"/>
        <v>Error?</v>
      </c>
    </row>
    <row r="2026" spans="1:4">
      <c r="A2026" s="5">
        <v>1965</v>
      </c>
      <c r="B2026" s="138">
        <f>'Cap Outlay Deprec 26'!F5</f>
        <v>1930229</v>
      </c>
      <c r="C2026" s="2" t="s">
        <v>573</v>
      </c>
      <c r="D2026" s="2" t="str">
        <f t="shared" si="30"/>
        <v>Error?</v>
      </c>
    </row>
    <row r="2027" spans="1:4">
      <c r="A2027" s="5">
        <v>1966</v>
      </c>
      <c r="B2027" s="138">
        <f>'Cap Outlay Deprec 26'!F8</f>
        <v>33863675</v>
      </c>
      <c r="C2027" s="2" t="s">
        <v>573</v>
      </c>
      <c r="D2027" s="2" t="str">
        <f t="shared" si="30"/>
        <v>Error?</v>
      </c>
    </row>
    <row r="2028" spans="1:4">
      <c r="A2028" s="5">
        <v>1967</v>
      </c>
      <c r="B2028" s="138">
        <f>'Cap Outlay Deprec 26'!F10</f>
        <v>1858922</v>
      </c>
      <c r="C2028" s="2" t="s">
        <v>573</v>
      </c>
      <c r="D2028" s="2" t="str">
        <f t="shared" si="30"/>
        <v>Error?</v>
      </c>
    </row>
    <row r="2029" spans="1:4">
      <c r="A2029" s="5">
        <v>1968</v>
      </c>
      <c r="B2029" s="138">
        <f>'Cap Outlay Deprec 26'!F12</f>
        <v>1212388</v>
      </c>
      <c r="C2029" s="2" t="s">
        <v>573</v>
      </c>
      <c r="D2029" s="2" t="str">
        <f t="shared" si="30"/>
        <v>Error?</v>
      </c>
    </row>
    <row r="2030" spans="1:4">
      <c r="A2030" s="5">
        <v>1969</v>
      </c>
      <c r="B2030" s="138">
        <f>'Cap Outlay Deprec 26'!F13</f>
        <v>284473</v>
      </c>
      <c r="C2030" s="2" t="s">
        <v>573</v>
      </c>
      <c r="D2030" s="2" t="str">
        <f t="shared" si="30"/>
        <v>Error?</v>
      </c>
    </row>
    <row r="2031" spans="1:4">
      <c r="A2031" s="5">
        <v>1970</v>
      </c>
      <c r="B2031" s="138">
        <f>'Cap Outlay Deprec 26'!F16</f>
        <v>39149687</v>
      </c>
      <c r="C2031" s="2" t="s">
        <v>573</v>
      </c>
      <c r="D2031" s="2" t="str">
        <f t="shared" si="30"/>
        <v>Error?</v>
      </c>
    </row>
    <row r="2032" spans="1:4">
      <c r="A2032" s="10">
        <v>1971</v>
      </c>
      <c r="D2032" s="2" t="str">
        <f t="shared" si="30"/>
        <v>OK</v>
      </c>
    </row>
    <row r="2033" spans="1:4">
      <c r="A2033" s="5">
        <v>1972</v>
      </c>
      <c r="B2033" s="138">
        <f>'Cap Outlay Deprec 26'!H8</f>
        <v>7656297</v>
      </c>
      <c r="D2033" s="2" t="str">
        <f t="shared" si="30"/>
        <v>Error?</v>
      </c>
    </row>
    <row r="2034" spans="1:4">
      <c r="A2034" s="5">
        <v>1973</v>
      </c>
      <c r="B2034" s="138">
        <f>'Cap Outlay Deprec 26'!H10</f>
        <v>828410</v>
      </c>
      <c r="D2034" s="2" t="str">
        <f t="shared" si="30"/>
        <v>Error?</v>
      </c>
    </row>
    <row r="2035" spans="1:4">
      <c r="A2035" s="5">
        <v>1974</v>
      </c>
      <c r="B2035" s="138">
        <f>'Cap Outlay Deprec 26'!H12</f>
        <v>851285</v>
      </c>
      <c r="D2035" s="2" t="str">
        <f t="shared" si="30"/>
        <v>Error?</v>
      </c>
    </row>
    <row r="2036" spans="1:4">
      <c r="A2036" s="5">
        <v>1975</v>
      </c>
      <c r="B2036" s="138">
        <f>'Cap Outlay Deprec 26'!H13</f>
        <v>144981</v>
      </c>
      <c r="D2036" s="2" t="str">
        <f t="shared" si="30"/>
        <v>Error?</v>
      </c>
    </row>
    <row r="2037" spans="1:4">
      <c r="A2037" s="5">
        <v>1976</v>
      </c>
      <c r="B2037" s="138">
        <f>'Cap Outlay Deprec 26'!H16</f>
        <v>9480973</v>
      </c>
      <c r="C2037" s="2" t="s">
        <v>573</v>
      </c>
      <c r="D2037" s="2" t="str">
        <f t="shared" si="30"/>
        <v>Error?</v>
      </c>
    </row>
    <row r="2038" spans="1:4">
      <c r="A2038" s="10">
        <v>1977</v>
      </c>
      <c r="D2038" s="2" t="str">
        <f t="shared" si="30"/>
        <v>OK</v>
      </c>
    </row>
    <row r="2039" spans="1:4">
      <c r="A2039" s="5">
        <v>1978</v>
      </c>
      <c r="B2039" s="138">
        <f>'Cap Outlay Deprec 26'!I8</f>
        <v>649617</v>
      </c>
      <c r="D2039" s="2" t="str">
        <f t="shared" si="30"/>
        <v>Error?</v>
      </c>
    </row>
    <row r="2040" spans="1:4">
      <c r="A2040" s="5">
        <v>1979</v>
      </c>
      <c r="B2040" s="138">
        <f>'Cap Outlay Deprec 26'!I10</f>
        <v>88482</v>
      </c>
      <c r="D2040" s="2" t="str">
        <f t="shared" si="30"/>
        <v>Error?</v>
      </c>
    </row>
    <row r="2041" spans="1:4">
      <c r="A2041" s="5">
        <v>1980</v>
      </c>
      <c r="B2041" s="138">
        <f>'Cap Outlay Deprec 26'!I12</f>
        <v>127887</v>
      </c>
      <c r="D2041" s="2" t="str">
        <f t="shared" si="30"/>
        <v>Error?</v>
      </c>
    </row>
    <row r="2042" spans="1:4">
      <c r="A2042" s="5">
        <v>1981</v>
      </c>
      <c r="B2042" s="138">
        <f>'Cap Outlay Deprec 26'!I13</f>
        <v>38659</v>
      </c>
      <c r="D2042" s="2" t="str">
        <f t="shared" si="30"/>
        <v>Error?</v>
      </c>
    </row>
    <row r="2043" spans="1:4">
      <c r="A2043" s="5">
        <v>1982</v>
      </c>
      <c r="B2043" s="138">
        <f>'Cap Outlay Deprec 26'!I16</f>
        <v>904645</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267327</v>
      </c>
      <c r="D2047" s="2" t="str">
        <f t="shared" ref="D2047:D2110" si="31">IF(ISBLANK(B2047),"OK",IF(A2047-B2047=0,"OK","Error?"))</f>
        <v>Error?</v>
      </c>
    </row>
    <row r="2048" spans="1:4">
      <c r="A2048" s="5">
        <v>1987</v>
      </c>
      <c r="B2048" s="138">
        <f>'Cap Outlay Deprec 26'!J13</f>
        <v>86540</v>
      </c>
      <c r="D2048" s="2" t="str">
        <f t="shared" si="31"/>
        <v>Error?</v>
      </c>
    </row>
    <row r="2049" spans="1:4">
      <c r="A2049" s="5">
        <v>1988</v>
      </c>
      <c r="B2049" s="138">
        <f>'Cap Outlay Deprec 26'!J16</f>
        <v>353867</v>
      </c>
      <c r="C2049" s="2" t="s">
        <v>573</v>
      </c>
      <c r="D2049" s="2" t="str">
        <f t="shared" si="31"/>
        <v>Error?</v>
      </c>
    </row>
    <row r="2050" spans="1:4">
      <c r="A2050" s="10">
        <v>1989</v>
      </c>
      <c r="D2050" s="2" t="str">
        <f t="shared" si="31"/>
        <v>OK</v>
      </c>
    </row>
    <row r="2051" spans="1:4">
      <c r="A2051" s="5">
        <v>1990</v>
      </c>
      <c r="B2051" s="138">
        <f>'Cap Outlay Deprec 26'!K8</f>
        <v>8305914</v>
      </c>
      <c r="C2051" s="2" t="s">
        <v>573</v>
      </c>
      <c r="D2051" s="2" t="str">
        <f t="shared" si="31"/>
        <v>Error?</v>
      </c>
    </row>
    <row r="2052" spans="1:4">
      <c r="A2052" s="5">
        <v>1991</v>
      </c>
      <c r="B2052" s="138">
        <f>'Cap Outlay Deprec 26'!K10</f>
        <v>916892</v>
      </c>
      <c r="C2052" s="2" t="s">
        <v>573</v>
      </c>
      <c r="D2052" s="2" t="str">
        <f t="shared" si="31"/>
        <v>Error?</v>
      </c>
    </row>
    <row r="2053" spans="1:4">
      <c r="A2053" s="5">
        <v>1992</v>
      </c>
      <c r="B2053" s="138">
        <f>'Cap Outlay Deprec 26'!K12</f>
        <v>711845</v>
      </c>
      <c r="C2053" s="2" t="s">
        <v>573</v>
      </c>
      <c r="D2053" s="2" t="str">
        <f t="shared" si="31"/>
        <v>Error?</v>
      </c>
    </row>
    <row r="2054" spans="1:4">
      <c r="A2054" s="5">
        <v>1993</v>
      </c>
      <c r="B2054" s="138">
        <f>'Cap Outlay Deprec 26'!K13</f>
        <v>97100</v>
      </c>
      <c r="C2054" s="2" t="s">
        <v>573</v>
      </c>
      <c r="D2054" s="2" t="str">
        <f t="shared" si="31"/>
        <v>Error?</v>
      </c>
    </row>
    <row r="2055" spans="1:4">
      <c r="A2055" s="5">
        <v>1994</v>
      </c>
      <c r="B2055" s="138">
        <f>'Cap Outlay Deprec 26'!K16</f>
        <v>10031751</v>
      </c>
      <c r="C2055" s="2" t="s">
        <v>573</v>
      </c>
      <c r="D2055" s="2" t="str">
        <f t="shared" si="31"/>
        <v>Error?</v>
      </c>
    </row>
    <row r="2056" spans="1:4">
      <c r="A2056" s="5">
        <v>1995</v>
      </c>
      <c r="B2056" s="138">
        <f>'Cap Outlay Deprec 26'!L5</f>
        <v>1930229</v>
      </c>
      <c r="C2056" s="2" t="s">
        <v>573</v>
      </c>
      <c r="D2056" s="2" t="str">
        <f t="shared" si="31"/>
        <v>Error?</v>
      </c>
    </row>
    <row r="2057" spans="1:4">
      <c r="A2057" s="5">
        <v>1996</v>
      </c>
      <c r="B2057" s="138">
        <f>'Cap Outlay Deprec 26'!L8</f>
        <v>25557761</v>
      </c>
      <c r="C2057" s="2" t="s">
        <v>573</v>
      </c>
      <c r="D2057" s="2" t="str">
        <f t="shared" si="31"/>
        <v>Error?</v>
      </c>
    </row>
    <row r="2058" spans="1:4">
      <c r="A2058" s="5">
        <v>1997</v>
      </c>
      <c r="B2058" s="138">
        <f>'Cap Outlay Deprec 26'!L10</f>
        <v>942030</v>
      </c>
      <c r="C2058" s="2" t="s">
        <v>573</v>
      </c>
      <c r="D2058" s="2" t="str">
        <f t="shared" si="31"/>
        <v>Error?</v>
      </c>
    </row>
    <row r="2059" spans="1:4">
      <c r="A2059" s="5">
        <v>1998</v>
      </c>
      <c r="B2059" s="138">
        <f>'Cap Outlay Deprec 26'!L12</f>
        <v>500543</v>
      </c>
      <c r="C2059" s="2" t="s">
        <v>573</v>
      </c>
      <c r="D2059" s="2" t="str">
        <f t="shared" si="31"/>
        <v>Error?</v>
      </c>
    </row>
    <row r="2060" spans="1:4">
      <c r="A2060" s="5">
        <v>1999</v>
      </c>
      <c r="B2060" s="138">
        <f>'Cap Outlay Deprec 26'!L13</f>
        <v>187373</v>
      </c>
      <c r="C2060" s="2" t="s">
        <v>573</v>
      </c>
      <c r="D2060" s="2" t="str">
        <f t="shared" si="31"/>
        <v>Error?</v>
      </c>
    </row>
    <row r="2061" spans="1:4">
      <c r="A2061" s="5">
        <v>2000</v>
      </c>
      <c r="B2061" s="138">
        <f>'Cap Outlay Deprec 26'!L16</f>
        <v>29117936</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573</v>
      </c>
      <c r="D2088" s="2" t="str">
        <f t="shared" si="31"/>
        <v>Error?</v>
      </c>
    </row>
    <row r="2089" spans="1:4">
      <c r="A2089" s="5">
        <v>2028</v>
      </c>
      <c r="B2089" s="138">
        <f>'Expenditures 15-22'!K92</f>
        <v>605380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1002317</v>
      </c>
      <c r="C2105" s="2" t="s">
        <v>573</v>
      </c>
      <c r="D2105" s="2" t="str">
        <f t="shared" si="31"/>
        <v>Error?</v>
      </c>
    </row>
    <row r="2106" spans="1:4">
      <c r="A2106" s="5">
        <v>2045</v>
      </c>
      <c r="B2106" s="138">
        <f>'Acct Summary 7-8'!I48</f>
        <v>28965</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21669</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5812963</v>
      </c>
      <c r="C2551" s="2" t="s">
        <v>573</v>
      </c>
      <c r="D2551" s="2" t="str">
        <f t="shared" si="38"/>
        <v>Error?</v>
      </c>
    </row>
    <row r="2552" spans="1:4">
      <c r="A2552" s="10">
        <v>2491</v>
      </c>
      <c r="D2552" s="2" t="str">
        <f t="shared" si="38"/>
        <v>OK</v>
      </c>
    </row>
    <row r="2553" spans="1:4">
      <c r="A2553" s="5">
        <v>2492</v>
      </c>
      <c r="B2553" s="138">
        <f>'Acct Summary 7-8'!C6</f>
        <v>5503775</v>
      </c>
      <c r="C2553" s="2" t="s">
        <v>573</v>
      </c>
      <c r="D2553" s="2" t="str">
        <f t="shared" si="38"/>
        <v>Error?</v>
      </c>
    </row>
    <row r="2554" spans="1:4">
      <c r="A2554" s="5">
        <v>2493</v>
      </c>
      <c r="B2554" s="138">
        <f>'Acct Summary 7-8'!C7</f>
        <v>1558450</v>
      </c>
      <c r="C2554" s="2" t="s">
        <v>573</v>
      </c>
      <c r="D2554" s="2" t="str">
        <f t="shared" si="38"/>
        <v>Error?</v>
      </c>
    </row>
    <row r="2555" spans="1:4">
      <c r="A2555" s="5">
        <v>2494</v>
      </c>
      <c r="B2555" s="138">
        <f>'Acct Summary 7-8'!C8</f>
        <v>12875188</v>
      </c>
      <c r="C2555" s="2" t="s">
        <v>573</v>
      </c>
      <c r="D2555" s="2" t="str">
        <f t="shared" si="38"/>
        <v>Error?</v>
      </c>
    </row>
    <row r="2556" spans="1:4">
      <c r="A2556" s="5">
        <v>2495</v>
      </c>
      <c r="B2556" s="138">
        <f>'Acct Summary 7-8'!C12</f>
        <v>9250869</v>
      </c>
      <c r="C2556" s="2" t="s">
        <v>573</v>
      </c>
      <c r="D2556" s="2" t="str">
        <f t="shared" si="38"/>
        <v>Error?</v>
      </c>
    </row>
    <row r="2557" spans="1:4">
      <c r="A2557" s="5">
        <v>2496</v>
      </c>
      <c r="B2557" s="138">
        <f>'Acct Summary 7-8'!C13</f>
        <v>3065949</v>
      </c>
      <c r="C2557" s="2" t="s">
        <v>573</v>
      </c>
      <c r="D2557" s="2" t="str">
        <f t="shared" si="38"/>
        <v>Error?</v>
      </c>
    </row>
    <row r="2558" spans="1:4">
      <c r="A2558" s="5">
        <v>2497</v>
      </c>
      <c r="B2558" s="138">
        <f>'Acct Summary 7-8'!C14</f>
        <v>2382</v>
      </c>
      <c r="C2558" s="2" t="s">
        <v>573</v>
      </c>
      <c r="D2558" s="2" t="str">
        <f t="shared" si="38"/>
        <v>Error?</v>
      </c>
    </row>
    <row r="2559" spans="1:4">
      <c r="A2559" s="5">
        <v>2498</v>
      </c>
      <c r="B2559" s="138">
        <f>'Acct Summary 7-8'!C15</f>
        <v>792926</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13112126</v>
      </c>
      <c r="C2561" s="2" t="s">
        <v>573</v>
      </c>
      <c r="D2561" s="2" t="str">
        <f t="shared" si="39"/>
        <v>Error?</v>
      </c>
    </row>
    <row r="2562" spans="1:4">
      <c r="A2562" s="5">
        <v>2501</v>
      </c>
      <c r="B2562" s="138">
        <f>'Acct Summary 7-8'!C20</f>
        <v>-236938</v>
      </c>
      <c r="C2562" s="2" t="s">
        <v>573</v>
      </c>
      <c r="D2562" s="2" t="str">
        <f t="shared" si="39"/>
        <v>Error?</v>
      </c>
    </row>
    <row r="2563" spans="1:4">
      <c r="A2563" s="5">
        <v>2502</v>
      </c>
      <c r="B2563" s="138">
        <f>'Acct Summary 7-8'!C80</f>
        <v>0</v>
      </c>
      <c r="D2563" s="2" t="str">
        <f t="shared" si="39"/>
        <v>Error?</v>
      </c>
    </row>
    <row r="2564" spans="1:4">
      <c r="A2564" s="5">
        <v>2503</v>
      </c>
      <c r="B2564" s="138">
        <f>'Acct Summary 7-8'!D4</f>
        <v>1358935</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1358935</v>
      </c>
      <c r="C2568" s="2" t="s">
        <v>573</v>
      </c>
      <c r="D2568" s="2" t="str">
        <f t="shared" si="39"/>
        <v>Error?</v>
      </c>
    </row>
    <row r="2569" spans="1:4">
      <c r="A2569" s="5">
        <v>2508</v>
      </c>
      <c r="B2569" s="138">
        <f>'Acct Summary 7-8'!D13</f>
        <v>1401002</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1401002</v>
      </c>
      <c r="C2573" s="2" t="s">
        <v>573</v>
      </c>
      <c r="D2573" s="2" t="str">
        <f t="shared" si="39"/>
        <v>Error?</v>
      </c>
    </row>
    <row r="2574" spans="1:4">
      <c r="A2574" s="5">
        <v>2513</v>
      </c>
      <c r="B2574" s="138">
        <f>'Acct Summary 7-8'!D20</f>
        <v>-42067</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392672</v>
      </c>
      <c r="C2591" s="2" t="s">
        <v>573</v>
      </c>
      <c r="D2591" s="2" t="str">
        <f t="shared" si="39"/>
        <v>Error?</v>
      </c>
    </row>
    <row r="2592" spans="1:4">
      <c r="A2592" s="10">
        <v>2531</v>
      </c>
      <c r="D2592" s="2" t="str">
        <f t="shared" si="39"/>
        <v>OK</v>
      </c>
    </row>
    <row r="2593" spans="1:4">
      <c r="A2593" s="5">
        <v>2532</v>
      </c>
      <c r="B2593" s="138">
        <f>'Acct Summary 7-8'!F6</f>
        <v>545874</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938546</v>
      </c>
      <c r="C2595" s="2" t="s">
        <v>573</v>
      </c>
      <c r="D2595" s="2" t="str">
        <f t="shared" si="39"/>
        <v>Error?</v>
      </c>
    </row>
    <row r="2596" spans="1:4">
      <c r="A2596" s="5">
        <v>2535</v>
      </c>
      <c r="B2596" s="138">
        <f>'Acct Summary 7-8'!F13</f>
        <v>271265</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884909</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1156174</v>
      </c>
      <c r="C2600" s="2" t="s">
        <v>573</v>
      </c>
      <c r="D2600" s="2" t="str">
        <f t="shared" si="39"/>
        <v>Error?</v>
      </c>
    </row>
    <row r="2601" spans="1:4">
      <c r="A2601" s="5">
        <v>2540</v>
      </c>
      <c r="B2601" s="138">
        <f>'Acct Summary 7-8'!F20</f>
        <v>-217628</v>
      </c>
      <c r="C2601" s="2" t="s">
        <v>573</v>
      </c>
      <c r="D2601" s="2" t="str">
        <f t="shared" si="39"/>
        <v>Error?</v>
      </c>
    </row>
    <row r="2602" spans="1:4">
      <c r="A2602" s="5">
        <v>2541</v>
      </c>
      <c r="B2602" s="138">
        <f>'Acct Summary 7-8'!F80</f>
        <v>0</v>
      </c>
      <c r="D2602" s="2" t="str">
        <f t="shared" si="39"/>
        <v>Error?</v>
      </c>
    </row>
    <row r="2603" spans="1:4">
      <c r="A2603" s="5">
        <v>2542</v>
      </c>
      <c r="B2603" s="138">
        <f>'Acct Summary 7-8'!G4</f>
        <v>348678</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348678</v>
      </c>
      <c r="C2606" s="2" t="s">
        <v>573</v>
      </c>
      <c r="D2606" s="2" t="str">
        <f t="shared" si="39"/>
        <v>Error?</v>
      </c>
    </row>
    <row r="2607" spans="1:4">
      <c r="A2607" s="5">
        <v>2546</v>
      </c>
      <c r="B2607" s="138">
        <f>'Acct Summary 7-8'!G12</f>
        <v>220633</v>
      </c>
      <c r="C2607" s="2" t="s">
        <v>573</v>
      </c>
      <c r="D2607" s="2" t="str">
        <f t="shared" si="39"/>
        <v>Error?</v>
      </c>
    </row>
    <row r="2608" spans="1:4">
      <c r="A2608" s="5">
        <v>2547</v>
      </c>
      <c r="B2608" s="138">
        <f>'Acct Summary 7-8'!G13</f>
        <v>167615</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423353</v>
      </c>
      <c r="C2612" s="2" t="s">
        <v>573</v>
      </c>
      <c r="D2612" s="2" t="str">
        <f t="shared" si="39"/>
        <v>Error?</v>
      </c>
    </row>
    <row r="2613" spans="1:4">
      <c r="A2613" s="5">
        <v>2552</v>
      </c>
      <c r="B2613" s="138">
        <f>'Acct Summary 7-8'!G20</f>
        <v>-74675</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1310908</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1310908</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1459252</v>
      </c>
      <c r="C2634" s="2" t="s">
        <v>573</v>
      </c>
      <c r="D2634" s="2" t="str">
        <f t="shared" si="40"/>
        <v>Error?</v>
      </c>
    </row>
    <row r="2635" spans="1:4">
      <c r="A2635" s="5">
        <v>2574</v>
      </c>
      <c r="B2635" s="138">
        <f>'Acct Summary 7-8'!E17</f>
        <v>1459252</v>
      </c>
      <c r="C2635" s="2" t="s">
        <v>573</v>
      </c>
      <c r="D2635" s="2" t="str">
        <f t="shared" si="40"/>
        <v>Error?</v>
      </c>
    </row>
    <row r="2636" spans="1:4">
      <c r="A2636" s="5">
        <v>2575</v>
      </c>
      <c r="B2636" s="138">
        <f>'Acct Summary 7-8'!E20</f>
        <v>-148344</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884909</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884909</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884909</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1863768</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34266</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1863768</v>
      </c>
      <c r="D2912" s="2" t="str">
        <f t="shared" si="44"/>
        <v>Error?</v>
      </c>
    </row>
    <row r="2913" spans="1:4">
      <c r="A2913" s="5">
        <v>2852</v>
      </c>
      <c r="B2913" s="138">
        <f>'Assets-Liab 5-6'!I41</f>
        <v>1863768</v>
      </c>
      <c r="C2913" s="2" t="s">
        <v>573</v>
      </c>
      <c r="D2913" s="2" t="str">
        <f t="shared" si="44"/>
        <v>Error?</v>
      </c>
    </row>
    <row r="2914" spans="1:4">
      <c r="A2914" s="5">
        <v>2853</v>
      </c>
      <c r="B2914" s="138">
        <f>'Assets-Liab 5-6'!L33</f>
        <v>34266</v>
      </c>
      <c r="D2914" s="2" t="str">
        <f t="shared" si="44"/>
        <v>Error?</v>
      </c>
    </row>
    <row r="2915" spans="1:4">
      <c r="A2915" s="10">
        <v>2854</v>
      </c>
      <c r="D2915" s="2" t="str">
        <f t="shared" si="44"/>
        <v>OK</v>
      </c>
    </row>
    <row r="2916" spans="1:4">
      <c r="A2916" s="5">
        <v>2855</v>
      </c>
      <c r="B2916" s="138">
        <f>'Assets-Liab 5-6'!L34</f>
        <v>34266</v>
      </c>
      <c r="C2916" s="2" t="s">
        <v>573</v>
      </c>
      <c r="D2916" s="2" t="str">
        <f t="shared" si="44"/>
        <v>Error?</v>
      </c>
    </row>
    <row r="2917" spans="1:4">
      <c r="A2917" s="5">
        <v>2856</v>
      </c>
      <c r="B2917" s="138">
        <f>'Assets-Liab 5-6'!L41</f>
        <v>34266</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0</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230945</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653964</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230945</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653964</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640236</v>
      </c>
      <c r="D3055" s="2" t="str">
        <f t="shared" si="46"/>
        <v>Error?</v>
      </c>
    </row>
    <row r="3056" spans="1:4">
      <c r="A3056" s="5">
        <v>2995</v>
      </c>
      <c r="B3056" s="138">
        <f>'Expenditures 15-22'!D10</f>
        <v>141628</v>
      </c>
      <c r="D3056" s="2" t="str">
        <f t="shared" si="46"/>
        <v>Error?</v>
      </c>
    </row>
    <row r="3057" spans="1:4">
      <c r="A3057" s="5">
        <v>2996</v>
      </c>
      <c r="B3057" s="138">
        <f>'Expenditures 15-22'!E10</f>
        <v>6404</v>
      </c>
      <c r="D3057" s="2" t="str">
        <f t="shared" si="46"/>
        <v>Error?</v>
      </c>
    </row>
    <row r="3058" spans="1:4">
      <c r="A3058" s="5">
        <v>2997</v>
      </c>
      <c r="B3058" s="138">
        <f>'Expenditures 15-22'!F10</f>
        <v>77440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865708</v>
      </c>
      <c r="C3062" s="2" t="s">
        <v>573</v>
      </c>
      <c r="D3062" s="2" t="str">
        <f t="shared" si="46"/>
        <v>Error?</v>
      </c>
    </row>
    <row r="3063" spans="1:4">
      <c r="A3063" s="10">
        <v>3002</v>
      </c>
      <c r="D3063" s="2" t="str">
        <f t="shared" si="46"/>
        <v>OK</v>
      </c>
    </row>
    <row r="3064" spans="1:4">
      <c r="A3064" s="5">
        <v>3003</v>
      </c>
      <c r="B3064" s="138">
        <f>'Expenditures 15-22'!D219</f>
        <v>22093</v>
      </c>
      <c r="D3064" s="2" t="str">
        <f t="shared" si="46"/>
        <v>Error?</v>
      </c>
    </row>
    <row r="3065" spans="1:4">
      <c r="A3065" s="5">
        <v>3004</v>
      </c>
      <c r="B3065" s="138">
        <f>'Expenditures 15-22'!K219</f>
        <v>22093</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163509</v>
      </c>
      <c r="C3225" s="2" t="s">
        <v>573</v>
      </c>
      <c r="D3225" s="2" t="str">
        <f t="shared" si="49"/>
        <v>Error?</v>
      </c>
    </row>
    <row r="3226" spans="1:4">
      <c r="A3226" s="5">
        <v>3165</v>
      </c>
      <c r="B3226" s="138">
        <f>'Acct Summary 7-8'!I8</f>
        <v>163509</v>
      </c>
      <c r="C3226" s="2" t="s">
        <v>573</v>
      </c>
      <c r="D3226" s="2" t="str">
        <f t="shared" si="49"/>
        <v>Error?</v>
      </c>
    </row>
    <row r="3227" spans="1:4">
      <c r="A3227" s="5">
        <v>3166</v>
      </c>
      <c r="B3227" s="138">
        <f>'Acct Summary 7-8'!I20</f>
        <v>163509</v>
      </c>
      <c r="C3227" s="2" t="s">
        <v>573</v>
      </c>
      <c r="D3227" s="2" t="str">
        <f t="shared" si="49"/>
        <v>Error?</v>
      </c>
    </row>
    <row r="3228" spans="1:4">
      <c r="A3228" s="5">
        <v>3167</v>
      </c>
      <c r="B3228" s="138">
        <f>'Acct Summary 7-8'!C43</f>
        <v>0</v>
      </c>
      <c r="D3228" s="2" t="str">
        <f t="shared" si="49"/>
        <v>Error?</v>
      </c>
    </row>
    <row r="3229" spans="1:4">
      <c r="A3229" s="5">
        <v>3168</v>
      </c>
      <c r="B3229" s="138">
        <f>'Acct Summary 7-8'!C44</f>
        <v>28965</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28965</v>
      </c>
      <c r="C3232" s="2" t="s">
        <v>573</v>
      </c>
      <c r="D3232" s="2" t="str">
        <f t="shared" si="49"/>
        <v>Error?</v>
      </c>
    </row>
    <row r="3233" spans="1:4">
      <c r="A3233" s="5">
        <v>3172</v>
      </c>
      <c r="B3233" s="138">
        <f>'Acct Summary 7-8'!C78</f>
        <v>-207973</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-42067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1002317</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1002317</v>
      </c>
      <c r="C3255" s="2" t="s">
        <v>573</v>
      </c>
      <c r="D3255" s="2" t="str">
        <f t="shared" si="49"/>
        <v>Error?</v>
      </c>
    </row>
    <row r="3256" spans="1:4">
      <c r="A3256" s="5">
        <v>3195</v>
      </c>
      <c r="B3256" s="138">
        <f>'Acct Summary 7-8'!F78</f>
        <v>784689</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-74675</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-148344</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1031282</v>
      </c>
      <c r="C3318" s="2" t="s">
        <v>573</v>
      </c>
      <c r="D3318" s="2" t="str">
        <f t="shared" si="50"/>
        <v>Error?</v>
      </c>
    </row>
    <row r="3319" spans="1:4">
      <c r="A3319" s="5">
        <v>3258</v>
      </c>
      <c r="B3319" s="138">
        <f>'Acct Summary 7-8'!I77</f>
        <v>-1031282</v>
      </c>
      <c r="C3319" s="2" t="s">
        <v>573</v>
      </c>
      <c r="D3319" s="2" t="str">
        <f t="shared" si="50"/>
        <v>Error?</v>
      </c>
    </row>
    <row r="3320" spans="1:4">
      <c r="A3320" s="5">
        <v>3259</v>
      </c>
      <c r="B3320" s="138">
        <f>'Acct Summary 7-8'!I78</f>
        <v>-867773</v>
      </c>
      <c r="C3320" s="2" t="s">
        <v>573</v>
      </c>
      <c r="D3320" s="2" t="str">
        <f t="shared" si="50"/>
        <v>Error?</v>
      </c>
    </row>
    <row r="3321" spans="1:4">
      <c r="A3321" s="5">
        <v>3260</v>
      </c>
      <c r="B3321" s="138">
        <f>'Acct Summary 7-8'!I79</f>
        <v>2731541</v>
      </c>
      <c r="D3321" s="2" t="str">
        <f t="shared" si="50"/>
        <v>Error?</v>
      </c>
    </row>
    <row r="3322" spans="1:4">
      <c r="A3322" s="5">
        <v>3261</v>
      </c>
      <c r="B3322" s="138">
        <f>'Acct Summary 7-8'!I80</f>
        <v>0</v>
      </c>
      <c r="D3322" s="2" t="str">
        <f t="shared" si="50"/>
        <v>Error?</v>
      </c>
    </row>
    <row r="3323" spans="1:4">
      <c r="A3323" s="5">
        <v>3262</v>
      </c>
      <c r="B3323" s="138">
        <f>'Acct Summary 7-8'!I81</f>
        <v>1863768</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1116102</v>
      </c>
      <c r="D3366" s="2" t="str">
        <f t="shared" si="51"/>
        <v>Error?</v>
      </c>
    </row>
    <row r="3367" spans="1:4">
      <c r="A3367" s="5">
        <v>3306</v>
      </c>
      <c r="B3367" s="138">
        <f>'Expenditures 15-22'!C19</f>
        <v>0</v>
      </c>
      <c r="D3367" s="2" t="str">
        <f t="shared" si="51"/>
        <v>Error?</v>
      </c>
    </row>
    <row r="3368" spans="1:4">
      <c r="A3368" s="5">
        <v>3307</v>
      </c>
      <c r="B3368" s="138">
        <f>'Expenditures 15-22'!D8</f>
        <v>260506</v>
      </c>
      <c r="D3368" s="2" t="str">
        <f t="shared" si="51"/>
        <v>Error?</v>
      </c>
    </row>
    <row r="3369" spans="1:4">
      <c r="A3369" s="5">
        <v>3308</v>
      </c>
      <c r="B3369" s="138">
        <f>'Expenditures 15-22'!D19</f>
        <v>0</v>
      </c>
      <c r="D3369" s="2" t="str">
        <f t="shared" si="51"/>
        <v>Error?</v>
      </c>
    </row>
    <row r="3370" spans="1:4">
      <c r="A3370" s="5">
        <v>3309</v>
      </c>
      <c r="B3370" s="138">
        <f>'Expenditures 15-22'!E8</f>
        <v>515</v>
      </c>
      <c r="D3370" s="2" t="str">
        <f t="shared" si="51"/>
        <v>Error?</v>
      </c>
    </row>
    <row r="3371" spans="1:4">
      <c r="A3371" s="5">
        <v>3310</v>
      </c>
      <c r="B3371" s="138">
        <f>'Expenditures 15-22'!E19</f>
        <v>0</v>
      </c>
      <c r="D3371" s="2" t="str">
        <f t="shared" si="51"/>
        <v>Error?</v>
      </c>
    </row>
    <row r="3372" spans="1:4">
      <c r="A3372" s="5">
        <v>3311</v>
      </c>
      <c r="B3372" s="138">
        <f>'Expenditures 15-22'!F8</f>
        <v>4840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1381963</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77738</v>
      </c>
      <c r="D3387" s="2" t="str">
        <f t="shared" si="51"/>
        <v>Error?</v>
      </c>
    </row>
    <row r="3388" spans="1:4">
      <c r="A3388" s="5">
        <v>3327</v>
      </c>
      <c r="B3388" s="138">
        <f>'Expenditures 15-22'!D217</f>
        <v>70582</v>
      </c>
      <c r="D3388" s="2" t="str">
        <f t="shared" si="51"/>
        <v>Error?</v>
      </c>
    </row>
    <row r="3389" spans="1:4">
      <c r="A3389" s="5">
        <v>3328</v>
      </c>
      <c r="B3389" s="138">
        <f>'Expenditures 15-22'!D228</f>
        <v>0</v>
      </c>
      <c r="D3389" s="2" t="str">
        <f t="shared" si="51"/>
        <v>Error?</v>
      </c>
    </row>
    <row r="3390" spans="1:4">
      <c r="A3390" s="5">
        <v>3329</v>
      </c>
      <c r="B3390" s="138">
        <f>'Expenditures 15-22'!K215</f>
        <v>77738</v>
      </c>
      <c r="C3390" s="2" t="s">
        <v>573</v>
      </c>
      <c r="D3390" s="2" t="str">
        <f t="shared" si="51"/>
        <v>Error?</v>
      </c>
    </row>
    <row r="3391" spans="1:4">
      <c r="A3391" s="5">
        <v>3330</v>
      </c>
      <c r="B3391" s="138">
        <f>'Expenditures 15-22'!K217</f>
        <v>70582</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2687504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5136058</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723179</v>
      </c>
      <c r="D3417" s="2" t="str">
        <f t="shared" si="52"/>
        <v>Error?</v>
      </c>
    </row>
    <row r="3418" spans="1:4">
      <c r="A3418" s="10">
        <v>3357</v>
      </c>
      <c r="D3418" s="2" t="str">
        <f t="shared" si="52"/>
        <v>OK</v>
      </c>
    </row>
    <row r="3419" spans="1:4">
      <c r="A3419" s="5">
        <v>3358</v>
      </c>
      <c r="B3419" s="138">
        <f>'Assets-Liab 5-6'!F4</f>
        <v>803652</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449999</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1863768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34266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149799</v>
      </c>
      <c r="C3446" s="2" t="s">
        <v>573</v>
      </c>
      <c r="D3446" s="2" t="str">
        <f t="shared" si="52"/>
        <v>Error?</v>
      </c>
    </row>
    <row r="3447" spans="1:4">
      <c r="A3447" s="5">
        <v>3386</v>
      </c>
      <c r="B3447" s="138">
        <f>'Tax Sched 23'!D16</f>
        <v>75102</v>
      </c>
      <c r="C3447" s="2" t="s">
        <v>573</v>
      </c>
      <c r="D3447" s="2" t="str">
        <f t="shared" si="52"/>
        <v>Error?</v>
      </c>
    </row>
    <row r="3448" spans="1:4">
      <c r="A3448" s="5">
        <v>3387</v>
      </c>
      <c r="B3448" s="138">
        <f>'Tax Sched 23'!C16</f>
        <v>74697</v>
      </c>
      <c r="D3448" s="2" t="str">
        <f t="shared" si="52"/>
        <v>Error?</v>
      </c>
    </row>
    <row r="3449" spans="1:4">
      <c r="A3449" s="5">
        <v>3388</v>
      </c>
      <c r="B3449" s="138">
        <f>'Tax Sched 23'!F16</f>
        <v>91321</v>
      </c>
      <c r="C3449" s="2" t="s">
        <v>573</v>
      </c>
      <c r="D3449" s="2" t="str">
        <f t="shared" si="52"/>
        <v>Error?</v>
      </c>
    </row>
    <row r="3450" spans="1:4">
      <c r="A3450" s="5">
        <v>3389</v>
      </c>
      <c r="B3450" s="138">
        <f>'Tax Sched 23'!E16</f>
        <v>166018</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169841</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169841</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169841</v>
      </c>
      <c r="D3567" s="2" t="str">
        <f t="shared" si="54"/>
        <v>Error?</v>
      </c>
    </row>
    <row r="3568" spans="1:4">
      <c r="A3568" s="5">
        <v>3507</v>
      </c>
      <c r="B3568" s="138">
        <f>'Assets-Liab 5-6'!K41</f>
        <v>169841</v>
      </c>
      <c r="C3568" s="2" t="s">
        <v>573</v>
      </c>
      <c r="D3568" s="2" t="str">
        <f t="shared" si="54"/>
        <v>Error?</v>
      </c>
    </row>
    <row r="3569" spans="1:4">
      <c r="A3569" s="5">
        <v>3508</v>
      </c>
      <c r="B3569" s="138">
        <f>'Acct Summary 7-8'!K4</f>
        <v>43998</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43998</v>
      </c>
      <c r="C3571" s="2" t="s">
        <v>573</v>
      </c>
      <c r="D3571" s="2" t="str">
        <f t="shared" si="54"/>
        <v>Error?</v>
      </c>
    </row>
    <row r="3572" spans="1:4">
      <c r="A3572" s="5">
        <v>3511</v>
      </c>
      <c r="B3572" s="138">
        <f>'Acct Summary 7-8'!K13</f>
        <v>821113</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821113</v>
      </c>
      <c r="C3575" s="2" t="s">
        <v>573</v>
      </c>
      <c r="D3575" s="2" t="str">
        <f t="shared" si="54"/>
        <v>Error?</v>
      </c>
    </row>
    <row r="3576" spans="1:4">
      <c r="A3576" s="5">
        <v>3515</v>
      </c>
      <c r="B3576" s="138">
        <f>'Acct Summary 7-8'!K20</f>
        <v>-777115</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-777115</v>
      </c>
      <c r="C3588" s="2" t="s">
        <v>573</v>
      </c>
      <c r="D3588" s="2" t="str">
        <f t="shared" si="55"/>
        <v>Error?</v>
      </c>
    </row>
    <row r="3589" spans="1:4">
      <c r="A3589" s="5">
        <v>3528</v>
      </c>
      <c r="B3589" s="138">
        <f>'Acct Summary 7-8'!K79</f>
        <v>946956</v>
      </c>
      <c r="D3589" s="2" t="str">
        <f t="shared" si="55"/>
        <v>Error?</v>
      </c>
    </row>
    <row r="3590" spans="1:4">
      <c r="A3590" s="5">
        <v>3529</v>
      </c>
      <c r="B3590" s="138">
        <f>'Acct Summary 7-8'!K80</f>
        <v>0</v>
      </c>
      <c r="D3590" s="2" t="str">
        <f t="shared" si="55"/>
        <v>Error?</v>
      </c>
    </row>
    <row r="3591" spans="1:4">
      <c r="A3591" s="5">
        <v>3530</v>
      </c>
      <c r="B3591" s="138">
        <f>'Acct Summary 7-8'!K81</f>
        <v>169841</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116328</v>
      </c>
      <c r="D3631" s="2" t="str">
        <f t="shared" si="55"/>
        <v>Error?</v>
      </c>
    </row>
    <row r="3632" spans="1:4">
      <c r="A3632" s="5">
        <v>3571</v>
      </c>
      <c r="B3632" s="138">
        <f>'Expenditures 15-22'!E349</f>
        <v>0</v>
      </c>
      <c r="D3632" s="2" t="str">
        <f t="shared" si="55"/>
        <v>Error?</v>
      </c>
    </row>
    <row r="3633" spans="1:4">
      <c r="A3633" s="5">
        <v>3572</v>
      </c>
      <c r="B3633" s="138">
        <f>'Expenditures 15-22'!E350</f>
        <v>116328</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116328</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704785</v>
      </c>
      <c r="D3645" s="2" t="str">
        <f t="shared" si="55"/>
        <v>Error?</v>
      </c>
    </row>
    <row r="3646" spans="1:4">
      <c r="A3646" s="5">
        <v>3585</v>
      </c>
      <c r="B3646" s="138">
        <f>'Expenditures 15-22'!G349</f>
        <v>0</v>
      </c>
      <c r="D3646" s="2" t="str">
        <f t="shared" si="55"/>
        <v>Error?</v>
      </c>
    </row>
    <row r="3647" spans="1:4">
      <c r="A3647" s="5">
        <v>3586</v>
      </c>
      <c r="B3647" s="138">
        <f>'Expenditures 15-22'!G350</f>
        <v>704785</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704785</v>
      </c>
      <c r="C3649" s="2" t="s">
        <v>573</v>
      </c>
      <c r="D3649" s="2" t="str">
        <f t="shared" si="56"/>
        <v>Error?</v>
      </c>
    </row>
    <row r="3650" spans="1:4">
      <c r="A3650" s="5">
        <v>3589</v>
      </c>
      <c r="B3650" s="138">
        <f>'Expenditures 15-22'!G367</f>
        <v>704785</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821113</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821113</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821113</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821113</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-777115</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35105</v>
      </c>
      <c r="D3721" s="2" t="str">
        <f t="shared" si="57"/>
        <v>Error?</v>
      </c>
    </row>
    <row r="3722" spans="1:4">
      <c r="A3722" s="5">
        <v>3661</v>
      </c>
      <c r="B3722" s="138">
        <f>'Expenditures 15-22'!D285</f>
        <v>35105</v>
      </c>
      <c r="C3722" s="2" t="s">
        <v>573</v>
      </c>
      <c r="D3722" s="2" t="str">
        <f t="shared" si="57"/>
        <v>Error?</v>
      </c>
    </row>
    <row r="3723" spans="1:4">
      <c r="A3723" s="5">
        <v>3662</v>
      </c>
      <c r="B3723" s="138">
        <f>'Expenditures 15-22'!K283</f>
        <v>35105</v>
      </c>
      <c r="C3723" s="2" t="s">
        <v>573</v>
      </c>
      <c r="D3723" s="2" t="str">
        <f t="shared" si="57"/>
        <v>Error?</v>
      </c>
    </row>
    <row r="3724" spans="1:4">
      <c r="A3724" s="5">
        <v>3663</v>
      </c>
      <c r="B3724" s="138">
        <f>'Expenditures 15-22'!K285</f>
        <v>35105</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134544</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70589</v>
      </c>
      <c r="C4105" s="2" t="s">
        <v>573</v>
      </c>
      <c r="D4105" s="2" t="str">
        <f t="shared" si="63"/>
        <v>Error?</v>
      </c>
    </row>
    <row r="4106" spans="1:4">
      <c r="A4106" s="5">
        <v>4045</v>
      </c>
      <c r="B4106" s="138">
        <f>'Tax Sched 23'!C17</f>
        <v>0</v>
      </c>
      <c r="D4106" s="2" t="str">
        <f t="shared" si="63"/>
        <v>Error?</v>
      </c>
    </row>
    <row r="4107" spans="1:4">
      <c r="A4107" s="5">
        <v>4046</v>
      </c>
      <c r="B4107" s="138">
        <f>'Tax Sched 23'!C18</f>
        <v>63955</v>
      </c>
      <c r="D4107" s="2" t="str">
        <f t="shared" si="63"/>
        <v>Error?</v>
      </c>
    </row>
    <row r="4108" spans="1:4">
      <c r="A4108" s="5">
        <v>4047</v>
      </c>
      <c r="B4108" s="138">
        <f>'Tax Sched 23'!F17</f>
        <v>0</v>
      </c>
      <c r="C4108" s="2" t="s">
        <v>573</v>
      </c>
      <c r="D4108" s="2" t="str">
        <f t="shared" si="63"/>
        <v>Error?</v>
      </c>
    </row>
    <row r="4109" spans="1:4">
      <c r="A4109" s="5">
        <v>4048</v>
      </c>
      <c r="B4109" s="138">
        <f>'Tax Sched 23'!F18</f>
        <v>78184</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142139</v>
      </c>
      <c r="D4111" s="2" t="str">
        <f t="shared" si="63"/>
        <v>Error?</v>
      </c>
    </row>
    <row r="4112" spans="1:4">
      <c r="A4112" s="10">
        <v>4051</v>
      </c>
      <c r="D4112" s="2" t="str">
        <f t="shared" si="63"/>
        <v>OK</v>
      </c>
    </row>
    <row r="4113" spans="1:4">
      <c r="A4113" s="5">
        <v>4052</v>
      </c>
      <c r="B4113" s="138">
        <f>'Acct Summary 7-8'!C9</f>
        <v>6052645</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18927833</v>
      </c>
      <c r="C4122" s="2" t="s">
        <v>573</v>
      </c>
      <c r="D4122" s="2" t="str">
        <f t="shared" si="63"/>
        <v>Error?</v>
      </c>
    </row>
    <row r="4123" spans="1:4">
      <c r="A4123" s="5">
        <v>4062</v>
      </c>
      <c r="B4123" s="138">
        <f>'Acct Summary 7-8'!D10</f>
        <v>1358935</v>
      </c>
      <c r="C4123" s="2" t="s">
        <v>573</v>
      </c>
      <c r="D4123" s="2" t="str">
        <f t="shared" si="63"/>
        <v>Error?</v>
      </c>
    </row>
    <row r="4124" spans="1:4">
      <c r="A4124" s="5">
        <v>4063</v>
      </c>
      <c r="B4124" s="138">
        <f>'Acct Summary 7-8'!E10</f>
        <v>1310908</v>
      </c>
      <c r="C4124" s="2" t="s">
        <v>573</v>
      </c>
      <c r="D4124" s="2" t="str">
        <f t="shared" si="63"/>
        <v>Error?</v>
      </c>
    </row>
    <row r="4125" spans="1:4">
      <c r="A4125" s="5">
        <v>4064</v>
      </c>
      <c r="B4125" s="138">
        <f>'Acct Summary 7-8'!F10</f>
        <v>938546</v>
      </c>
      <c r="C4125" s="2" t="s">
        <v>573</v>
      </c>
      <c r="D4125" s="2" t="str">
        <f t="shared" si="63"/>
        <v>Error?</v>
      </c>
    </row>
    <row r="4126" spans="1:4">
      <c r="A4126" s="5">
        <v>4065</v>
      </c>
      <c r="B4126" s="138">
        <f>'Acct Summary 7-8'!G10</f>
        <v>348678</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163509</v>
      </c>
      <c r="C4128" s="2" t="s">
        <v>573</v>
      </c>
      <c r="D4128" s="2" t="str">
        <f t="shared" si="63"/>
        <v>Error?</v>
      </c>
    </row>
    <row r="4129" spans="1:4">
      <c r="A4129" s="10">
        <v>4068</v>
      </c>
      <c r="C4129" s="2" t="s">
        <v>573</v>
      </c>
      <c r="D4129" s="2" t="str">
        <f t="shared" si="63"/>
        <v>OK</v>
      </c>
    </row>
    <row r="4130" spans="1:4">
      <c r="A4130" s="5">
        <v>4069</v>
      </c>
      <c r="B4130" s="138">
        <f>'Acct Summary 7-8'!K10</f>
        <v>43998</v>
      </c>
      <c r="C4130" s="2" t="s">
        <v>573</v>
      </c>
      <c r="D4130" s="2" t="str">
        <f t="shared" si="63"/>
        <v>Error?</v>
      </c>
    </row>
    <row r="4131" spans="1:4">
      <c r="A4131" s="5">
        <v>4070</v>
      </c>
      <c r="B4131" s="138">
        <f>'Acct Summary 7-8'!C18</f>
        <v>6052645</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19164771</v>
      </c>
      <c r="C4136" s="2" t="s">
        <v>573</v>
      </c>
      <c r="D4136" s="2" t="str">
        <f t="shared" si="63"/>
        <v>Error?</v>
      </c>
    </row>
    <row r="4137" spans="1:4">
      <c r="A4137" s="5">
        <v>4076</v>
      </c>
      <c r="B4137" s="138">
        <f>'Acct Summary 7-8'!D19</f>
        <v>1401002</v>
      </c>
      <c r="C4137" s="2" t="s">
        <v>573</v>
      </c>
      <c r="D4137" s="2" t="str">
        <f t="shared" si="63"/>
        <v>Error?</v>
      </c>
    </row>
    <row r="4138" spans="1:4">
      <c r="A4138" s="5">
        <v>4077</v>
      </c>
      <c r="B4138" s="138">
        <f>'Acct Summary 7-8'!E19</f>
        <v>1459252</v>
      </c>
      <c r="C4138" s="2" t="s">
        <v>573</v>
      </c>
      <c r="D4138" s="2" t="str">
        <f t="shared" si="63"/>
        <v>Error?</v>
      </c>
    </row>
    <row r="4139" spans="1:4">
      <c r="A4139" s="5">
        <v>4078</v>
      </c>
      <c r="B4139" s="138">
        <f>'Acct Summary 7-8'!F19</f>
        <v>1156174</v>
      </c>
      <c r="C4139" s="2" t="s">
        <v>573</v>
      </c>
      <c r="D4139" s="2" t="str">
        <f t="shared" si="63"/>
        <v>Error?</v>
      </c>
    </row>
    <row r="4140" spans="1:4">
      <c r="A4140" s="5">
        <v>4079</v>
      </c>
      <c r="B4140" s="138">
        <f>'Acct Summary 7-8'!G19</f>
        <v>423353</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821113</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9700405</v>
      </c>
      <c r="C4171" s="2" t="s">
        <v>573</v>
      </c>
      <c r="D4171" s="2" t="str">
        <f t="shared" si="64"/>
        <v>Error?</v>
      </c>
    </row>
    <row r="4172" spans="1:4">
      <c r="A4172" s="5">
        <v>4111</v>
      </c>
      <c r="B4172" s="138">
        <f>'Short-Term Long-Term Debt 24'!J49</f>
        <v>8977226</v>
      </c>
      <c r="C4172" s="2" t="s">
        <v>573</v>
      </c>
      <c r="D4172" s="2" t="str">
        <f t="shared" si="64"/>
        <v>Error?</v>
      </c>
    </row>
    <row r="4173" spans="1:4">
      <c r="A4173" s="5">
        <v>4112</v>
      </c>
      <c r="B4173" s="138">
        <f>'Short-Term Long-Term Debt 24'!H49</f>
        <v>1081555</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1900</v>
      </c>
    </row>
    <row r="4236" spans="1:5">
      <c r="A4236" s="10">
        <v>4175</v>
      </c>
      <c r="D4236" s="2" t="str">
        <f t="shared" si="65"/>
        <v>OK</v>
      </c>
      <c r="E4236" s="4" t="s">
        <v>1900</v>
      </c>
    </row>
    <row r="4237" spans="1:5">
      <c r="A4237" s="10">
        <v>4176</v>
      </c>
      <c r="D4237" s="2" t="str">
        <f t="shared" si="65"/>
        <v>OK</v>
      </c>
      <c r="E4237" s="4" t="s">
        <v>1900</v>
      </c>
    </row>
    <row r="4238" spans="1:5">
      <c r="A4238" s="10">
        <v>4177</v>
      </c>
      <c r="D4238" s="2" t="str">
        <f t="shared" si="65"/>
        <v>OK</v>
      </c>
      <c r="E4238" s="4" t="s">
        <v>1900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1760</v>
      </c>
      <c r="C4265" s="2" t="s">
        <v>573</v>
      </c>
      <c r="D4265" s="2" t="str">
        <f t="shared" si="65"/>
        <v>Error?</v>
      </c>
      <c r="E4265" s="128"/>
    </row>
    <row r="4266" spans="1:5">
      <c r="A4266" s="12">
        <v>4205</v>
      </c>
      <c r="B4266" s="138">
        <f>('FP Info 3'!F10)*100000</f>
        <v>470</v>
      </c>
      <c r="C4266" s="2" t="s">
        <v>573</v>
      </c>
      <c r="D4266" s="2" t="str">
        <f t="shared" si="65"/>
        <v>Error?</v>
      </c>
      <c r="E4266" s="128"/>
    </row>
    <row r="4267" spans="1:5">
      <c r="A4267" s="12">
        <v>4206</v>
      </c>
      <c r="B4267" s="138">
        <f>('FP Info 3'!H10)*100000</f>
        <v>119.99999999999999</v>
      </c>
      <c r="C4267" s="2" t="s">
        <v>573</v>
      </c>
      <c r="D4267" s="2" t="str">
        <f t="shared" si="65"/>
        <v>Error?</v>
      </c>
      <c r="E4267" s="128"/>
    </row>
    <row r="4268" spans="1:5">
      <c r="A4268" s="12">
        <v>4207</v>
      </c>
      <c r="B4268" s="138">
        <f>('FP Info 3'!J10)*100000</f>
        <v>2350</v>
      </c>
      <c r="C4268" s="2" t="s">
        <v>573</v>
      </c>
      <c r="D4268" s="2" t="str">
        <f t="shared" si="65"/>
        <v>Error?</v>
      </c>
    </row>
    <row r="4269" spans="1:5">
      <c r="A4269" s="12">
        <v>4208</v>
      </c>
      <c r="B4269" s="138">
        <f>'FP Info 3'!J16</f>
        <v>10494114</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27884</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108380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11910</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2867</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1900</v>
      </c>
    </row>
    <row r="4400" spans="1:5">
      <c r="A4400" s="10">
        <v>4339</v>
      </c>
      <c r="D4400" s="2" t="str">
        <f t="shared" si="67"/>
        <v>OK</v>
      </c>
      <c r="E4400" s="4" t="s">
        <v>1900</v>
      </c>
    </row>
    <row r="4401" spans="1:5">
      <c r="A4401" s="10">
        <v>4340</v>
      </c>
      <c r="D4401" s="2" t="str">
        <f t="shared" si="67"/>
        <v>OK</v>
      </c>
      <c r="E4401" s="4" t="s">
        <v>1900</v>
      </c>
    </row>
    <row r="4402" spans="1:5">
      <c r="A4402" s="10">
        <v>4341</v>
      </c>
      <c r="D4402" s="2" t="str">
        <f t="shared" si="67"/>
        <v>OK</v>
      </c>
      <c r="E4402" s="4" t="s">
        <v>1900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411801</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411801</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36687</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32682</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42106</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7084</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27099</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284277406</v>
      </c>
      <c r="D4995" s="2" t="str">
        <f t="shared" si="77"/>
        <v>Error?</v>
      </c>
    </row>
    <row r="4996" spans="1:4">
      <c r="A4996" s="12">
        <v>4935</v>
      </c>
      <c r="B4996" s="138">
        <f>'FP Info 3'!H31</f>
        <v>19615141.014000002</v>
      </c>
      <c r="D4996" s="2" t="str">
        <f t="shared" si="77"/>
        <v>Error?</v>
      </c>
    </row>
    <row r="4997" spans="1:4">
      <c r="A4997" s="12">
        <v>4936</v>
      </c>
      <c r="B4997" s="138">
        <f>'FP Info 3'!H37</f>
        <v>9700405</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4729480</v>
      </c>
      <c r="D5061" s="2" t="str">
        <f t="shared" si="78"/>
        <v>Error?</v>
      </c>
    </row>
    <row r="5062" spans="1:4">
      <c r="A5062" s="10">
        <v>5001</v>
      </c>
      <c r="D5062" s="2" t="str">
        <f t="shared" si="78"/>
        <v>OK</v>
      </c>
    </row>
    <row r="5063" spans="1:4">
      <c r="A5063" s="5">
        <v>5002</v>
      </c>
      <c r="B5063" s="138">
        <f>'Revenues 9-14'!C7</f>
        <v>53814</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4783294</v>
      </c>
      <c r="C5066" s="2" t="s">
        <v>573</v>
      </c>
      <c r="D5066" s="2" t="str">
        <f t="shared" si="78"/>
        <v>Error?</v>
      </c>
    </row>
    <row r="5067" spans="1:4">
      <c r="A5067" s="5">
        <v>5006</v>
      </c>
      <c r="B5067" s="138">
        <f>'Revenues 9-14'!C14</f>
        <v>5735</v>
      </c>
      <c r="D5067" s="2" t="str">
        <f t="shared" si="78"/>
        <v>Error?</v>
      </c>
    </row>
    <row r="5068" spans="1:4">
      <c r="A5068" s="5">
        <v>5007</v>
      </c>
      <c r="B5068" s="138">
        <f>'Revenues 9-14'!C15</f>
        <v>0</v>
      </c>
      <c r="D5068" s="2" t="str">
        <f t="shared" si="78"/>
        <v>Error?</v>
      </c>
    </row>
    <row r="5069" spans="1:4">
      <c r="A5069" s="5">
        <v>5008</v>
      </c>
      <c r="B5069" s="138">
        <f>'Revenues 9-14'!C16</f>
        <v>642273</v>
      </c>
      <c r="D5069" s="2" t="str">
        <f t="shared" si="78"/>
        <v>Error?</v>
      </c>
    </row>
    <row r="5070" spans="1:4">
      <c r="A5070" s="5">
        <v>5009</v>
      </c>
      <c r="B5070" s="138">
        <f>'Revenues 9-14'!C17</f>
        <v>0</v>
      </c>
      <c r="D5070" s="2" t="str">
        <f t="shared" si="78"/>
        <v>Error?</v>
      </c>
    </row>
    <row r="5071" spans="1:4">
      <c r="A5071" s="5">
        <v>5010</v>
      </c>
      <c r="B5071" s="138">
        <f>'Revenues 9-14'!C18</f>
        <v>648008</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94809</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94809</v>
      </c>
      <c r="C5087" s="2" t="s">
        <v>573</v>
      </c>
      <c r="D5087" s="2" t="str">
        <f t="shared" si="78"/>
        <v>Error?</v>
      </c>
    </row>
    <row r="5088" spans="1:4">
      <c r="A5088" s="5">
        <v>5027</v>
      </c>
      <c r="B5088" s="138">
        <f>'Revenues 9-14'!C65</f>
        <v>34398</v>
      </c>
      <c r="D5088" s="2" t="str">
        <f t="shared" si="78"/>
        <v>Error?</v>
      </c>
    </row>
    <row r="5089" spans="1:4">
      <c r="A5089" s="5">
        <v>5028</v>
      </c>
      <c r="B5089" s="138">
        <f>'Revenues 9-14'!C66</f>
        <v>0</v>
      </c>
      <c r="D5089" s="2" t="str">
        <f t="shared" si="78"/>
        <v>Error?</v>
      </c>
    </row>
    <row r="5090" spans="1:4">
      <c r="A5090" s="5">
        <v>5029</v>
      </c>
      <c r="B5090" s="138">
        <f>'Revenues 9-14'!C67</f>
        <v>34398</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831</v>
      </c>
      <c r="D5094" s="2" t="str">
        <f t="shared" si="78"/>
        <v>Error?</v>
      </c>
    </row>
    <row r="5095" spans="1:4">
      <c r="A5095" s="5">
        <v>5034</v>
      </c>
      <c r="B5095" s="138">
        <f>'Revenues 9-14'!C74</f>
        <v>16698</v>
      </c>
      <c r="D5095" s="2" t="str">
        <f t="shared" si="78"/>
        <v>Error?</v>
      </c>
    </row>
    <row r="5096" spans="1:4">
      <c r="A5096" s="5">
        <v>5035</v>
      </c>
      <c r="B5096" s="138">
        <f>'Revenues 9-14'!C75</f>
        <v>19632</v>
      </c>
      <c r="C5096" s="2" t="s">
        <v>573</v>
      </c>
      <c r="D5096" s="2" t="str">
        <f t="shared" si="78"/>
        <v>Error?</v>
      </c>
    </row>
    <row r="5097" spans="1:4">
      <c r="A5097" s="5">
        <v>5036</v>
      </c>
      <c r="B5097" s="138">
        <f>'Revenues 9-14'!C77</f>
        <v>4316</v>
      </c>
      <c r="D5097" s="2" t="str">
        <f t="shared" si="78"/>
        <v>Error?</v>
      </c>
    </row>
    <row r="5098" spans="1:4">
      <c r="A5098" s="5">
        <v>5037</v>
      </c>
      <c r="B5098" s="138">
        <f>'Revenues 9-14'!C78</f>
        <v>0</v>
      </c>
      <c r="D5098" s="2" t="str">
        <f t="shared" si="78"/>
        <v>Error?</v>
      </c>
    </row>
    <row r="5099" spans="1:4">
      <c r="A5099" s="5">
        <v>5038</v>
      </c>
      <c r="B5099" s="138">
        <f>'Revenues 9-14'!C79</f>
        <v>10897</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15213</v>
      </c>
      <c r="C5102" s="2" t="s">
        <v>573</v>
      </c>
      <c r="D5102" s="2" t="str">
        <f t="shared" si="78"/>
        <v>Error?</v>
      </c>
    </row>
    <row r="5103" spans="1:4">
      <c r="A5103" s="5">
        <v>5042</v>
      </c>
      <c r="B5103" s="138">
        <f>'Revenues 9-14'!C84</f>
        <v>42742</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42742</v>
      </c>
      <c r="C5112" s="2" t="s">
        <v>573</v>
      </c>
      <c r="D5112" s="2" t="str">
        <f t="shared" si="78"/>
        <v>Error?</v>
      </c>
    </row>
    <row r="5113" spans="1:4">
      <c r="A5113" s="5">
        <v>5052</v>
      </c>
      <c r="B5113" s="138">
        <f>'Revenues 9-14'!C95</f>
        <v>0</v>
      </c>
      <c r="D5113" s="2" t="str">
        <f t="shared" si="78"/>
        <v>Error?</v>
      </c>
    </row>
    <row r="5114" spans="1:4">
      <c r="A5114" s="5">
        <v>5053</v>
      </c>
      <c r="B5114" s="138">
        <f>'Revenues 9-14'!C96</f>
        <v>38749</v>
      </c>
      <c r="D5114" s="2" t="str">
        <f t="shared" si="78"/>
        <v>Error?</v>
      </c>
    </row>
    <row r="5115" spans="1:4">
      <c r="A5115" s="5">
        <v>5054</v>
      </c>
      <c r="B5115" s="138">
        <f>'Revenues 9-14'!C98</f>
        <v>50</v>
      </c>
      <c r="D5115" s="2" t="str">
        <f t="shared" si="78"/>
        <v>Error?</v>
      </c>
    </row>
    <row r="5116" spans="1:4">
      <c r="A5116" s="5">
        <v>5055</v>
      </c>
      <c r="B5116" s="138">
        <f>'Revenues 9-14'!C99</f>
        <v>4084</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89878</v>
      </c>
      <c r="D5119" s="2" t="str">
        <f t="shared" ref="D5119:D5182" si="79">IF(ISBLANK(B5119),"OK",IF(A5119-B5119=0,"OK","Error?"))</f>
        <v>Error?</v>
      </c>
    </row>
    <row r="5120" spans="1:4">
      <c r="A5120" s="5">
        <v>5059</v>
      </c>
      <c r="B5120" s="138">
        <f>'Revenues 9-14'!C108</f>
        <v>174867</v>
      </c>
      <c r="C5120" s="2" t="s">
        <v>573</v>
      </c>
      <c r="D5120" s="2" t="str">
        <f t="shared" si="79"/>
        <v>Error?</v>
      </c>
    </row>
    <row r="5121" spans="1:4">
      <c r="A5121" s="5">
        <v>5060</v>
      </c>
      <c r="B5121" s="138">
        <f>'Revenues 9-14'!C109</f>
        <v>5812963</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5194767</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5194767</v>
      </c>
      <c r="C5132" s="2" t="s">
        <v>573</v>
      </c>
      <c r="D5132" s="2" t="str">
        <f t="shared" si="79"/>
        <v>Error?</v>
      </c>
    </row>
    <row r="5133" spans="1:4">
      <c r="A5133" s="5">
        <v>5072</v>
      </c>
      <c r="B5133" s="138">
        <f>'Revenues 9-14'!C125</f>
        <v>0</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58090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58090</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7604</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236230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1900</v>
      </c>
    </row>
    <row r="5200" spans="1:5">
      <c r="A5200" s="10">
        <v>5139</v>
      </c>
      <c r="D5200" s="2" t="str">
        <f t="shared" si="80"/>
        <v>OK</v>
      </c>
      <c r="E5200" s="4" t="s">
        <v>1900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309008</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5503775</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425557</v>
      </c>
      <c r="D5239" s="2" t="str">
        <f t="shared" si="80"/>
        <v>Error?</v>
      </c>
    </row>
    <row r="5240" spans="1:4">
      <c r="A5240" s="5">
        <v>5179</v>
      </c>
      <c r="B5240" s="138">
        <f>'Revenues 9-14'!C192</f>
        <v>1528</v>
      </c>
      <c r="D5240" s="2" t="str">
        <f t="shared" si="80"/>
        <v>Error?</v>
      </c>
    </row>
    <row r="5241" spans="1:4">
      <c r="A5241" s="5">
        <v>5180</v>
      </c>
      <c r="B5241" s="138">
        <f>'Revenues 9-14'!C193</f>
        <v>60540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487625</v>
      </c>
      <c r="C5246" s="2" t="s">
        <v>573</v>
      </c>
      <c r="D5246" s="2" t="str">
        <f t="shared" si="80"/>
        <v>Error?</v>
      </c>
    </row>
    <row r="5247" spans="1:4">
      <c r="A5247" s="5">
        <v>5186</v>
      </c>
      <c r="B5247" s="138">
        <f>'Revenues 9-14'!C200</f>
        <v>411515</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1900</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439399</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0</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108380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1900</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1558450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1558450</v>
      </c>
      <c r="C5326" s="2" t="s">
        <v>573</v>
      </c>
      <c r="D5326" s="2" t="str">
        <f t="shared" si="82"/>
        <v>Error?</v>
      </c>
    </row>
    <row r="5327" spans="1:5">
      <c r="A5327" s="5">
        <v>5266</v>
      </c>
      <c r="B5327" s="138">
        <f>'Revenues 9-14'!C268</f>
        <v>12875188</v>
      </c>
      <c r="C5327" s="2" t="s">
        <v>573</v>
      </c>
      <c r="D5327" s="2" t="str">
        <f t="shared" si="82"/>
        <v>Error?</v>
      </c>
    </row>
    <row r="5328" spans="1:5">
      <c r="A5328" s="5">
        <v>5267</v>
      </c>
      <c r="B5328" s="138">
        <f>'Revenues 9-14'!D5</f>
        <v>1264681</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1264681</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74297</v>
      </c>
      <c r="D5340" s="2" t="str">
        <f t="shared" si="82"/>
        <v>Error?</v>
      </c>
    </row>
    <row r="5341" spans="1:4">
      <c r="A5341" s="5">
        <v>5280</v>
      </c>
      <c r="B5341" s="138">
        <f>'Revenues 9-14'!D66</f>
        <v>0</v>
      </c>
      <c r="D5341" s="2" t="str">
        <f t="shared" si="82"/>
        <v>Error?</v>
      </c>
    </row>
    <row r="5342" spans="1:4">
      <c r="A5342" s="5">
        <v>5281</v>
      </c>
      <c r="B5342" s="138">
        <f>'Revenues 9-14'!D67</f>
        <v>74297</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5220</v>
      </c>
      <c r="D5349" s="2" t="str">
        <f t="shared" si="82"/>
        <v>Error?</v>
      </c>
    </row>
    <row r="5350" spans="1:4">
      <c r="A5350" s="5">
        <v>5289</v>
      </c>
      <c r="B5350" s="138">
        <f>'Revenues 9-14'!D96</f>
        <v>1834</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11469</v>
      </c>
      <c r="D5354" s="2" t="str">
        <f t="shared" si="82"/>
        <v>Error?</v>
      </c>
    </row>
    <row r="5355" spans="1:4">
      <c r="A5355" s="5">
        <v>5294</v>
      </c>
      <c r="B5355" s="138">
        <f>'Revenues 9-14'!D108</f>
        <v>19957</v>
      </c>
      <c r="C5355" s="2" t="s">
        <v>573</v>
      </c>
      <c r="D5355" s="2" t="str">
        <f t="shared" si="82"/>
        <v>Error?</v>
      </c>
    </row>
    <row r="5356" spans="1:4">
      <c r="A5356" s="5">
        <v>5295</v>
      </c>
      <c r="B5356" s="138">
        <f>'Revenues 9-14'!D109</f>
        <v>1358935</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1900</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1358935</v>
      </c>
      <c r="C5508" s="2" t="s">
        <v>573</v>
      </c>
      <c r="D5508" s="2" t="str">
        <f t="shared" si="85"/>
        <v>Error?</v>
      </c>
    </row>
    <row r="5509" spans="1:4">
      <c r="A5509" s="5">
        <v>5448</v>
      </c>
      <c r="B5509" s="138">
        <f>'Revenues 9-14'!E5</f>
        <v>1087892</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134544</v>
      </c>
      <c r="D5512" s="2" t="str">
        <f t="shared" si="85"/>
        <v>Error?</v>
      </c>
    </row>
    <row r="5513" spans="1:4">
      <c r="A5513" s="5">
        <v>5452</v>
      </c>
      <c r="B5513" s="138">
        <f>'Revenues 9-14'!E12</f>
        <v>1222436</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10289</v>
      </c>
      <c r="D5519" s="2" t="str">
        <f t="shared" si="85"/>
        <v>Error?</v>
      </c>
    </row>
    <row r="5520" spans="1:4">
      <c r="A5520" s="5">
        <v>5459</v>
      </c>
      <c r="B5520" s="138">
        <f>'Revenues 9-14'!E66</f>
        <v>0</v>
      </c>
      <c r="D5520" s="2" t="str">
        <f t="shared" si="85"/>
        <v>Error?</v>
      </c>
    </row>
    <row r="5521" spans="1:4">
      <c r="A5521" s="5">
        <v>5460</v>
      </c>
      <c r="B5521" s="138">
        <f>'Revenues 9-14'!E67</f>
        <v>10289</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78183</v>
      </c>
      <c r="C5526" s="2" t="s">
        <v>573</v>
      </c>
      <c r="D5526" s="2" t="str">
        <f t="shared" si="85"/>
        <v>Error?</v>
      </c>
    </row>
    <row r="5527" spans="1:4">
      <c r="A5527" s="5">
        <v>5466</v>
      </c>
      <c r="B5527" s="138">
        <f>'Revenues 9-14'!E109</f>
        <v>1310908</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1310908</v>
      </c>
      <c r="C5552" s="2" t="s">
        <v>573</v>
      </c>
      <c r="D5552" s="2" t="str">
        <f t="shared" si="85"/>
        <v>Error?</v>
      </c>
    </row>
    <row r="5553" spans="1:4">
      <c r="A5553" s="5">
        <v>5492</v>
      </c>
      <c r="B5553" s="138">
        <f>'Revenues 9-14'!F5</f>
        <v>322897</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322897</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3573</v>
      </c>
      <c r="D5580" s="2" t="str">
        <f t="shared" si="86"/>
        <v>Error?</v>
      </c>
    </row>
    <row r="5581" spans="1:4">
      <c r="A5581" s="5">
        <v>5520</v>
      </c>
      <c r="B5581" s="138">
        <f>'Revenues 9-14'!F66</f>
        <v>0</v>
      </c>
      <c r="D5581" s="2" t="str">
        <f t="shared" si="86"/>
        <v>Error?</v>
      </c>
    </row>
    <row r="5582" spans="1:4">
      <c r="A5582" s="5">
        <v>5521</v>
      </c>
      <c r="B5582" s="138">
        <f>'Revenues 9-14'!F67</f>
        <v>3573</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66202</v>
      </c>
      <c r="D5586" s="2" t="str">
        <f t="shared" si="86"/>
        <v>Error?</v>
      </c>
    </row>
    <row r="5587" spans="1:4">
      <c r="A5587" s="5">
        <v>5526</v>
      </c>
      <c r="B5587" s="138">
        <f>'Revenues 9-14'!F108</f>
        <v>66202</v>
      </c>
      <c r="C5587" s="2" t="s">
        <v>573</v>
      </c>
      <c r="D5587" s="2" t="str">
        <f t="shared" si="86"/>
        <v>Error?</v>
      </c>
    </row>
    <row r="5588" spans="1:4">
      <c r="A5588" s="5">
        <v>5527</v>
      </c>
      <c r="B5588" s="138">
        <f>'Revenues 9-14'!F109</f>
        <v>392672</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290402</v>
      </c>
      <c r="D5615" s="2" t="str">
        <f t="shared" si="86"/>
        <v>Error?</v>
      </c>
    </row>
    <row r="5616" spans="1:4">
      <c r="A5616" s="10">
        <v>5555</v>
      </c>
      <c r="D5616" s="2" t="str">
        <f t="shared" si="86"/>
        <v>OK</v>
      </c>
    </row>
    <row r="5617" spans="1:5">
      <c r="A5617" s="5">
        <v>5556</v>
      </c>
      <c r="B5617" s="138">
        <f>'Revenues 9-14'!F153</f>
        <v>255472</v>
      </c>
      <c r="D5617" s="2" t="str">
        <f t="shared" si="86"/>
        <v>Error?</v>
      </c>
    </row>
    <row r="5618" spans="1:5">
      <c r="A5618" s="5">
        <v>5557</v>
      </c>
      <c r="B5618" s="138">
        <f>'Revenues 9-14'!F155</f>
        <v>545874</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1900</v>
      </c>
    </row>
    <row r="5631" spans="1:5">
      <c r="A5631" s="10">
        <v>5570</v>
      </c>
      <c r="D5631" s="2" t="str">
        <f t="shared" ref="D5631:D5694" si="87">IF(ISBLANK(B5631),"OK",IF(A5631-B5631=0,"OK","Error?"))</f>
        <v>OK</v>
      </c>
      <c r="E5631" s="4" t="s">
        <v>1900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545874</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545874</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1900</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1900</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938546</v>
      </c>
      <c r="C5720" s="2" t="s">
        <v>573</v>
      </c>
      <c r="D5720" s="2" t="str">
        <f t="shared" si="88"/>
        <v>Error?</v>
      </c>
    </row>
    <row r="5721" spans="1:4">
      <c r="A5721" s="5">
        <v>5660</v>
      </c>
      <c r="B5721" s="138">
        <f>'Revenues 9-14'!G5</f>
        <v>133903</v>
      </c>
      <c r="D5721" s="2" t="str">
        <f t="shared" si="88"/>
        <v>Error?</v>
      </c>
    </row>
    <row r="5722" spans="1:4">
      <c r="A5722" s="5">
        <v>5661</v>
      </c>
      <c r="B5722" s="138">
        <f>'Revenues 9-14'!G7</f>
        <v>0</v>
      </c>
      <c r="D5722" s="2" t="str">
        <f t="shared" si="88"/>
        <v>Error?</v>
      </c>
    </row>
    <row r="5723" spans="1:4">
      <c r="A5723" s="5">
        <v>5662</v>
      </c>
      <c r="B5723" s="138">
        <f>'Revenues 9-14'!G8</f>
        <v>149799</v>
      </c>
      <c r="D5723" s="2" t="str">
        <f t="shared" si="88"/>
        <v>Error?</v>
      </c>
    </row>
    <row r="5724" spans="1:4">
      <c r="A5724" s="5">
        <v>5663</v>
      </c>
      <c r="B5724" s="138">
        <f>'Revenues 9-14'!G11</f>
        <v>0</v>
      </c>
      <c r="D5724" s="2" t="str">
        <f t="shared" si="88"/>
        <v>Error?</v>
      </c>
    </row>
    <row r="5725" spans="1:4">
      <c r="A5725" s="5">
        <v>5664</v>
      </c>
      <c r="B5725" s="138">
        <f>'Revenues 9-14'!G12</f>
        <v>283702</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57420</v>
      </c>
      <c r="D5728" s="2" t="str">
        <f t="shared" si="88"/>
        <v>Error?</v>
      </c>
    </row>
    <row r="5729" spans="1:4">
      <c r="A5729" s="5">
        <v>5668</v>
      </c>
      <c r="B5729" s="138">
        <f>'Revenues 9-14'!G17</f>
        <v>0</v>
      </c>
      <c r="D5729" s="2" t="str">
        <f t="shared" si="88"/>
        <v>Error?</v>
      </c>
    </row>
    <row r="5730" spans="1:4">
      <c r="A5730" s="5">
        <v>5669</v>
      </c>
      <c r="B5730" s="138">
        <f>'Revenues 9-14'!G18</f>
        <v>57420</v>
      </c>
      <c r="C5730" s="2" t="s">
        <v>573</v>
      </c>
      <c r="D5730" s="2" t="str">
        <f t="shared" si="88"/>
        <v>Error?</v>
      </c>
    </row>
    <row r="5731" spans="1:4">
      <c r="A5731" s="5">
        <v>5670</v>
      </c>
      <c r="B5731" s="138">
        <f>'Revenues 9-14'!G65</f>
        <v>7556</v>
      </c>
      <c r="D5731" s="2" t="str">
        <f t="shared" si="88"/>
        <v>Error?</v>
      </c>
    </row>
    <row r="5732" spans="1:4">
      <c r="A5732" s="5">
        <v>5671</v>
      </c>
      <c r="B5732" s="138">
        <f>'Revenues 9-14'!G66</f>
        <v>0</v>
      </c>
      <c r="D5732" s="2" t="str">
        <f t="shared" si="88"/>
        <v>Error?</v>
      </c>
    </row>
    <row r="5733" spans="1:4">
      <c r="A5733" s="5">
        <v>5672</v>
      </c>
      <c r="B5733" s="138">
        <f>'Revenues 9-14'!G67</f>
        <v>7556</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1900</v>
      </c>
    </row>
    <row r="5768" spans="1:5">
      <c r="A5768" s="10">
        <v>5707</v>
      </c>
      <c r="D5768" s="2" t="str">
        <f t="shared" si="89"/>
        <v>OK</v>
      </c>
      <c r="E5768" s="4" t="s">
        <v>1900</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1900</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1900</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348678</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134544</v>
      </c>
      <c r="D5916" s="2" t="str">
        <f t="shared" si="91"/>
        <v>Error?</v>
      </c>
    </row>
    <row r="5917" spans="1:4">
      <c r="A5917" s="5">
        <v>5856</v>
      </c>
      <c r="B5917" s="138">
        <f>'Revenues 9-14'!I11</f>
        <v>0</v>
      </c>
      <c r="D5917" s="2" t="str">
        <f t="shared" si="91"/>
        <v>Error?</v>
      </c>
    </row>
    <row r="5918" spans="1:4">
      <c r="A5918" s="5">
        <v>5857</v>
      </c>
      <c r="B5918" s="138">
        <f>'Revenues 9-14'!I12</f>
        <v>134544</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28965</v>
      </c>
      <c r="D5924" s="2" t="str">
        <f t="shared" si="91"/>
        <v>Error?</v>
      </c>
    </row>
    <row r="5925" spans="1:4">
      <c r="A5925" s="5">
        <v>5864</v>
      </c>
      <c r="B5925" s="138">
        <f>'Revenues 9-14'!I66</f>
        <v>0</v>
      </c>
      <c r="D5925" s="2" t="str">
        <f t="shared" si="91"/>
        <v>Error?</v>
      </c>
    </row>
    <row r="5926" spans="1:4">
      <c r="A5926" s="5">
        <v>5865</v>
      </c>
      <c r="B5926" s="138">
        <f>'Revenues 9-14'!I67</f>
        <v>28965</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163509</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41122</v>
      </c>
      <c r="D5985" s="2" t="str">
        <f t="shared" si="92"/>
        <v>Error?</v>
      </c>
    </row>
    <row r="5986" spans="1:4">
      <c r="A5986" s="5">
        <v>5925</v>
      </c>
      <c r="B5986" s="138">
        <f>'Revenues 9-14'!K11</f>
        <v>0</v>
      </c>
      <c r="D5986" s="2" t="str">
        <f t="shared" si="92"/>
        <v>Error?</v>
      </c>
    </row>
    <row r="5987" spans="1:4">
      <c r="A5987" s="5">
        <v>5926</v>
      </c>
      <c r="B5987" s="138">
        <f>'Revenues 9-14'!K12</f>
        <v>41122</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2876</v>
      </c>
      <c r="D5993" s="2" t="str">
        <f t="shared" si="92"/>
        <v>Error?</v>
      </c>
    </row>
    <row r="5994" spans="1:4">
      <c r="A5994" s="5">
        <v>5933</v>
      </c>
      <c r="B5994" s="138">
        <f>'Revenues 9-14'!K66</f>
        <v>0</v>
      </c>
      <c r="D5994" s="2" t="str">
        <f t="shared" si="92"/>
        <v>Error?</v>
      </c>
    </row>
    <row r="5995" spans="1:4">
      <c r="A5995" s="5">
        <v>5934</v>
      </c>
      <c r="B5995" s="138">
        <f>'Revenues 9-14'!K67</f>
        <v>2876</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43998</v>
      </c>
      <c r="C6023" s="2" t="s">
        <v>573</v>
      </c>
      <c r="D6023" s="2" t="str">
        <f t="shared" si="93"/>
        <v>Error?</v>
      </c>
    </row>
    <row r="6024" spans="1:5">
      <c r="A6024" s="5">
        <v>5963</v>
      </c>
      <c r="B6024" s="138">
        <f>'Revenues 9-14'!G109</f>
        <v>348678</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163509</v>
      </c>
      <c r="C6026" s="2" t="s">
        <v>573</v>
      </c>
      <c r="D6026" s="2" t="str">
        <f t="shared" si="93"/>
        <v>Error?</v>
      </c>
    </row>
    <row r="6027" spans="1:5">
      <c r="A6027" s="10">
        <v>5966</v>
      </c>
      <c r="C6027" s="2" t="s">
        <v>573</v>
      </c>
      <c r="D6027" s="2" t="str">
        <f t="shared" si="93"/>
        <v>OK</v>
      </c>
    </row>
    <row r="6028" spans="1:5">
      <c r="A6028" s="5">
        <v>5967</v>
      </c>
      <c r="B6028" s="138">
        <f>'Revenues 9-14'!K109</f>
        <v>43998</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2103</v>
      </c>
      <c r="D6031" s="2" t="str">
        <f t="shared" si="93"/>
        <v>Error?</v>
      </c>
    </row>
    <row r="6032" spans="1:5">
      <c r="A6032" s="5">
        <v>5971</v>
      </c>
      <c r="B6032" s="138">
        <f>'Acct Summary 7-8'!G15</f>
        <v>35105</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43159</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1579</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3132</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379037</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379037</v>
      </c>
      <c r="D6215" s="2" t="str">
        <f t="shared" si="96"/>
        <v>Error?</v>
      </c>
      <c r="E6215" s="2" t="s">
        <v>190</v>
      </c>
    </row>
    <row r="6216" spans="1:5">
      <c r="A6216">
        <v>6155</v>
      </c>
      <c r="B6216" s="138">
        <f>'Assets-Liab 5-6'!J41</f>
        <v>379037</v>
      </c>
      <c r="D6216" s="2" t="str">
        <f t="shared" si="96"/>
        <v>Error?</v>
      </c>
      <c r="E6216" s="2" t="s">
        <v>190</v>
      </c>
    </row>
    <row r="6217" spans="1:5">
      <c r="A6217">
        <v>6156</v>
      </c>
      <c r="B6217" s="138">
        <f>'Assets-Liab 5-6'!J4</f>
        <v>379037</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597522</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597522</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597522</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684919</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684919</v>
      </c>
      <c r="D6229" s="2" t="str">
        <f t="shared" si="96"/>
        <v>Error?</v>
      </c>
      <c r="E6229" s="2" t="s">
        <v>190</v>
      </c>
    </row>
    <row r="6230" spans="1:5">
      <c r="A6230">
        <v>6169</v>
      </c>
      <c r="B6230" s="138">
        <f>'Acct Summary 7-8'!J20</f>
        <v>-87397</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-87397</v>
      </c>
      <c r="D6263" s="2" t="str">
        <f t="shared" si="96"/>
        <v>Error?</v>
      </c>
      <c r="E6263" s="2" t="s">
        <v>190</v>
      </c>
    </row>
    <row r="6264" spans="1:5">
      <c r="A6264">
        <v>6203</v>
      </c>
      <c r="B6264" s="138">
        <f>'Acct Summary 7-8'!J79</f>
        <v>466434</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379037</v>
      </c>
      <c r="D6266" s="2" t="str">
        <f t="shared" si="96"/>
        <v>Error?</v>
      </c>
      <c r="E6266" s="2" t="s">
        <v>190</v>
      </c>
    </row>
    <row r="6267" spans="1:5">
      <c r="A6267">
        <v>6206</v>
      </c>
      <c r="B6267" s="138">
        <f>'Acct Summary 7-8'!C82</f>
        <v>-207973</v>
      </c>
      <c r="D6267" s="2" t="str">
        <f t="shared" si="96"/>
        <v>Error?</v>
      </c>
      <c r="E6267" s="2" t="s">
        <v>190</v>
      </c>
    </row>
    <row r="6268" spans="1:5">
      <c r="A6268">
        <v>6207</v>
      </c>
      <c r="B6268" s="138">
        <f>'Acct Summary 7-8'!D82</f>
        <v>-42067</v>
      </c>
      <c r="D6268" s="2" t="str">
        <f t="shared" si="96"/>
        <v>Error?</v>
      </c>
      <c r="E6268" s="2" t="s">
        <v>190</v>
      </c>
    </row>
    <row r="6269" spans="1:5">
      <c r="A6269">
        <v>6208</v>
      </c>
      <c r="B6269" s="138">
        <f>'Acct Summary 7-8'!E82</f>
        <v>-148344</v>
      </c>
      <c r="D6269" s="2" t="str">
        <f t="shared" si="96"/>
        <v>Error?</v>
      </c>
      <c r="E6269" s="2" t="s">
        <v>190</v>
      </c>
    </row>
    <row r="6270" spans="1:5">
      <c r="A6270">
        <v>6209</v>
      </c>
      <c r="B6270" s="138">
        <f>'Acct Summary 7-8'!F82</f>
        <v>784689</v>
      </c>
      <c r="D6270" s="2" t="str">
        <f t="shared" si="96"/>
        <v>Error?</v>
      </c>
      <c r="E6270" s="2" t="s">
        <v>190</v>
      </c>
    </row>
    <row r="6271" spans="1:5">
      <c r="A6271">
        <v>6210</v>
      </c>
      <c r="B6271" s="138">
        <f>'Acct Summary 7-8'!G82</f>
        <v>-74675</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-867773</v>
      </c>
      <c r="D6273" s="2" t="str">
        <f t="shared" si="97"/>
        <v>Error?</v>
      </c>
      <c r="E6273" s="2" t="s">
        <v>190</v>
      </c>
    </row>
    <row r="6274" spans="1:5">
      <c r="A6274">
        <v>6213</v>
      </c>
      <c r="B6274" s="138">
        <f>'Acct Summary 7-8'!J82</f>
        <v>-87397</v>
      </c>
      <c r="D6274" s="2" t="str">
        <f t="shared" si="97"/>
        <v>Error?</v>
      </c>
      <c r="E6274" s="2" t="s">
        <v>190</v>
      </c>
    </row>
    <row r="6275" spans="1:5">
      <c r="A6275">
        <v>6214</v>
      </c>
      <c r="B6275" s="138">
        <f>'Acct Summary 7-8'!K82</f>
        <v>-777115</v>
      </c>
      <c r="D6275" s="2" t="str">
        <f t="shared" si="97"/>
        <v>Error?</v>
      </c>
      <c r="E6275" s="2" t="s">
        <v>190</v>
      </c>
    </row>
    <row r="6276" spans="1:5">
      <c r="A6276">
        <v>6215</v>
      </c>
      <c r="B6276" s="138">
        <f>'Acct Summary 7-8'!C83</f>
        <v>-7.7295107922439155E-2</v>
      </c>
      <c r="D6276" s="2" t="str">
        <f t="shared" si="97"/>
        <v>Error?</v>
      </c>
      <c r="E6276" s="2" t="s">
        <v>190</v>
      </c>
    </row>
    <row r="6277" spans="1:5">
      <c r="A6277">
        <v>6216</v>
      </c>
      <c r="B6277" s="138">
        <f>'Acct Summary 7-8'!D83</f>
        <v>-8.1905227705761884E-3</v>
      </c>
      <c r="D6277" s="2" t="str">
        <f t="shared" si="97"/>
        <v>Error?</v>
      </c>
      <c r="E6277" s="2" t="s">
        <v>190</v>
      </c>
    </row>
    <row r="6278" spans="1:5">
      <c r="A6278">
        <v>6217</v>
      </c>
      <c r="B6278" s="138">
        <f>'Acct Summary 7-8'!E83</f>
        <v>-0.20512763783240387</v>
      </c>
      <c r="D6278" s="2" t="str">
        <f t="shared" si="97"/>
        <v>Error?</v>
      </c>
      <c r="E6278" s="2" t="s">
        <v>190</v>
      </c>
    </row>
    <row r="6279" spans="1:5">
      <c r="A6279">
        <v>6218</v>
      </c>
      <c r="B6279" s="138">
        <f>'Acct Summary 7-8'!F83</f>
        <v>0.97640396589568623</v>
      </c>
      <c r="D6279" s="2" t="str">
        <f t="shared" si="97"/>
        <v>Error?</v>
      </c>
      <c r="E6279" s="2" t="s">
        <v>190</v>
      </c>
    </row>
    <row r="6280" spans="1:5">
      <c r="A6280">
        <v>6219</v>
      </c>
      <c r="B6280" s="138">
        <f>'Acct Summary 7-8'!G83</f>
        <v>-0.1664730889870277</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-0.46560140532512628</v>
      </c>
      <c r="D6282" s="2" t="str">
        <f t="shared" si="97"/>
        <v>Error?</v>
      </c>
      <c r="E6282" s="2" t="s">
        <v>190</v>
      </c>
    </row>
    <row r="6283" spans="1:5">
      <c r="A6283">
        <v>6222</v>
      </c>
      <c r="B6283" s="138">
        <f>'Acct Summary 7-8'!J83</f>
        <v>-0.23057643449056425</v>
      </c>
      <c r="D6283" s="2" t="str">
        <f t="shared" si="97"/>
        <v>Error?</v>
      </c>
      <c r="E6283" s="2" t="s">
        <v>190</v>
      </c>
    </row>
    <row r="6284" spans="1:5">
      <c r="A6284">
        <v>6223</v>
      </c>
      <c r="B6284" s="138">
        <f>'Acct Summary 7-8'!K83</f>
        <v>-4.5755441854440333</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592810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592810</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4712</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4712</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1434</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74458</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597522</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1899</v>
      </c>
    </row>
    <row r="6383" spans="1:6">
      <c r="A6383" s="129">
        <v>6322</v>
      </c>
      <c r="D6383" s="2" t="str">
        <f t="shared" si="98"/>
        <v>OK</v>
      </c>
      <c r="E6383" s="2" t="s">
        <v>190</v>
      </c>
      <c r="F6383" s="1" t="s">
        <v>1899</v>
      </c>
    </row>
    <row r="6384" spans="1:6">
      <c r="A6384" s="129">
        <v>6323</v>
      </c>
      <c r="D6384" s="2" t="str">
        <f t="shared" si="98"/>
        <v>OK</v>
      </c>
      <c r="E6384" s="2" t="s">
        <v>190</v>
      </c>
      <c r="F6384" s="1" t="s">
        <v>1899</v>
      </c>
    </row>
    <row r="6385" spans="1:6">
      <c r="A6385" s="129">
        <v>6324</v>
      </c>
      <c r="D6385" s="2" t="str">
        <f t="shared" si="98"/>
        <v>OK</v>
      </c>
      <c r="E6385" s="2" t="s">
        <v>190</v>
      </c>
      <c r="F6385" s="1" t="s">
        <v>1899</v>
      </c>
    </row>
    <row r="6386" spans="1:6">
      <c r="A6386" s="129">
        <v>6325</v>
      </c>
      <c r="D6386" s="2" t="str">
        <f t="shared" si="98"/>
        <v>OK</v>
      </c>
      <c r="E6386" s="2" t="s">
        <v>190</v>
      </c>
      <c r="F6386" s="1" t="s">
        <v>1899</v>
      </c>
    </row>
    <row r="6387" spans="1:6">
      <c r="A6387" s="129">
        <v>6326</v>
      </c>
      <c r="D6387" s="2" t="str">
        <f t="shared" si="98"/>
        <v>OK</v>
      </c>
      <c r="E6387" s="2" t="s">
        <v>190</v>
      </c>
      <c r="F6387" s="1" t="s">
        <v>1899</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1899</v>
      </c>
    </row>
    <row r="6411" spans="1:6">
      <c r="A6411" s="129">
        <v>6350</v>
      </c>
      <c r="D6411" s="2" t="str">
        <f t="shared" si="99"/>
        <v>OK</v>
      </c>
      <c r="E6411" s="2" t="s">
        <v>190</v>
      </c>
      <c r="F6411" s="1" t="s">
        <v>1899</v>
      </c>
    </row>
    <row r="6412" spans="1:6">
      <c r="A6412" s="129">
        <v>6351</v>
      </c>
      <c r="D6412" s="2" t="str">
        <f t="shared" si="99"/>
        <v>OK</v>
      </c>
      <c r="E6412" s="2" t="s">
        <v>190</v>
      </c>
      <c r="F6412" s="1" t="s">
        <v>1899</v>
      </c>
    </row>
    <row r="6413" spans="1:6">
      <c r="A6413" s="129">
        <v>6352</v>
      </c>
      <c r="D6413" s="2" t="str">
        <f t="shared" si="99"/>
        <v>OK</v>
      </c>
      <c r="E6413" s="2" t="s">
        <v>190</v>
      </c>
      <c r="F6413" s="1" t="s">
        <v>1899</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1899</v>
      </c>
    </row>
    <row r="6842" spans="1:5">
      <c r="A6842" s="129">
        <v>6781</v>
      </c>
      <c r="D6842" s="2" t="str">
        <f t="shared" si="105"/>
        <v>OK</v>
      </c>
      <c r="E6842" s="1" t="s">
        <v>1899</v>
      </c>
    </row>
    <row r="6843" spans="1:5">
      <c r="A6843" s="129">
        <v>6782</v>
      </c>
      <c r="D6843" s="2" t="str">
        <f t="shared" si="105"/>
        <v>OK</v>
      </c>
      <c r="E6843" s="1" t="s">
        <v>1899</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259922</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272462</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605380</v>
      </c>
      <c r="D6983" s="2" t="str">
        <f t="shared" si="108"/>
        <v>Error?</v>
      </c>
    </row>
    <row r="6984" spans="1:4">
      <c r="A6984">
        <v>6923</v>
      </c>
      <c r="B6984" s="138">
        <f>'Expenditures 15-22'!K86</f>
        <v>605380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605380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187546</v>
      </c>
      <c r="D6998" s="2" t="str">
        <f t="shared" si="108"/>
        <v>Error?</v>
      </c>
    </row>
    <row r="6999" spans="1:4">
      <c r="A6999">
        <v>6938</v>
      </c>
      <c r="B6999" s="138">
        <f>'Expenditures 15-22'!K94</f>
        <v>187546</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187546</v>
      </c>
      <c r="D7012" s="2" t="str">
        <f t="shared" si="108"/>
        <v>Error?</v>
      </c>
    </row>
    <row r="7013" spans="1:4">
      <c r="A7013">
        <v>6952</v>
      </c>
      <c r="B7013" s="138">
        <f>'Expenditures 15-22'!K100</f>
        <v>187546</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684919</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597522</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11606</v>
      </c>
      <c r="D7075" s="2" t="str">
        <f t="shared" si="109"/>
        <v>Error?</v>
      </c>
    </row>
    <row r="7076" spans="1:4">
      <c r="A7076">
        <v>7015</v>
      </c>
      <c r="B7076" s="138">
        <f>'Expenditures 15-22'!K218</f>
        <v>11606</v>
      </c>
      <c r="D7076" s="2" t="str">
        <f t="shared" si="109"/>
        <v>Error?</v>
      </c>
    </row>
    <row r="7077" spans="1:4">
      <c r="A7077">
        <v>7016</v>
      </c>
      <c r="B7077" s="138">
        <f>'Expenditures 15-22'!D220</f>
        <v>12530</v>
      </c>
      <c r="D7077" s="2" t="str">
        <f t="shared" si="109"/>
        <v>Error?</v>
      </c>
    </row>
    <row r="7078" spans="1:4">
      <c r="A7078">
        <v>7017</v>
      </c>
      <c r="B7078" s="138">
        <f>'Expenditures 15-22'!K220</f>
        <v>12530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29295</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29295</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241260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241260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344162</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70202</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414364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344162</v>
      </c>
      <c r="D7199" s="2" t="str">
        <f t="shared" si="111"/>
        <v>Error?</v>
      </c>
    </row>
    <row r="7200" spans="1:4">
      <c r="A7200">
        <v>7139</v>
      </c>
      <c r="B7200" s="138">
        <f>'Expenditures 15-22'!D330</f>
        <v>0</v>
      </c>
      <c r="D7200" s="2" t="str">
        <f t="shared" si="111"/>
        <v>Error?</v>
      </c>
    </row>
    <row r="7201" spans="1:4">
      <c r="A7201">
        <v>7140</v>
      </c>
      <c r="B7201" s="138">
        <f>'Expenditures 15-22'!E330</f>
        <v>270555</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70202</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684919</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344162</v>
      </c>
      <c r="D7216" s="2" t="str">
        <f t="shared" si="111"/>
        <v>Error?</v>
      </c>
    </row>
    <row r="7217" spans="1:4">
      <c r="A7217">
        <v>7156</v>
      </c>
      <c r="B7217" s="138">
        <f>'Expenditures 15-22'!D342</f>
        <v>0</v>
      </c>
      <c r="D7217" s="2" t="str">
        <f t="shared" si="111"/>
        <v>Error?</v>
      </c>
    </row>
    <row r="7218" spans="1:4">
      <c r="A7218">
        <v>7157</v>
      </c>
      <c r="B7218" s="138">
        <f>'Expenditures 15-22'!E342</f>
        <v>270555</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70202</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684919</v>
      </c>
      <c r="D7224" s="2" t="str">
        <f t="shared" si="111"/>
        <v>Error?</v>
      </c>
    </row>
    <row r="7225" spans="1:4">
      <c r="A7225">
        <v>7164</v>
      </c>
      <c r="B7225" s="138">
        <f>'Expenditures 15-22'!K343</f>
        <v>-87397</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219677</v>
      </c>
      <c r="D7251" s="2" t="str">
        <f t="shared" si="112"/>
        <v>Error?</v>
      </c>
    </row>
    <row r="7252" spans="1:4">
      <c r="A7252">
        <f t="shared" si="113"/>
        <v>7191</v>
      </c>
      <c r="B7252" s="138">
        <f>'Expenditures 15-22'!D9</f>
        <v>38691</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1554</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212736</v>
      </c>
      <c r="D7257" s="2" t="str">
        <f t="shared" si="112"/>
        <v>Error?</v>
      </c>
    </row>
    <row r="7258" spans="1:4">
      <c r="A7258">
        <f t="shared" si="113"/>
        <v>7197</v>
      </c>
      <c r="B7258" s="138">
        <f>'Expenditures 15-22'!D11</f>
        <v>49951</v>
      </c>
      <c r="D7258" s="2" t="str">
        <f t="shared" si="112"/>
        <v>Error?</v>
      </c>
    </row>
    <row r="7259" spans="1:4">
      <c r="A7259">
        <f t="shared" si="113"/>
        <v>7198</v>
      </c>
      <c r="B7259" s="138">
        <f>'Expenditures 15-22'!E11</f>
        <v>2072</v>
      </c>
      <c r="D7259" s="2" t="str">
        <f t="shared" si="112"/>
        <v>Error?</v>
      </c>
    </row>
    <row r="7260" spans="1:4">
      <c r="A7260">
        <f t="shared" si="113"/>
        <v>7199</v>
      </c>
      <c r="B7260" s="138">
        <f>'Expenditures 15-22'!F11</f>
        <v>7703</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1313</v>
      </c>
    </row>
    <row r="7627" spans="1:5">
      <c r="A7627">
        <f t="shared" si="123"/>
        <v>7566</v>
      </c>
      <c r="D7627" s="2" t="str">
        <f t="shared" si="124"/>
        <v>OK</v>
      </c>
      <c r="E7627" s="4" t="s">
        <v>1313</v>
      </c>
    </row>
    <row r="7628" spans="1:5">
      <c r="A7628">
        <f t="shared" si="123"/>
        <v>7567</v>
      </c>
      <c r="D7628" s="2" t="str">
        <f t="shared" si="124"/>
        <v>OK</v>
      </c>
      <c r="E7628" s="2" t="s">
        <v>19</v>
      </c>
    </row>
    <row r="7629" spans="1:5">
      <c r="A7629">
        <f t="shared" si="123"/>
        <v>7568</v>
      </c>
      <c r="D7629" s="2" t="str">
        <f t="shared" si="124"/>
        <v>OK</v>
      </c>
      <c r="E7629" s="4" t="s">
        <v>1313</v>
      </c>
    </row>
    <row r="7630" spans="1:5">
      <c r="A7630">
        <f t="shared" ref="A7630:A7650" si="125">A7629+1</f>
        <v>7569</v>
      </c>
      <c r="D7630" s="2" t="str">
        <f t="shared" si="124"/>
        <v>OK</v>
      </c>
      <c r="E7630" s="4" t="s">
        <v>1313</v>
      </c>
    </row>
    <row r="7631" spans="1:5">
      <c r="A7631">
        <f t="shared" si="125"/>
        <v>7570</v>
      </c>
      <c r="B7631" s="138">
        <f>'Cap Outlay Deprec 26'!I18</f>
        <v>904645</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1313</v>
      </c>
    </row>
    <row r="7634" spans="1:6">
      <c r="A7634">
        <f t="shared" si="125"/>
        <v>7573</v>
      </c>
      <c r="D7634" s="2" t="str">
        <f t="shared" si="124"/>
        <v>OK</v>
      </c>
      <c r="E7634" s="4" t="s">
        <v>1313</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3725</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3725</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53814</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3725</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3725</v>
      </c>
      <c r="D7727" s="2" t="str">
        <f t="shared" si="126"/>
        <v>Error?</v>
      </c>
      <c r="E7727" s="2" t="s">
        <v>827</v>
      </c>
    </row>
    <row r="7728" spans="1:6">
      <c r="A7728">
        <v>7667</v>
      </c>
      <c r="B7728" s="138">
        <f>'Revenues 9-14'!E103</f>
        <v>3725</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3725</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1313</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1312</v>
      </c>
    </row>
    <row r="7749" spans="1:6">
      <c r="A7749">
        <v>7688</v>
      </c>
      <c r="B7749" s="138">
        <f>'Acct Summary 7-8'!D25</f>
        <v>0</v>
      </c>
      <c r="D7749" s="2" t="str">
        <f t="shared" si="127"/>
        <v>Error?</v>
      </c>
      <c r="E7749" s="4" t="s">
        <v>1312</v>
      </c>
    </row>
    <row r="7750" spans="1:6">
      <c r="A7750">
        <v>7689</v>
      </c>
      <c r="B7750" s="138">
        <f>'Acct Summary 7-8'!E25</f>
        <v>0</v>
      </c>
      <c r="D7750" s="2" t="str">
        <f t="shared" si="127"/>
        <v>Error?</v>
      </c>
      <c r="E7750" s="4" t="s">
        <v>1312</v>
      </c>
    </row>
    <row r="7751" spans="1:6">
      <c r="A7751">
        <v>7690</v>
      </c>
      <c r="B7751" s="138">
        <f>'Acct Summary 7-8'!F25</f>
        <v>1002317</v>
      </c>
      <c r="D7751" s="2" t="str">
        <f t="shared" si="127"/>
        <v>Error?</v>
      </c>
      <c r="E7751" s="4" t="s">
        <v>1312</v>
      </c>
    </row>
    <row r="7752" spans="1:6">
      <c r="A7752">
        <v>7691</v>
      </c>
      <c r="B7752" s="138">
        <f>'Acct Summary 7-8'!G25</f>
        <v>0</v>
      </c>
      <c r="D7752" s="2" t="str">
        <f t="shared" si="127"/>
        <v>Error?</v>
      </c>
      <c r="E7752" s="4" t="s">
        <v>1312</v>
      </c>
    </row>
    <row r="7753" spans="1:6">
      <c r="A7753">
        <v>7692</v>
      </c>
      <c r="B7753" s="138">
        <f>'Acct Summary 7-8'!H25</f>
        <v>0</v>
      </c>
      <c r="D7753" s="2" t="str">
        <f t="shared" si="127"/>
        <v>Error?</v>
      </c>
      <c r="E7753" s="4" t="s">
        <v>1312</v>
      </c>
    </row>
    <row r="7754" spans="1:6">
      <c r="A7754">
        <v>7693</v>
      </c>
      <c r="B7754" s="138">
        <f>'Acct Summary 7-8'!J25</f>
        <v>0</v>
      </c>
      <c r="D7754" s="2" t="str">
        <f t="shared" si="127"/>
        <v>Error?</v>
      </c>
      <c r="E7754" s="4" t="s">
        <v>1312</v>
      </c>
    </row>
    <row r="7755" spans="1:6">
      <c r="A7755">
        <v>7694</v>
      </c>
      <c r="B7755" s="138">
        <f>'Acct Summary 7-8'!K25</f>
        <v>0</v>
      </c>
      <c r="D7755" s="2" t="str">
        <f t="shared" si="127"/>
        <v>Error?</v>
      </c>
      <c r="E7755" s="4" t="s">
        <v>1312</v>
      </c>
    </row>
    <row r="7756" spans="1:6">
      <c r="A7756">
        <v>7695</v>
      </c>
      <c r="B7756" s="138">
        <f>'Aud Quest 2'!E85</f>
        <v>0</v>
      </c>
      <c r="D7756" s="2" t="str">
        <f t="shared" si="127"/>
        <v>Error?</v>
      </c>
      <c r="E7756" s="4" t="s">
        <v>1312</v>
      </c>
      <c r="F7756" t="s">
        <v>1424</v>
      </c>
    </row>
    <row r="7757" spans="1:6">
      <c r="A7757">
        <v>7696</v>
      </c>
      <c r="B7757" s="138">
        <f>'Aud Quest 2'!E87</f>
        <v>0</v>
      </c>
      <c r="D7757" s="2" t="str">
        <f t="shared" si="127"/>
        <v>Error?</v>
      </c>
      <c r="E7757" s="4" t="s">
        <v>1312</v>
      </c>
      <c r="F7757" t="s">
        <v>1424</v>
      </c>
    </row>
    <row r="7758" spans="1:6">
      <c r="A7758">
        <v>7697</v>
      </c>
      <c r="B7758" s="138">
        <f>'Aud Quest 2'!J85</f>
        <v>1</v>
      </c>
      <c r="D7758" s="2" t="str">
        <f t="shared" si="127"/>
        <v>Error?</v>
      </c>
      <c r="E7758" s="4" t="s">
        <v>1312</v>
      </c>
    </row>
    <row r="7759" spans="1:6">
      <c r="A7759">
        <v>7698</v>
      </c>
      <c r="B7759" s="138">
        <f>'Aud Quest 2'!J88</f>
        <v>0</v>
      </c>
      <c r="D7759" s="2" t="str">
        <f t="shared" si="127"/>
        <v>Error?</v>
      </c>
      <c r="E7759" s="4" t="s">
        <v>1312</v>
      </c>
    </row>
    <row r="7760" spans="1:6">
      <c r="A7760">
        <v>7699</v>
      </c>
      <c r="B7760" s="138">
        <f>'Aud Quest 2'!J90</f>
        <v>1</v>
      </c>
      <c r="D7760" s="2" t="str">
        <f t="shared" si="127"/>
        <v>Error?</v>
      </c>
      <c r="E7760" s="4" t="s">
        <v>1312</v>
      </c>
    </row>
    <row r="7761" spans="1:5">
      <c r="A7761">
        <v>7700</v>
      </c>
      <c r="B7761" s="138">
        <f>'Revenues 9-14'!C253</f>
        <v>0</v>
      </c>
      <c r="D7761" s="2" t="str">
        <f t="shared" si="127"/>
        <v>Error?</v>
      </c>
      <c r="E7761" s="4" t="s">
        <v>1401</v>
      </c>
    </row>
    <row r="7762" spans="1:5">
      <c r="A7762">
        <v>7701</v>
      </c>
      <c r="B7762" s="138">
        <f>'Expenditures 15-22'!E6</f>
        <v>0</v>
      </c>
      <c r="D7762" s="2" t="str">
        <f t="shared" si="127"/>
        <v>Error?</v>
      </c>
      <c r="E7762" s="4" t="s">
        <v>1411</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1439</v>
      </c>
    </row>
    <row r="7765" spans="1:5">
      <c r="A7765">
        <v>7704</v>
      </c>
      <c r="B7765" s="138">
        <f>'Revenues 9-14'!C254</f>
        <v>0</v>
      </c>
      <c r="D7765" s="2" t="str">
        <f t="shared" si="127"/>
        <v>Error?</v>
      </c>
      <c r="E7765" s="4" t="s">
        <v>1443</v>
      </c>
    </row>
    <row r="7766" spans="1:5">
      <c r="A7766">
        <v>7705</v>
      </c>
      <c r="B7766" s="138">
        <f>'Revenues 9-14'!D254</f>
        <v>0</v>
      </c>
      <c r="D7766" s="2" t="str">
        <f t="shared" si="127"/>
        <v>Error?</v>
      </c>
      <c r="E7766" s="4" t="s">
        <v>1443</v>
      </c>
    </row>
    <row r="7767" spans="1:5">
      <c r="A7767" s="129">
        <v>7706</v>
      </c>
      <c r="E7767" s="4"/>
    </row>
    <row r="7768" spans="1:5">
      <c r="A7768">
        <v>7707</v>
      </c>
      <c r="B7768" s="138">
        <f>'Revenues 9-14'!F254</f>
        <v>0</v>
      </c>
      <c r="D7768" s="2" t="str">
        <f t="shared" si="127"/>
        <v>Error?</v>
      </c>
      <c r="E7768" s="4" t="s">
        <v>1443</v>
      </c>
    </row>
    <row r="7769" spans="1:5">
      <c r="A7769">
        <v>7708</v>
      </c>
      <c r="B7769" s="138">
        <f>'Revenues 9-14'!G254</f>
        <v>0</v>
      </c>
      <c r="D7769" s="2" t="str">
        <f t="shared" si="127"/>
        <v>Error?</v>
      </c>
      <c r="E7769" s="4" t="s">
        <v>1443</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1444</v>
      </c>
    </row>
    <row r="7773" spans="1:5">
      <c r="A7773">
        <v>7712</v>
      </c>
      <c r="B7773" s="138">
        <f>'Rest Tax Levies-Tort Im 25'!J22</f>
        <v>0</v>
      </c>
      <c r="D7773" s="2" t="str">
        <f t="shared" si="127"/>
        <v>Error?</v>
      </c>
      <c r="E7773" s="4" t="s">
        <v>1532</v>
      </c>
    </row>
    <row r="7774" spans="1:5">
      <c r="A7774">
        <v>7713</v>
      </c>
      <c r="B7774" s="138">
        <f>'Expenditures 15-22'!E133</f>
        <v>0</v>
      </c>
      <c r="D7774" s="2" t="str">
        <f t="shared" si="127"/>
        <v>Error?</v>
      </c>
      <c r="E7774" s="4" t="s">
        <v>1815</v>
      </c>
    </row>
    <row r="7775" spans="1:5">
      <c r="A7775">
        <v>7714</v>
      </c>
      <c r="B7775" s="138">
        <f>'Expenditures 15-22'!H133</f>
        <v>0</v>
      </c>
      <c r="D7775" s="2" t="str">
        <f t="shared" si="127"/>
        <v>Error?</v>
      </c>
      <c r="E7775" s="4" t="s">
        <v>1815</v>
      </c>
    </row>
    <row r="7776" spans="1:5">
      <c r="A7776">
        <v>7715</v>
      </c>
      <c r="B7776" s="138">
        <f>'Expenditures 15-22'!K133</f>
        <v>0</v>
      </c>
      <c r="D7776" s="2" t="str">
        <f t="shared" si="127"/>
        <v>Error?</v>
      </c>
      <c r="E7776" s="4" t="s">
        <v>1815</v>
      </c>
    </row>
    <row r="7777" spans="1:5">
      <c r="A7777">
        <v>7716</v>
      </c>
      <c r="B7777" s="138">
        <f>'Expenditures 15-22'!H157</f>
        <v>0</v>
      </c>
      <c r="D7777" s="2" t="str">
        <f t="shared" si="127"/>
        <v>Error?</v>
      </c>
      <c r="E7777" s="4" t="s">
        <v>1815</v>
      </c>
    </row>
    <row r="7778" spans="1:5">
      <c r="A7778">
        <v>7717</v>
      </c>
      <c r="B7778" s="138">
        <f>'Expenditures 15-22'!K157</f>
        <v>0</v>
      </c>
      <c r="D7778" s="2" t="str">
        <f t="shared" si="127"/>
        <v>Error?</v>
      </c>
      <c r="E7778" s="4" t="s">
        <v>1815</v>
      </c>
    </row>
    <row r="7779" spans="1:5">
      <c r="A7779">
        <v>7718</v>
      </c>
      <c r="B7779" s="138">
        <f>'Expenditures 15-22'!H158</f>
        <v>0</v>
      </c>
      <c r="D7779" s="2" t="str">
        <f t="shared" si="127"/>
        <v>Error?</v>
      </c>
      <c r="E7779" s="4" t="s">
        <v>1815</v>
      </c>
    </row>
    <row r="7780" spans="1:5">
      <c r="A7780">
        <v>7719</v>
      </c>
      <c r="B7780" s="138">
        <f>'Expenditures 15-22'!K158</f>
        <v>0</v>
      </c>
      <c r="D7780" s="2" t="str">
        <f t="shared" si="127"/>
        <v>Error?</v>
      </c>
      <c r="E7780" s="4" t="s">
        <v>1815</v>
      </c>
    </row>
    <row r="7781" spans="1:5">
      <c r="A7781">
        <v>7720</v>
      </c>
      <c r="B7781" s="138">
        <f>'Expenditures 15-22'!H159</f>
        <v>0</v>
      </c>
      <c r="D7781" s="2" t="str">
        <f t="shared" si="127"/>
        <v>Error?</v>
      </c>
      <c r="E7781" s="4" t="s">
        <v>1815</v>
      </c>
    </row>
    <row r="7782" spans="1:5">
      <c r="A7782">
        <v>7721</v>
      </c>
      <c r="B7782" s="138">
        <f>'Expenditures 15-22'!K159</f>
        <v>0</v>
      </c>
      <c r="D7782" s="2" t="str">
        <f t="shared" si="127"/>
        <v>Error?</v>
      </c>
      <c r="E7782" s="4" t="s">
        <v>1815</v>
      </c>
    </row>
    <row r="7783" spans="1:5">
      <c r="A7783">
        <v>7722</v>
      </c>
      <c r="B7783" s="138">
        <f>'Expenditures 15-22'!D282</f>
        <v>0</v>
      </c>
      <c r="D7783" s="2" t="str">
        <f t="shared" si="127"/>
        <v>Error?</v>
      </c>
      <c r="E7783" s="4" t="s">
        <v>1815</v>
      </c>
    </row>
    <row r="7784" spans="1:5">
      <c r="A7784">
        <v>7723</v>
      </c>
      <c r="B7784" s="138">
        <f>'Expenditures 15-22'!K282</f>
        <v>0</v>
      </c>
      <c r="D7784" s="2" t="str">
        <f t="shared" si="127"/>
        <v>Error?</v>
      </c>
      <c r="E7784" s="4" t="s">
        <v>1815</v>
      </c>
    </row>
    <row r="7785" spans="1:5">
      <c r="A7785">
        <v>7724</v>
      </c>
      <c r="B7785" s="138">
        <f>'Expenditures 15-22'!H332</f>
        <v>0</v>
      </c>
      <c r="D7785" s="2" t="str">
        <f t="shared" si="127"/>
        <v>Error?</v>
      </c>
      <c r="E7785" s="4" t="s">
        <v>1815</v>
      </c>
    </row>
    <row r="7786" spans="1:5">
      <c r="A7786">
        <v>7725</v>
      </c>
      <c r="B7786" s="138">
        <f>'Expenditures 15-22'!K332</f>
        <v>0</v>
      </c>
      <c r="D7786" s="2" t="str">
        <f t="shared" si="127"/>
        <v>Error?</v>
      </c>
      <c r="E7786" s="4" t="s">
        <v>1815</v>
      </c>
    </row>
    <row r="7787" spans="1:5">
      <c r="A7787">
        <v>7726</v>
      </c>
      <c r="B7787" s="138">
        <f>'Expenditures 15-22'!H333</f>
        <v>0</v>
      </c>
      <c r="D7787" s="2" t="str">
        <f t="shared" si="127"/>
        <v>Error?</v>
      </c>
      <c r="E7787" s="4" t="s">
        <v>1815</v>
      </c>
    </row>
    <row r="7788" spans="1:5">
      <c r="A7788">
        <v>7727</v>
      </c>
      <c r="B7788" s="138">
        <f>'Expenditures 15-22'!K333</f>
        <v>0</v>
      </c>
      <c r="D7788" s="2" t="str">
        <f t="shared" si="127"/>
        <v>Error?</v>
      </c>
      <c r="E7788" s="4" t="s">
        <v>1815</v>
      </c>
    </row>
    <row r="7789" spans="1:5">
      <c r="A7789">
        <v>7728</v>
      </c>
      <c r="B7789" s="138">
        <f>'Expenditures 15-22'!H334</f>
        <v>0</v>
      </c>
      <c r="D7789" s="2" t="str">
        <f t="shared" si="127"/>
        <v>Error?</v>
      </c>
      <c r="E7789" s="4" t="s">
        <v>1815</v>
      </c>
    </row>
    <row r="7790" spans="1:5">
      <c r="A7790">
        <v>7729</v>
      </c>
      <c r="B7790" s="138">
        <f>'Expenditures 15-22'!K334</f>
        <v>0</v>
      </c>
      <c r="D7790" s="2" t="str">
        <f t="shared" si="127"/>
        <v>Error?</v>
      </c>
      <c r="E7790" s="4" t="s">
        <v>1815</v>
      </c>
    </row>
    <row r="7791" spans="1:5">
      <c r="A7791">
        <v>7730</v>
      </c>
      <c r="B7791" s="138">
        <f>'Expenditures 15-22'!H354</f>
        <v>0</v>
      </c>
      <c r="D7791" s="2" t="str">
        <f t="shared" si="127"/>
        <v>Error?</v>
      </c>
      <c r="E7791" s="4" t="s">
        <v>1815</v>
      </c>
    </row>
    <row r="7792" spans="1:5">
      <c r="A7792">
        <v>7731</v>
      </c>
      <c r="B7792" s="138">
        <f>'Expenditures 15-22'!K354</f>
        <v>0</v>
      </c>
      <c r="D7792" s="2" t="str">
        <f t="shared" si="127"/>
        <v>Error?</v>
      </c>
      <c r="E7792" s="4" t="s">
        <v>1815</v>
      </c>
    </row>
    <row r="7793" spans="1:5">
      <c r="A7793">
        <v>7732</v>
      </c>
      <c r="B7793" s="138">
        <f>'Expenditures 15-22'!H355</f>
        <v>0</v>
      </c>
      <c r="D7793" s="2" t="str">
        <f t="shared" si="127"/>
        <v>Error?</v>
      </c>
      <c r="E7793" s="4" t="s">
        <v>1815</v>
      </c>
    </row>
    <row r="7794" spans="1:5">
      <c r="A7794">
        <v>7733</v>
      </c>
      <c r="B7794" s="138">
        <f>'Expenditures 15-22'!K355</f>
        <v>0</v>
      </c>
      <c r="D7794" s="2" t="str">
        <f t="shared" si="127"/>
        <v>Error?</v>
      </c>
      <c r="E7794" s="4" t="s">
        <v>1815</v>
      </c>
    </row>
    <row r="7795" spans="1:5">
      <c r="A7795">
        <v>7734</v>
      </c>
      <c r="B7795" s="138">
        <f>'Expenditures 15-22'!E138</f>
        <v>0</v>
      </c>
      <c r="D7795" s="2" t="str">
        <f t="shared" si="127"/>
        <v>Error?</v>
      </c>
      <c r="E7795" s="4" t="s">
        <v>1815</v>
      </c>
    </row>
    <row r="7796" spans="1:5">
      <c r="A7796">
        <v>7735</v>
      </c>
      <c r="B7796" s="138">
        <f>'Acct Summary 7-8'!J15</f>
        <v>0</v>
      </c>
      <c r="D7796" s="2" t="str">
        <f t="shared" si="127"/>
        <v>Error?</v>
      </c>
      <c r="E7796" s="4" t="s">
        <v>1815</v>
      </c>
    </row>
    <row r="7797" spans="1:5">
      <c r="A7797">
        <v>7736</v>
      </c>
      <c r="B7797" s="138">
        <f>'Contracts Paid in CY 29'!D141</f>
        <v>0</v>
      </c>
      <c r="D7797" s="2" t="str">
        <f t="shared" si="127"/>
        <v>Error?</v>
      </c>
      <c r="E7797" s="4" t="s">
        <v>1864</v>
      </c>
    </row>
    <row r="7798" spans="1:5">
      <c r="A7798">
        <v>7737</v>
      </c>
      <c r="B7798" s="138">
        <f>'Contracts Paid in CY 29'!F141</f>
        <v>0</v>
      </c>
      <c r="D7798" s="2" t="str">
        <f t="shared" si="127"/>
        <v>Error?</v>
      </c>
      <c r="E7798" s="4" t="s">
        <v>1864</v>
      </c>
    </row>
    <row r="7799" spans="1:5">
      <c r="A7799">
        <v>7738</v>
      </c>
      <c r="B7799" s="138">
        <f>'Contracts Paid in CY 29'!G141</f>
        <v>0</v>
      </c>
      <c r="D7799" s="2" t="str">
        <f t="shared" si="127"/>
        <v>Error?</v>
      </c>
      <c r="E7799" s="4" t="s">
        <v>1864</v>
      </c>
    </row>
    <row r="7800" spans="1:5">
      <c r="A7800">
        <v>7739</v>
      </c>
      <c r="D7800" s="2" t="str">
        <f t="shared" si="127"/>
        <v>OK</v>
      </c>
    </row>
    <row r="7801" spans="1:5">
      <c r="A7801">
        <v>7740</v>
      </c>
      <c r="B7801" s="138">
        <f>'Revenues 9-14'!C120</f>
        <v>0</v>
      </c>
      <c r="D7801" s="2" t="str">
        <f t="shared" si="127"/>
        <v>Error?</v>
      </c>
      <c r="E7801" s="4" t="s">
        <v>1901</v>
      </c>
    </row>
    <row r="7802" spans="1:5">
      <c r="A7802">
        <v>7741</v>
      </c>
      <c r="B7802" s="138">
        <f>'Revenues 9-14'!D120</f>
        <v>0</v>
      </c>
      <c r="D7802" s="2" t="str">
        <f t="shared" si="127"/>
        <v>Error?</v>
      </c>
      <c r="E7802" s="4" t="s">
        <v>1901</v>
      </c>
    </row>
    <row r="7803" spans="1:5">
      <c r="A7803">
        <v>7742</v>
      </c>
      <c r="B7803" s="138">
        <f>'Revenues 9-14'!E120</f>
        <v>0</v>
      </c>
      <c r="D7803" s="2" t="str">
        <f t="shared" si="127"/>
        <v>Error?</v>
      </c>
      <c r="E7803" s="4" t="s">
        <v>1901</v>
      </c>
    </row>
    <row r="7804" spans="1:5">
      <c r="A7804">
        <v>7743</v>
      </c>
      <c r="B7804" s="138">
        <f>'Revenues 9-14'!F120</f>
        <v>0</v>
      </c>
      <c r="D7804" s="2" t="str">
        <f t="shared" si="127"/>
        <v>Error?</v>
      </c>
      <c r="E7804" s="4" t="s">
        <v>1901</v>
      </c>
    </row>
    <row r="7805" spans="1:5">
      <c r="A7805">
        <v>7744</v>
      </c>
      <c r="B7805" s="138">
        <f>'Revenues 9-14'!G120</f>
        <v>0</v>
      </c>
      <c r="D7805" s="2" t="str">
        <f t="shared" si="127"/>
        <v>Error?</v>
      </c>
      <c r="E7805" s="4" t="s">
        <v>1901</v>
      </c>
    </row>
    <row r="7806" spans="1:5">
      <c r="A7806">
        <v>7745</v>
      </c>
      <c r="B7806" s="138">
        <f>'Revenues 9-14'!H120</f>
        <v>0</v>
      </c>
      <c r="D7806" s="2" t="str">
        <f t="shared" si="127"/>
        <v>Error?</v>
      </c>
      <c r="E7806" s="4" t="s">
        <v>1901</v>
      </c>
    </row>
    <row r="7807" spans="1:5">
      <c r="A7807">
        <v>7746</v>
      </c>
      <c r="B7807" s="138">
        <f>'Revenues 9-14'!J120</f>
        <v>0</v>
      </c>
      <c r="D7807" s="2" t="str">
        <f t="shared" ref="D7807:D7816" si="128">IF(ISBLANK(B7807),"OK",IF(A7807-B7807=0,"OK","Error?"))</f>
        <v>Error?</v>
      </c>
      <c r="E7807" s="4" t="s">
        <v>1901</v>
      </c>
    </row>
    <row r="7808" spans="1:5">
      <c r="A7808">
        <v>7747</v>
      </c>
      <c r="B7808" s="138">
        <f>'Revenues 9-14'!K120</f>
        <v>0</v>
      </c>
      <c r="D7808" s="2" t="str">
        <f t="shared" si="128"/>
        <v>Error?</v>
      </c>
      <c r="E7808" s="4" t="s">
        <v>1901</v>
      </c>
    </row>
    <row r="7809" spans="1:5">
      <c r="A7809">
        <v>7748</v>
      </c>
      <c r="B7809" s="138">
        <f>'Revenues 9-14'!C261</f>
        <v>0</v>
      </c>
      <c r="D7809" s="2" t="str">
        <f t="shared" si="128"/>
        <v>Error?</v>
      </c>
      <c r="E7809" s="4" t="s">
        <v>1902</v>
      </c>
    </row>
    <row r="7810" spans="1:5">
      <c r="A7810">
        <v>7749</v>
      </c>
      <c r="B7810" s="138">
        <f>'Revenues 9-14'!D261</f>
        <v>0</v>
      </c>
      <c r="D7810" s="2" t="str">
        <f t="shared" si="128"/>
        <v>Error?</v>
      </c>
      <c r="E7810" s="4" t="s">
        <v>1902</v>
      </c>
    </row>
    <row r="7811" spans="1:5">
      <c r="A7811">
        <v>7750</v>
      </c>
      <c r="B7811" s="138">
        <f>'Revenues 9-14'!F261</f>
        <v>0</v>
      </c>
      <c r="D7811" s="2" t="str">
        <f t="shared" si="128"/>
        <v>Error?</v>
      </c>
      <c r="E7811" s="4" t="s">
        <v>1902</v>
      </c>
    </row>
    <row r="7812" spans="1:5">
      <c r="A7812">
        <v>7751</v>
      </c>
      <c r="B7812" s="138">
        <f>'Revenues 9-14'!G261</f>
        <v>0</v>
      </c>
      <c r="D7812" s="2" t="str">
        <f t="shared" si="128"/>
        <v>Error?</v>
      </c>
      <c r="E7812" s="4" t="s">
        <v>1902</v>
      </c>
    </row>
    <row r="7813" spans="1:5">
      <c r="A7813">
        <v>7752</v>
      </c>
      <c r="B7813" s="138">
        <f>'Revenues 9-14'!C262</f>
        <v>0</v>
      </c>
      <c r="D7813" s="2" t="str">
        <f t="shared" si="128"/>
        <v>Error?</v>
      </c>
      <c r="E7813" s="4" t="s">
        <v>1903</v>
      </c>
    </row>
    <row r="7814" spans="1:5">
      <c r="A7814">
        <v>7753</v>
      </c>
      <c r="B7814" s="138">
        <f>'Revenues 9-14'!D262</f>
        <v>0</v>
      </c>
      <c r="D7814" s="2" t="str">
        <f t="shared" si="128"/>
        <v>Error?</v>
      </c>
      <c r="E7814" s="4" t="s">
        <v>1903</v>
      </c>
    </row>
    <row r="7815" spans="1:5">
      <c r="A7815">
        <v>7754</v>
      </c>
      <c r="B7815" s="138">
        <f>'Revenues 9-14'!F262</f>
        <v>0</v>
      </c>
      <c r="D7815" s="2" t="str">
        <f t="shared" si="128"/>
        <v>Error?</v>
      </c>
      <c r="E7815" s="4" t="s">
        <v>1903</v>
      </c>
    </row>
    <row r="7816" spans="1:5">
      <c r="A7816">
        <v>7755</v>
      </c>
      <c r="B7816" s="138">
        <f>'Revenues 9-14'!G262</f>
        <v>0</v>
      </c>
      <c r="D7816" s="2" t="str">
        <f t="shared" si="128"/>
        <v>Error?</v>
      </c>
      <c r="E7816" s="4" t="s">
        <v>1903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B47" sqref="B47"/>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99" t="s">
        <v>1191</v>
      </c>
      <c r="B2" s="2399"/>
      <c r="C2" s="2399"/>
      <c r="D2" s="2399"/>
      <c r="E2" s="2399"/>
      <c r="F2" s="2399"/>
      <c r="G2" s="2399"/>
      <c r="H2" s="2399"/>
      <c r="I2" s="2399"/>
      <c r="J2" s="2399"/>
      <c r="K2" s="2399"/>
      <c r="L2" s="2399"/>
    </row>
    <row r="3" spans="1:29" ht="13.5" customHeight="1">
      <c r="A3" s="2430" t="s">
        <v>1190</v>
      </c>
      <c r="B3" s="2430"/>
      <c r="C3" s="2430"/>
      <c r="D3" s="2430"/>
      <c r="E3" s="2430"/>
      <c r="F3" s="2430"/>
      <c r="G3" s="2430"/>
      <c r="H3" s="2430"/>
      <c r="I3" s="2430"/>
      <c r="J3" s="2430"/>
      <c r="K3" s="2430"/>
      <c r="L3" s="2430"/>
    </row>
    <row r="4" spans="1:29" ht="13.5" customHeight="1">
      <c r="A4" s="2399" t="s">
        <v>1949</v>
      </c>
      <c r="B4" s="2420"/>
      <c r="C4" s="2420"/>
      <c r="D4" s="2420"/>
      <c r="E4" s="2420"/>
      <c r="F4" s="2420"/>
      <c r="G4" s="2420"/>
      <c r="H4" s="2420"/>
      <c r="I4" s="2420"/>
      <c r="J4" s="2420"/>
      <c r="K4" s="2420"/>
      <c r="L4" s="2420"/>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c r="A7" s="2421" t="str">
        <f>COVER!A17</f>
        <v>Rochelle CCSD 231</v>
      </c>
      <c r="B7" s="2422"/>
      <c r="C7" s="2422"/>
      <c r="D7" s="2423"/>
      <c r="E7" s="2424">
        <f>COVER!A13</f>
        <v>47071231004</v>
      </c>
      <c r="F7" s="2425"/>
      <c r="G7" s="2431" t="str">
        <f>COVER!T23</f>
        <v>066-004023</v>
      </c>
      <c r="H7" s="2432"/>
      <c r="I7" s="2432"/>
      <c r="J7" s="2432"/>
      <c r="K7" s="2432"/>
      <c r="L7" s="2433"/>
    </row>
    <row r="8" spans="1:29" ht="13.5" customHeight="1">
      <c r="A8" s="1184" t="s">
        <v>1496</v>
      </c>
      <c r="B8" s="1185"/>
      <c r="C8" s="1186"/>
      <c r="D8" s="1186"/>
      <c r="E8" s="1191"/>
      <c r="F8" s="1190"/>
      <c r="G8" s="1192" t="s">
        <v>1186</v>
      </c>
      <c r="H8" s="1193"/>
      <c r="I8" s="1193"/>
      <c r="J8" s="1193"/>
      <c r="K8" s="1193"/>
      <c r="L8" s="1194"/>
    </row>
    <row r="9" spans="1:29" ht="13.5" customHeight="1">
      <c r="A9" s="2434"/>
      <c r="B9" s="2435"/>
      <c r="C9" s="2435"/>
      <c r="D9" s="2435"/>
      <c r="E9" s="2435"/>
      <c r="F9" s="2436"/>
      <c r="G9" s="2405" t="str">
        <f>COVER!T13</f>
        <v>Wipfli LLP</v>
      </c>
      <c r="H9" s="2437"/>
      <c r="I9" s="2437"/>
      <c r="J9" s="2437"/>
      <c r="K9" s="2437"/>
      <c r="L9" s="2438"/>
    </row>
    <row r="10" spans="1:29" ht="13.5" customHeight="1">
      <c r="A10" s="2411" t="str">
        <f>COVER!A38</f>
        <v>Jason Harper</v>
      </c>
      <c r="B10" s="2412"/>
      <c r="C10" s="2412"/>
      <c r="D10" s="2412"/>
      <c r="E10" s="2412"/>
      <c r="F10" s="2413"/>
      <c r="G10" s="2405" t="str">
        <f>COVER!T17</f>
        <v>403 East 3rd Street</v>
      </c>
      <c r="H10" s="2406"/>
      <c r="I10" s="2406"/>
      <c r="J10" s="2406"/>
      <c r="K10" s="2406"/>
      <c r="L10" s="2407"/>
    </row>
    <row r="11" spans="1:29" ht="13.5" customHeight="1">
      <c r="A11" s="1184" t="s">
        <v>1498</v>
      </c>
      <c r="B11" s="1185"/>
      <c r="C11" s="1186"/>
      <c r="D11" s="1191"/>
      <c r="E11" s="1186"/>
      <c r="F11" s="1190"/>
      <c r="G11" s="2405" t="str">
        <f>COVER!T19</f>
        <v>Sterling</v>
      </c>
      <c r="H11" s="2406"/>
      <c r="I11" s="2406"/>
      <c r="J11" s="2406"/>
      <c r="K11" s="2406"/>
      <c r="L11" s="2407"/>
    </row>
    <row r="12" spans="1:29" ht="13.5" customHeight="1">
      <c r="A12" s="2414" t="s">
        <v>1497</v>
      </c>
      <c r="B12" s="2415"/>
      <c r="C12" s="2415"/>
      <c r="D12" s="2415"/>
      <c r="E12" s="2415"/>
      <c r="F12" s="2416"/>
      <c r="G12" s="2408"/>
      <c r="H12" s="2409"/>
      <c r="I12" s="2409"/>
      <c r="J12" s="2409"/>
      <c r="K12" s="2409"/>
      <c r="L12" s="2410"/>
    </row>
    <row r="13" spans="1:29" ht="13.5" customHeight="1">
      <c r="A13" s="2405"/>
      <c r="B13" s="2406"/>
      <c r="C13" s="2406"/>
      <c r="D13" s="2406"/>
      <c r="E13" s="2406"/>
      <c r="F13" s="2407"/>
      <c r="G13" s="2400" t="s">
        <v>1499</v>
      </c>
      <c r="H13" s="2401"/>
      <c r="I13" s="2417" t="str">
        <f>COVER!T25</f>
        <v>mschueler@wipfli.com</v>
      </c>
      <c r="J13" s="2418"/>
      <c r="K13" s="2418"/>
      <c r="L13" s="2419"/>
    </row>
    <row r="14" spans="1:29" ht="13.5" customHeight="1">
      <c r="A14" s="2405" t="str">
        <f>COVER!A19</f>
        <v>1401 East Flag Road</v>
      </c>
      <c r="B14" s="2406"/>
      <c r="C14" s="2406"/>
      <c r="D14" s="2406"/>
      <c r="E14" s="2406"/>
      <c r="F14" s="2407"/>
      <c r="G14" s="1195" t="s">
        <v>1185</v>
      </c>
      <c r="H14" s="1193"/>
      <c r="I14" s="1193"/>
      <c r="J14" s="1193"/>
      <c r="K14" s="1193"/>
      <c r="L14" s="1194"/>
    </row>
    <row r="15" spans="1:29" ht="13.5" customHeight="1">
      <c r="A15" s="2405" t="str">
        <f>COVER!A21</f>
        <v>Rochelle</v>
      </c>
      <c r="B15" s="2406"/>
      <c r="C15" s="2406"/>
      <c r="D15" s="2406"/>
      <c r="E15" s="2406"/>
      <c r="F15" s="2407"/>
      <c r="G15" s="2402" t="str">
        <f>COVER!T15</f>
        <v>Matthew J. Schueler</v>
      </c>
      <c r="H15" s="2403"/>
      <c r="I15" s="2403"/>
      <c r="J15" s="2403"/>
      <c r="K15" s="2403"/>
      <c r="L15" s="2404"/>
    </row>
    <row r="16" spans="1:29" ht="12.2" customHeight="1">
      <c r="A16" s="2427">
        <f>COVER!A25</f>
        <v>61068</v>
      </c>
      <c r="B16" s="2428"/>
      <c r="C16" s="2428"/>
      <c r="D16" s="2428"/>
      <c r="E16" s="2428"/>
      <c r="F16" s="2429"/>
      <c r="G16" s="2439"/>
      <c r="H16" s="2440"/>
      <c r="I16" s="2440"/>
      <c r="J16" s="2440"/>
      <c r="K16" s="2440"/>
      <c r="L16" s="2441"/>
    </row>
    <row r="17" spans="1:13" ht="12.2" customHeight="1">
      <c r="A17" s="2442"/>
      <c r="B17" s="2428"/>
      <c r="C17" s="2428"/>
      <c r="D17" s="2428"/>
      <c r="E17" s="2428"/>
      <c r="F17" s="2429"/>
      <c r="G17" s="1195" t="s">
        <v>1184</v>
      </c>
      <c r="H17" s="1193"/>
      <c r="I17" s="1193"/>
      <c r="J17" s="1193"/>
      <c r="K17" s="1197" t="s">
        <v>1183</v>
      </c>
      <c r="L17" s="1190"/>
      <c r="M17" s="1183"/>
    </row>
    <row r="18" spans="1:13" ht="12.2" customHeight="1">
      <c r="A18" s="2411"/>
      <c r="B18" s="2412"/>
      <c r="C18" s="2412"/>
      <c r="D18" s="2412"/>
      <c r="E18" s="2412"/>
      <c r="F18" s="2413"/>
      <c r="G18" s="2421" t="str">
        <f>COVER!T21</f>
        <v>815-626-1277</v>
      </c>
      <c r="H18" s="2422"/>
      <c r="I18" s="2422"/>
      <c r="J18" s="2422"/>
      <c r="K18" s="2421" t="str">
        <f>COVER!X21</f>
        <v>815-626-9118</v>
      </c>
      <c r="L18" s="2426"/>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1671</v>
      </c>
    </row>
    <row r="22" spans="1:13" ht="12.2" customHeight="1">
      <c r="A22" s="1200"/>
    </row>
    <row r="23" spans="1:13" ht="12.2" customHeight="1">
      <c r="A23" s="1200"/>
      <c r="B23" s="1201" t="s">
        <v>2031</v>
      </c>
      <c r="C23" s="1202" t="s">
        <v>1182</v>
      </c>
    </row>
    <row r="24" spans="1:13" ht="10.35" customHeight="1">
      <c r="A24" s="1200"/>
      <c r="C24" s="1202" t="s">
        <v>1181</v>
      </c>
    </row>
    <row r="25" spans="1:13" ht="9.1999999999999993" customHeight="1">
      <c r="B25" s="1203" t="s">
        <v>1169</v>
      </c>
      <c r="C25" s="1204"/>
    </row>
    <row r="26" spans="1:13" s="1198" customFormat="1" ht="12.2" customHeight="1">
      <c r="B26" s="1201" t="s">
        <v>2031</v>
      </c>
      <c r="C26" s="1202" t="s">
        <v>1672</v>
      </c>
    </row>
    <row r="27" spans="1:13" s="1198" customFormat="1" ht="9.1999999999999993" customHeight="1">
      <c r="B27" s="1203"/>
      <c r="C27" s="1202"/>
    </row>
    <row r="28" spans="1:13" s="1198" customFormat="1" ht="12.2" customHeight="1">
      <c r="A28" s="1205"/>
      <c r="B28" s="1201" t="s">
        <v>2031</v>
      </c>
      <c r="C28" s="1202" t="s">
        <v>1673</v>
      </c>
    </row>
    <row r="29" spans="1:13" s="1198" customFormat="1" ht="9.1999999999999993" customHeight="1">
      <c r="A29" s="1205"/>
      <c r="B29" s="1203"/>
      <c r="C29" s="1202"/>
    </row>
    <row r="30" spans="1:13" s="1198" customFormat="1" ht="12.2" customHeight="1">
      <c r="B30" s="1201" t="s">
        <v>2031</v>
      </c>
      <c r="C30" s="1202" t="s">
        <v>1541</v>
      </c>
      <c r="D30" s="1196"/>
      <c r="E30" s="1196"/>
    </row>
    <row r="31" spans="1:13" s="1198" customFormat="1" ht="9.1999999999999993" customHeight="1">
      <c r="B31" s="1203"/>
      <c r="C31" s="1202"/>
      <c r="D31" s="1196"/>
      <c r="E31" s="1196"/>
    </row>
    <row r="32" spans="1:13" s="1198" customFormat="1" ht="12.2" customHeight="1">
      <c r="B32" s="1201" t="s">
        <v>2031</v>
      </c>
      <c r="C32" s="1202" t="s">
        <v>1542</v>
      </c>
      <c r="D32" s="1196"/>
      <c r="E32" s="1196"/>
    </row>
    <row r="33" spans="1:8" s="1198" customFormat="1" ht="10.9" customHeight="1">
      <c r="B33" s="1203"/>
      <c r="C33" s="1206" t="s">
        <v>1674</v>
      </c>
      <c r="D33" s="1196"/>
      <c r="E33" s="1196"/>
    </row>
    <row r="34" spans="1:8" ht="9.1999999999999993" customHeight="1">
      <c r="B34" s="1203"/>
      <c r="C34" s="1206"/>
    </row>
    <row r="35" spans="1:8" s="1198" customFormat="1" ht="13.5" customHeight="1">
      <c r="B35" s="1201" t="s">
        <v>2031</v>
      </c>
      <c r="C35" s="1202" t="s">
        <v>1543</v>
      </c>
    </row>
    <row r="36" spans="1:8" s="1198" customFormat="1" ht="10.9" customHeight="1">
      <c r="B36" s="1203"/>
      <c r="C36" s="1206" t="s">
        <v>1544</v>
      </c>
    </row>
    <row r="37" spans="1:8" ht="9.1999999999999993" customHeight="1">
      <c r="B37" s="1203"/>
      <c r="C37" s="1206"/>
    </row>
    <row r="38" spans="1:8" s="1198" customFormat="1" ht="12.2" customHeight="1">
      <c r="B38" s="1201" t="s">
        <v>2031</v>
      </c>
      <c r="C38" s="1202" t="s">
        <v>1545</v>
      </c>
    </row>
    <row r="39" spans="1:8" ht="9.1999999999999993" customHeight="1">
      <c r="B39" s="1203"/>
      <c r="C39" s="1206"/>
    </row>
    <row r="40" spans="1:8" s="1198" customFormat="1" ht="13.5" customHeight="1">
      <c r="B40" s="1201" t="s">
        <v>2031</v>
      </c>
      <c r="C40" s="1202" t="s">
        <v>1546</v>
      </c>
    </row>
    <row r="41" spans="1:8" ht="9.1999999999999993" customHeight="1">
      <c r="A41" s="1207"/>
      <c r="B41" s="1203"/>
      <c r="C41" s="1206"/>
    </row>
    <row r="42" spans="1:8" s="1198" customFormat="1" ht="13.5" customHeight="1">
      <c r="B42" s="1201" t="s">
        <v>2031</v>
      </c>
      <c r="C42" s="1202" t="s">
        <v>1798</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t="s">
        <v>2031</v>
      </c>
      <c r="C46" s="1209" t="s">
        <v>1547</v>
      </c>
      <c r="D46" s="1196"/>
      <c r="E46" s="1196"/>
      <c r="F46" s="1196"/>
      <c r="G46" s="1196"/>
      <c r="H46" s="1196"/>
    </row>
    <row r="47" spans="1:8" ht="9.1999999999999993" customHeight="1"/>
    <row r="48" spans="1:8" ht="12.2" customHeight="1">
      <c r="B48" s="1867"/>
      <c r="C48" s="1210" t="s">
        <v>1548</v>
      </c>
    </row>
    <row r="49" spans="1:12" ht="9.1999999999999993"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95" customHeight="1"/>
    <row r="59" spans="1:12" ht="36" customHeight="1">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94" zoomScale="125" zoomScaleNormal="125" workbookViewId="0">
      <selection activeCell="B124" sqref="B124"/>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43" t="str">
        <f>'Single Audit Cover'!A7</f>
        <v>Rochelle CCSD 231</v>
      </c>
      <c r="B1" s="2420"/>
      <c r="C1" s="2420"/>
      <c r="D1" s="2420"/>
    </row>
    <row r="2" spans="1:11" s="1212" customFormat="1" ht="12.75">
      <c r="A2" s="2444">
        <f>'Single Audit Cover'!E7</f>
        <v>47071231004</v>
      </c>
      <c r="B2" s="2445"/>
      <c r="C2" s="2445"/>
      <c r="D2" s="2445"/>
    </row>
    <row r="3" spans="1:11" s="1212" customFormat="1" ht="12.75">
      <c r="A3" s="2443" t="s">
        <v>1492</v>
      </c>
      <c r="B3" s="2420"/>
      <c r="C3" s="2420"/>
      <c r="D3" s="2420"/>
    </row>
    <row r="4" spans="1:11" s="1212" customFormat="1" ht="4.5" customHeight="1">
      <c r="A4" s="1213"/>
      <c r="B4" s="1214"/>
      <c r="C4" s="1214"/>
      <c r="D4" s="1214"/>
    </row>
    <row r="5" spans="1:11">
      <c r="B5" s="1216" t="s">
        <v>1493</v>
      </c>
      <c r="C5" s="1217"/>
      <c r="D5" s="1218"/>
    </row>
    <row r="6" spans="1:11">
      <c r="B6" s="1216" t="s">
        <v>1225</v>
      </c>
      <c r="C6" s="1217"/>
      <c r="D6" s="1218"/>
    </row>
    <row r="7" spans="1:11">
      <c r="B7" s="1216" t="s">
        <v>1494</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2031</v>
      </c>
      <c r="C11" s="1223">
        <v>1</v>
      </c>
      <c r="D11" s="1224" t="s">
        <v>1675</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2031</v>
      </c>
      <c r="C13" s="1223">
        <f>C11+1</f>
        <v>2</v>
      </c>
      <c r="D13" s="1227" t="s">
        <v>1676</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2031</v>
      </c>
      <c r="C15" s="1223">
        <f>C13+1</f>
        <v>3</v>
      </c>
      <c r="D15" s="1224" t="s">
        <v>1677</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2031</v>
      </c>
      <c r="C18" s="1223">
        <f>C15+1</f>
        <v>4</v>
      </c>
      <c r="D18" s="1230" t="s">
        <v>1678</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2031</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2031</v>
      </c>
      <c r="C24" s="1223">
        <f>C21+1</f>
        <v>6</v>
      </c>
      <c r="D24" s="1231" t="s">
        <v>1699</v>
      </c>
      <c r="E24" s="1225"/>
      <c r="F24" s="1225"/>
      <c r="G24" s="1225"/>
      <c r="H24" s="1225"/>
      <c r="I24" s="1225"/>
      <c r="J24" s="1225"/>
      <c r="K24" s="1225"/>
    </row>
    <row r="25" spans="1:11">
      <c r="A25" s="1219"/>
      <c r="B25" s="1228"/>
      <c r="D25" s="1227" t="s">
        <v>1679</v>
      </c>
      <c r="E25" s="1225"/>
      <c r="F25" s="1225"/>
      <c r="G25" s="1225"/>
      <c r="H25" s="1225"/>
      <c r="I25" s="1225"/>
      <c r="J25" s="1225"/>
      <c r="K25" s="1225"/>
    </row>
    <row r="26" spans="1:11">
      <c r="A26" s="1219"/>
      <c r="B26" s="1228"/>
      <c r="D26" s="1232" t="s">
        <v>1680</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2031</v>
      </c>
      <c r="C28" s="1229">
        <f>C24+1</f>
        <v>7</v>
      </c>
      <c r="D28" s="1232" t="s">
        <v>1549</v>
      </c>
      <c r="E28" s="1225"/>
      <c r="F28" s="1225"/>
      <c r="G28" s="1225"/>
      <c r="H28" s="1225"/>
      <c r="I28" s="1225"/>
      <c r="J28" s="1225"/>
      <c r="K28" s="1225"/>
    </row>
    <row r="29" spans="1:11" ht="10.5" customHeight="1">
      <c r="A29" s="1219"/>
      <c r="D29" s="1233" t="s">
        <v>1550</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2031</v>
      </c>
      <c r="C33" s="1223">
        <v>8</v>
      </c>
      <c r="D33" s="1234" t="s">
        <v>1218</v>
      </c>
    </row>
    <row r="34" spans="1:5" ht="10.5" customHeight="1">
      <c r="A34" s="1219"/>
      <c r="B34" s="1235"/>
      <c r="C34" s="1223"/>
      <c r="D34" s="1234" t="s">
        <v>1551</v>
      </c>
    </row>
    <row r="35" spans="1:5" ht="3" customHeight="1">
      <c r="A35" s="1219"/>
      <c r="B35" s="1228"/>
      <c r="D35" s="1218"/>
    </row>
    <row r="36" spans="1:5">
      <c r="A36" s="1219"/>
      <c r="B36" s="1222" t="s">
        <v>2031</v>
      </c>
      <c r="C36" s="1223">
        <f>C33+1</f>
        <v>9</v>
      </c>
      <c r="D36" s="1234" t="s">
        <v>1217</v>
      </c>
    </row>
    <row r="37" spans="1:5" ht="10.5" customHeight="1">
      <c r="A37" s="1219"/>
      <c r="B37" s="1228"/>
      <c r="D37" s="1234" t="s">
        <v>1551</v>
      </c>
    </row>
    <row r="38" spans="1:5" ht="3" customHeight="1">
      <c r="A38" s="1219"/>
      <c r="B38" s="1236"/>
      <c r="C38" s="1237"/>
      <c r="D38" s="1218"/>
    </row>
    <row r="39" spans="1:5">
      <c r="A39" s="1219"/>
      <c r="B39" s="1238" t="s">
        <v>2031</v>
      </c>
      <c r="C39" s="1229">
        <f>C36+1</f>
        <v>10</v>
      </c>
      <c r="D39" s="1218" t="s">
        <v>1216</v>
      </c>
    </row>
    <row r="40" spans="1:5" ht="10.5" customHeight="1">
      <c r="A40" s="1219"/>
      <c r="B40" s="1239"/>
      <c r="C40" s="1237"/>
      <c r="D40" s="1218" t="s">
        <v>1552</v>
      </c>
    </row>
    <row r="41" spans="1:5" ht="3" customHeight="1">
      <c r="A41" s="1219"/>
      <c r="B41" s="1236"/>
      <c r="C41" s="1237"/>
      <c r="D41" s="1218"/>
    </row>
    <row r="42" spans="1:5" ht="10.5" customHeight="1">
      <c r="A42" s="1219"/>
      <c r="B42" s="1238" t="s">
        <v>2031</v>
      </c>
      <c r="C42" s="1229">
        <v>11</v>
      </c>
      <c r="D42" s="1240" t="s">
        <v>1553</v>
      </c>
      <c r="E42" s="312"/>
    </row>
    <row r="43" spans="1:5" ht="3" customHeight="1">
      <c r="A43" s="1219"/>
      <c r="B43" s="1236"/>
      <c r="C43" s="1237"/>
      <c r="D43" s="1218"/>
    </row>
    <row r="44" spans="1:5">
      <c r="A44" s="1219"/>
      <c r="B44" s="1222" t="s">
        <v>2031</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2031</v>
      </c>
      <c r="C48" s="1223">
        <f>C44+1</f>
        <v>13</v>
      </c>
      <c r="D48" s="1234" t="s">
        <v>1554</v>
      </c>
    </row>
    <row r="49" spans="1:4" ht="3" customHeight="1">
      <c r="A49" s="1219"/>
      <c r="B49" s="1226"/>
      <c r="C49" s="1223"/>
      <c r="D49" s="1234"/>
    </row>
    <row r="50" spans="1:4">
      <c r="A50" s="1219"/>
      <c r="B50" s="1222" t="s">
        <v>2031</v>
      </c>
      <c r="C50" s="1223">
        <f>C48+1</f>
        <v>14</v>
      </c>
      <c r="D50" s="1234" t="s">
        <v>1212</v>
      </c>
    </row>
    <row r="51" spans="1:4" ht="3" customHeight="1">
      <c r="A51" s="1219"/>
      <c r="B51" s="1226"/>
      <c r="C51" s="1223"/>
      <c r="D51" s="1234"/>
    </row>
    <row r="52" spans="1:4">
      <c r="A52" s="1219"/>
      <c r="B52" s="1222" t="s">
        <v>2031</v>
      </c>
      <c r="C52" s="1223">
        <f>C50+1</f>
        <v>15</v>
      </c>
      <c r="D52" s="1234" t="s">
        <v>1211</v>
      </c>
    </row>
    <row r="53" spans="1:4" ht="3" customHeight="1">
      <c r="A53" s="1219"/>
      <c r="B53" s="1226"/>
      <c r="C53" s="1223"/>
      <c r="D53" s="1234"/>
    </row>
    <row r="54" spans="1:4">
      <c r="A54" s="1219"/>
      <c r="B54" s="1222" t="s">
        <v>2031</v>
      </c>
      <c r="C54" s="1223">
        <f>C52+1</f>
        <v>16</v>
      </c>
      <c r="D54" s="1234" t="s">
        <v>1210</v>
      </c>
    </row>
    <row r="55" spans="1:4" ht="3" customHeight="1">
      <c r="A55" s="1219"/>
      <c r="B55" s="1226"/>
      <c r="C55" s="1223"/>
      <c r="D55" s="1234"/>
    </row>
    <row r="56" spans="1:4">
      <c r="A56" s="1219"/>
      <c r="B56" s="1222" t="s">
        <v>2031</v>
      </c>
      <c r="C56" s="1223">
        <f>C54+1</f>
        <v>17</v>
      </c>
      <c r="D56" s="1218" t="s">
        <v>1681</v>
      </c>
    </row>
    <row r="57" spans="1:4" ht="10.5" customHeight="1">
      <c r="A57" s="1219"/>
      <c r="D57" s="1234" t="s">
        <v>1682</v>
      </c>
    </row>
    <row r="58" spans="1:4">
      <c r="A58" s="1219"/>
      <c r="C58" s="1241" t="s">
        <v>2031</v>
      </c>
      <c r="D58" s="1234" t="s">
        <v>1683</v>
      </c>
    </row>
    <row r="59" spans="1:4" ht="10.5" customHeight="1">
      <c r="A59" s="1219"/>
      <c r="D59" s="1218" t="s">
        <v>1209</v>
      </c>
    </row>
    <row r="60" spans="1:4" ht="10.5" customHeight="1">
      <c r="A60" s="1219"/>
      <c r="D60" s="1242" t="s">
        <v>1572</v>
      </c>
    </row>
    <row r="61" spans="1:4" ht="10.5" customHeight="1">
      <c r="A61" s="1219"/>
      <c r="C61" s="1241" t="s">
        <v>2031</v>
      </c>
      <c r="D61" s="1234" t="s">
        <v>1684</v>
      </c>
    </row>
    <row r="62" spans="1:4" ht="10.5" customHeight="1">
      <c r="A62" s="1219"/>
      <c r="D62" s="1243" t="s">
        <v>1208</v>
      </c>
    </row>
    <row r="63" spans="1:4" ht="10.5" customHeight="1">
      <c r="A63" s="1219"/>
      <c r="D63" s="1218" t="s">
        <v>1555</v>
      </c>
    </row>
    <row r="64" spans="1:4" ht="10.5" customHeight="1">
      <c r="A64" s="1219"/>
      <c r="D64" s="1242" t="s">
        <v>1571</v>
      </c>
    </row>
    <row r="65" spans="1:4">
      <c r="A65" s="1219"/>
      <c r="C65" s="1241" t="s">
        <v>2031</v>
      </c>
      <c r="D65" s="1234" t="s">
        <v>1685</v>
      </c>
    </row>
    <row r="66" spans="1:4" ht="10.5" customHeight="1">
      <c r="A66" s="1219"/>
      <c r="D66" s="1244" t="s">
        <v>1207</v>
      </c>
    </row>
    <row r="67" spans="1:4" ht="10.5" customHeight="1">
      <c r="A67" s="1219"/>
      <c r="D67" s="1218" t="s">
        <v>1556</v>
      </c>
    </row>
    <row r="68" spans="1:4" ht="10.5" customHeight="1">
      <c r="A68" s="1219"/>
      <c r="D68" s="1242" t="s">
        <v>1571</v>
      </c>
    </row>
    <row r="69" spans="1:4" ht="10.5" customHeight="1">
      <c r="A69" s="1219"/>
      <c r="C69" s="1241" t="s">
        <v>2066</v>
      </c>
      <c r="D69" s="1234" t="s">
        <v>1686</v>
      </c>
    </row>
    <row r="70" spans="1:4">
      <c r="A70" s="1219"/>
      <c r="D70" s="1243" t="s">
        <v>1206</v>
      </c>
    </row>
    <row r="71" spans="1:4" ht="3" customHeight="1">
      <c r="A71" s="1219"/>
      <c r="D71" s="1218"/>
    </row>
    <row r="72" spans="1:4">
      <c r="A72" s="1219"/>
      <c r="B72" s="1222" t="s">
        <v>2031</v>
      </c>
      <c r="C72" s="1223">
        <f>C56+1</f>
        <v>18</v>
      </c>
      <c r="D72" s="1244" t="s">
        <v>1687</v>
      </c>
    </row>
    <row r="73" spans="1:4" ht="3" customHeight="1">
      <c r="A73" s="1219"/>
      <c r="B73" s="1226"/>
      <c r="C73" s="1223"/>
      <c r="D73" s="1244"/>
    </row>
    <row r="74" spans="1:4">
      <c r="A74" s="1219"/>
      <c r="B74" s="1222" t="s">
        <v>2031</v>
      </c>
      <c r="C74" s="1223">
        <f>C72+1</f>
        <v>19</v>
      </c>
      <c r="D74" s="1234" t="s">
        <v>1205</v>
      </c>
    </row>
    <row r="75" spans="1:4" ht="3" customHeight="1">
      <c r="A75" s="1219"/>
      <c r="B75" s="1226"/>
      <c r="C75" s="1223"/>
      <c r="D75" s="1234"/>
    </row>
    <row r="76" spans="1:4">
      <c r="A76" s="1219"/>
      <c r="B76" s="1222" t="s">
        <v>2031</v>
      </c>
      <c r="C76" s="1223">
        <f>C74+1</f>
        <v>20</v>
      </c>
      <c r="D76" s="1245" t="s">
        <v>1688</v>
      </c>
    </row>
    <row r="77" spans="1:4" ht="3" customHeight="1">
      <c r="A77" s="1219"/>
      <c r="B77" s="1226"/>
      <c r="C77" s="1223"/>
      <c r="D77" s="1245"/>
    </row>
    <row r="78" spans="1:4">
      <c r="A78" s="1219"/>
      <c r="B78" s="1222" t="s">
        <v>2031</v>
      </c>
      <c r="C78" s="1223">
        <f>C76+1</f>
        <v>21</v>
      </c>
      <c r="D78" s="1218" t="s">
        <v>1689</v>
      </c>
    </row>
    <row r="79" spans="1:4" ht="3" customHeight="1">
      <c r="A79" s="1219"/>
      <c r="B79" s="1226"/>
      <c r="C79" s="1223"/>
      <c r="D79" s="1218"/>
    </row>
    <row r="80" spans="1:4">
      <c r="A80" s="1219"/>
      <c r="B80" s="1222" t="s">
        <v>2031</v>
      </c>
      <c r="C80" s="1223">
        <f>C78+1</f>
        <v>22</v>
      </c>
      <c r="D80" s="1246" t="s">
        <v>1690</v>
      </c>
    </row>
    <row r="81" spans="1:4" ht="3" customHeight="1">
      <c r="A81" s="1219"/>
      <c r="B81" s="1226"/>
      <c r="C81" s="1223"/>
      <c r="D81" s="1246"/>
    </row>
    <row r="82" spans="1:4">
      <c r="A82" s="1219"/>
      <c r="B82" s="1222" t="s">
        <v>2031</v>
      </c>
      <c r="C82" s="1223">
        <f>C80+1</f>
        <v>23</v>
      </c>
      <c r="D82" s="1245" t="s">
        <v>1691</v>
      </c>
    </row>
    <row r="83" spans="1:4" ht="10.5" customHeight="1">
      <c r="A83" s="1219"/>
      <c r="B83" s="1228"/>
      <c r="D83" s="1234" t="s">
        <v>1204</v>
      </c>
    </row>
    <row r="84" spans="1:4" ht="3" customHeight="1">
      <c r="A84" s="1219"/>
      <c r="B84" s="1228"/>
      <c r="D84" s="1234"/>
    </row>
    <row r="85" spans="1:4">
      <c r="A85" s="1219"/>
      <c r="B85" s="1222" t="s">
        <v>2031</v>
      </c>
      <c r="C85" s="1223">
        <f>C82+1</f>
        <v>24</v>
      </c>
      <c r="D85" s="1234" t="s">
        <v>1203</v>
      </c>
    </row>
    <row r="86" spans="1:4" ht="3" customHeight="1">
      <c r="A86" s="1219"/>
      <c r="B86" s="1226"/>
      <c r="C86" s="1223"/>
      <c r="D86" s="1234"/>
    </row>
    <row r="87" spans="1:4">
      <c r="A87" s="1219"/>
      <c r="B87" s="1222" t="s">
        <v>2031</v>
      </c>
      <c r="C87" s="1223">
        <f>C85+1</f>
        <v>25</v>
      </c>
      <c r="D87" s="1234" t="s">
        <v>1202</v>
      </c>
    </row>
    <row r="88" spans="1:4" ht="3" customHeight="1">
      <c r="A88" s="1219"/>
      <c r="B88" s="1226"/>
      <c r="C88" s="1223"/>
      <c r="D88" s="1234"/>
    </row>
    <row r="89" spans="1:4">
      <c r="A89" s="1219"/>
      <c r="B89" s="1222" t="s">
        <v>2031</v>
      </c>
      <c r="C89" s="1223">
        <f>C87+1</f>
        <v>26</v>
      </c>
      <c r="D89" s="1234" t="s">
        <v>1201</v>
      </c>
    </row>
    <row r="90" spans="1:4" ht="3" customHeight="1">
      <c r="A90" s="1219"/>
      <c r="B90" s="1226"/>
      <c r="C90" s="1223"/>
      <c r="D90" s="1234"/>
    </row>
    <row r="91" spans="1:4">
      <c r="A91" s="1219"/>
      <c r="B91" s="1222" t="s">
        <v>2066</v>
      </c>
      <c r="C91" s="1223">
        <f>C89+1</f>
        <v>27</v>
      </c>
      <c r="D91" s="1234" t="s">
        <v>1692</v>
      </c>
    </row>
    <row r="92" spans="1:4">
      <c r="A92" s="1219"/>
      <c r="B92" s="1247"/>
      <c r="C92" s="1241" t="s">
        <v>2066</v>
      </c>
      <c r="D92" s="1234" t="s">
        <v>1200</v>
      </c>
    </row>
    <row r="93" spans="1:4" ht="4.5" customHeight="1">
      <c r="A93" s="1219"/>
      <c r="D93" s="1218"/>
    </row>
    <row r="94" spans="1:4">
      <c r="A94" s="1219"/>
      <c r="B94" s="1220" t="s">
        <v>1557</v>
      </c>
      <c r="C94" s="1221"/>
      <c r="D94" s="1218"/>
    </row>
    <row r="95" spans="1:4" ht="4.5" customHeight="1">
      <c r="A95" s="1219"/>
      <c r="B95" s="1220"/>
      <c r="C95" s="1221"/>
      <c r="D95" s="1218"/>
    </row>
    <row r="96" spans="1:4">
      <c r="A96" s="1219"/>
      <c r="B96" s="1222" t="s">
        <v>2031</v>
      </c>
      <c r="C96" s="1223">
        <f>C91+1</f>
        <v>28</v>
      </c>
      <c r="D96" s="1234" t="s">
        <v>1693</v>
      </c>
    </row>
    <row r="97" spans="1:4" ht="3" customHeight="1">
      <c r="A97" s="1219"/>
      <c r="B97" s="1226"/>
      <c r="C97" s="1223"/>
      <c r="D97" s="1234"/>
    </row>
    <row r="98" spans="1:4">
      <c r="A98" s="1219"/>
      <c r="B98" s="1222" t="s">
        <v>2031</v>
      </c>
      <c r="C98" s="1223">
        <f>C96+1</f>
        <v>29</v>
      </c>
      <c r="D98" s="1248" t="s">
        <v>1694</v>
      </c>
    </row>
    <row r="99" spans="1:4" ht="3" customHeight="1">
      <c r="A99" s="1219"/>
      <c r="B99" s="1226"/>
      <c r="C99" s="1223"/>
      <c r="D99" s="1248"/>
    </row>
    <row r="100" spans="1:4">
      <c r="A100" s="1219"/>
      <c r="B100" s="1222" t="s">
        <v>2031</v>
      </c>
      <c r="C100" s="1223">
        <f>C98+1</f>
        <v>30</v>
      </c>
      <c r="D100" s="1234" t="s">
        <v>1695</v>
      </c>
    </row>
    <row r="101" spans="1:4" ht="3" customHeight="1">
      <c r="A101" s="1219"/>
      <c r="B101" s="1226"/>
      <c r="C101" s="1223"/>
      <c r="D101" s="1249"/>
    </row>
    <row r="102" spans="1:4">
      <c r="A102" s="1219"/>
      <c r="B102" s="1222" t="s">
        <v>2031</v>
      </c>
      <c r="C102" s="1223">
        <f>C100+1</f>
        <v>31</v>
      </c>
      <c r="D102" s="1234" t="s">
        <v>1558</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2031</v>
      </c>
      <c r="C106" s="1223">
        <f>C102+1</f>
        <v>32</v>
      </c>
      <c r="D106" s="1218" t="s">
        <v>1559</v>
      </c>
    </row>
    <row r="107" spans="1:4" ht="3" customHeight="1">
      <c r="A107" s="1219"/>
      <c r="B107" s="1226"/>
      <c r="C107" s="1223"/>
      <c r="D107" s="1218"/>
    </row>
    <row r="108" spans="1:4">
      <c r="A108" s="1219"/>
      <c r="B108" s="1222" t="s">
        <v>2031</v>
      </c>
      <c r="C108" s="1223">
        <v>33</v>
      </c>
      <c r="D108" s="1218" t="s">
        <v>1696</v>
      </c>
    </row>
    <row r="109" spans="1:4" ht="3" customHeight="1">
      <c r="A109" s="1219"/>
      <c r="B109" s="1226"/>
      <c r="C109" s="1223"/>
      <c r="D109" s="1218"/>
    </row>
    <row r="110" spans="1:4">
      <c r="A110" s="1219"/>
      <c r="B110" s="1222" t="s">
        <v>2031</v>
      </c>
      <c r="C110" s="1223">
        <f>C108+1</f>
        <v>34</v>
      </c>
      <c r="D110" s="1218" t="s">
        <v>1198</v>
      </c>
    </row>
    <row r="111" spans="1:4" ht="3" customHeight="1">
      <c r="A111" s="1219"/>
      <c r="B111" s="1226"/>
      <c r="C111" s="1223"/>
      <c r="D111" s="1218"/>
    </row>
    <row r="112" spans="1:4">
      <c r="A112" s="1219"/>
      <c r="B112" s="1222" t="s">
        <v>2031</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2066</v>
      </c>
      <c r="C115" s="1223">
        <f>C112+1</f>
        <v>36</v>
      </c>
      <c r="D115" s="1234" t="s">
        <v>1195</v>
      </c>
    </row>
    <row r="116" spans="1:4" ht="3" customHeight="1">
      <c r="A116" s="1219"/>
      <c r="B116" s="1226"/>
      <c r="C116" s="1223"/>
      <c r="D116" s="1234"/>
    </row>
    <row r="117" spans="1:4">
      <c r="A117" s="1219"/>
      <c r="B117" s="1222" t="s">
        <v>2066</v>
      </c>
      <c r="C117" s="1223">
        <f>C115+1</f>
        <v>37</v>
      </c>
      <c r="D117" s="1234" t="s">
        <v>1697</v>
      </c>
    </row>
    <row r="118" spans="1:4" ht="3" customHeight="1">
      <c r="A118" s="1219"/>
      <c r="B118" s="1226"/>
      <c r="C118" s="1223"/>
      <c r="D118" s="1234"/>
    </row>
    <row r="119" spans="1:4">
      <c r="A119" s="1219"/>
      <c r="B119" s="1222" t="s">
        <v>2066</v>
      </c>
      <c r="C119" s="1223">
        <f>C117+1</f>
        <v>38</v>
      </c>
      <c r="D119" s="1234" t="s">
        <v>1698</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2031</v>
      </c>
      <c r="C123" s="1223">
        <f>C119+1</f>
        <v>39</v>
      </c>
      <c r="D123" s="1244" t="s">
        <v>1799</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6" sqref="D36"/>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48" t="str">
        <f>'Single Audit Cover'!A7</f>
        <v>Rochelle CCSD 231</v>
      </c>
      <c r="B1" s="2448"/>
      <c r="C1" s="2448"/>
      <c r="D1" s="2448"/>
      <c r="E1" s="2448"/>
    </row>
    <row r="2" spans="1:5">
      <c r="A2" s="2449">
        <f>'Single Audit Cover'!E7</f>
        <v>47071231004</v>
      </c>
      <c r="B2" s="2449"/>
      <c r="C2" s="2449"/>
      <c r="D2" s="2449"/>
      <c r="E2" s="2449"/>
    </row>
    <row r="3" spans="1:5" ht="4.5" customHeight="1"/>
    <row r="4" spans="1:5">
      <c r="A4" s="2448" t="s">
        <v>1245</v>
      </c>
      <c r="B4" s="2448"/>
      <c r="C4" s="2448"/>
      <c r="D4" s="2448"/>
      <c r="E4" s="2448"/>
    </row>
    <row r="5" spans="1:5">
      <c r="A5" s="2450" t="str">
        <f>'Single Audit Cover'!A4</f>
        <v>Year Ending June 30, 2019</v>
      </c>
      <c r="B5" s="2450"/>
      <c r="C5" s="2450"/>
      <c r="D5" s="2450"/>
      <c r="E5" s="2450"/>
    </row>
    <row r="6" spans="1:5">
      <c r="A6" s="2448" t="s">
        <v>1244</v>
      </c>
      <c r="B6" s="2448"/>
      <c r="C6" s="2448"/>
      <c r="D6" s="2448"/>
      <c r="E6" s="2448"/>
    </row>
    <row r="8" spans="1:5">
      <c r="A8" s="1257" t="s">
        <v>1243</v>
      </c>
    </row>
    <row r="10" spans="1:5">
      <c r="A10" s="1258" t="s">
        <v>1242</v>
      </c>
      <c r="B10" s="1259" t="s">
        <v>1241</v>
      </c>
      <c r="C10" s="1259"/>
      <c r="D10" s="1260">
        <f>SUM('Acct Summary 7-8'!C7:K7)</f>
        <v>1558450</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1700</v>
      </c>
      <c r="B14" s="1259"/>
      <c r="C14" s="1259"/>
      <c r="D14" s="1261">
        <f>'ICR Computation 30'!E11</f>
        <v>43159</v>
      </c>
    </row>
    <row r="15" spans="1:5">
      <c r="A15" s="1258"/>
      <c r="B15" s="1259"/>
      <c r="C15" s="1259"/>
    </row>
    <row r="16" spans="1:5">
      <c r="A16" s="1258" t="s">
        <v>1804</v>
      </c>
      <c r="B16" s="1259"/>
      <c r="C16" s="1259"/>
    </row>
    <row r="17" spans="1:4">
      <c r="A17" s="1258" t="s">
        <v>2020</v>
      </c>
      <c r="B17" s="1259" t="s">
        <v>1236</v>
      </c>
      <c r="C17" s="1259"/>
      <c r="D17" s="1261">
        <f>-SUM('Revenues 9-14'!C264:D264,'Revenues 9-14'!F264:G264)</f>
        <v>-2867</v>
      </c>
    </row>
    <row r="19" spans="1:4" ht="13.5" thickBot="1">
      <c r="A19" s="1262" t="s">
        <v>1235</v>
      </c>
      <c r="D19" s="1263">
        <f>SUM(D10:D17)</f>
        <v>1598742</v>
      </c>
    </row>
    <row r="20" spans="1:4" ht="21.75" customHeight="1" thickTop="1"/>
    <row r="21" spans="1:4">
      <c r="A21" s="1257" t="s">
        <v>1234</v>
      </c>
    </row>
    <row r="22" spans="1:4" ht="8.25" customHeight="1"/>
    <row r="23" spans="1:4">
      <c r="A23" s="1264" t="s">
        <v>1228</v>
      </c>
    </row>
    <row r="24" spans="1:4">
      <c r="A24" s="2447" t="s">
        <v>2067</v>
      </c>
      <c r="B24" s="2447"/>
      <c r="D24" s="1873">
        <v>212</v>
      </c>
    </row>
    <row r="25" spans="1:4">
      <c r="A25" s="2446" t="s">
        <v>2070</v>
      </c>
      <c r="B25" s="2446"/>
      <c r="D25" s="1874">
        <v>284</v>
      </c>
    </row>
    <row r="26" spans="1:4">
      <c r="A26" s="2446" t="s">
        <v>2068</v>
      </c>
      <c r="B26" s="2446"/>
      <c r="D26" s="1874">
        <v>-27099</v>
      </c>
    </row>
    <row r="27" spans="1:4">
      <c r="A27" s="2446" t="s">
        <v>2069</v>
      </c>
      <c r="B27" s="2446"/>
      <c r="D27" s="1874">
        <v>-1</v>
      </c>
    </row>
    <row r="28" spans="1:4">
      <c r="A28" s="2446"/>
      <c r="B28" s="2446"/>
      <c r="D28" s="1265"/>
    </row>
    <row r="29" spans="1:4">
      <c r="A29" s="2446"/>
      <c r="B29" s="2446"/>
      <c r="D29" s="1265"/>
    </row>
    <row r="30" spans="1:4">
      <c r="A30" s="2446"/>
      <c r="B30" s="2446"/>
      <c r="D30" s="1265"/>
    </row>
    <row r="32" spans="1:4">
      <c r="A32" s="1257" t="s">
        <v>1233</v>
      </c>
      <c r="D32" s="1260">
        <f>SUM(D19:D30)</f>
        <v>1572138</v>
      </c>
    </row>
    <row r="33" spans="1:4">
      <c r="D33" s="1266"/>
    </row>
    <row r="34" spans="1:4">
      <c r="A34" s="317" t="s">
        <v>1232</v>
      </c>
    </row>
    <row r="35" spans="1:4">
      <c r="A35" s="317" t="s">
        <v>1231</v>
      </c>
      <c r="B35" s="1255" t="s">
        <v>1230</v>
      </c>
      <c r="D35" s="1267">
        <v>1572138</v>
      </c>
    </row>
    <row r="37" spans="1:4">
      <c r="A37" s="1257" t="s">
        <v>1229</v>
      </c>
    </row>
    <row r="39" spans="1:4" ht="13.35" customHeight="1">
      <c r="A39" s="1264" t="s">
        <v>1228</v>
      </c>
    </row>
    <row r="40" spans="1:4">
      <c r="A40" s="2447"/>
      <c r="B40" s="2447"/>
      <c r="D40" s="1265"/>
    </row>
    <row r="41" spans="1:4">
      <c r="A41" s="2446"/>
      <c r="B41" s="2446"/>
      <c r="D41" s="1268"/>
    </row>
    <row r="42" spans="1:4">
      <c r="A42" s="2446"/>
      <c r="B42" s="2446"/>
      <c r="D42" s="1268"/>
    </row>
    <row r="43" spans="1:4">
      <c r="A43" s="2446"/>
      <c r="B43" s="2446"/>
      <c r="D43" s="1268"/>
    </row>
    <row r="44" spans="1:4">
      <c r="A44" s="2446"/>
      <c r="B44" s="2446"/>
      <c r="D44" s="1268"/>
    </row>
    <row r="45" spans="1:4">
      <c r="A45" s="2446"/>
      <c r="B45" s="2446"/>
      <c r="D45" s="1268"/>
    </row>
    <row r="47" spans="1:4">
      <c r="B47" s="1269" t="s">
        <v>1227</v>
      </c>
      <c r="C47" s="1269"/>
      <c r="D47" s="1270">
        <f>SUM(D35:D45)</f>
        <v>1572138</v>
      </c>
    </row>
    <row r="49" spans="2:4">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4:B44"/>
    <mergeCell ref="A45:B45"/>
    <mergeCell ref="A28:B28"/>
    <mergeCell ref="A29:B29"/>
    <mergeCell ref="A30:B30"/>
    <mergeCell ref="A43:B43"/>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D92FA-3C10-4C92-9E4C-7CF14C9AA8B7}">
  <sheetPr>
    <tabColor rgb="FF00B050"/>
  </sheetPr>
  <dimension ref="A1:R71"/>
  <sheetViews>
    <sheetView topLeftCell="A19" workbookViewId="0">
      <selection activeCell="A51" sqref="A51:XFD51"/>
    </sheetView>
  </sheetViews>
  <sheetFormatPr defaultRowHeight="12.75"/>
  <cols>
    <col min="1" max="1" width="6.7109375" customWidth="1"/>
    <col min="2" max="2" width="9.28515625" customWidth="1"/>
    <col min="3" max="3" width="41.42578125" bestFit="1" customWidth="1"/>
    <col min="4" max="4" width="14.140625" customWidth="1"/>
    <col min="5" max="5" width="12.42578125" bestFit="1" customWidth="1"/>
    <col min="6" max="11" width="8.42578125" bestFit="1" customWidth="1"/>
    <col min="12" max="12" width="8.7109375" bestFit="1" customWidth="1"/>
    <col min="13" max="13" width="7.7109375" bestFit="1" customWidth="1"/>
    <col min="14" max="14" width="6.5703125" bestFit="1" customWidth="1"/>
    <col min="15" max="15" width="3.7109375" style="1876" bestFit="1" customWidth="1"/>
  </cols>
  <sheetData>
    <row r="1" spans="1:15" s="1876" customFormat="1">
      <c r="A1" s="2451" t="s">
        <v>2071</v>
      </c>
      <c r="B1" s="2451"/>
      <c r="C1" s="2451"/>
      <c r="D1" s="2451"/>
      <c r="E1" s="2451"/>
      <c r="F1" s="2451"/>
      <c r="G1" s="2451"/>
      <c r="H1" s="2451"/>
      <c r="I1" s="2451"/>
      <c r="J1" s="2451"/>
      <c r="K1" s="2451"/>
      <c r="L1" s="2451"/>
      <c r="M1" s="2451"/>
      <c r="N1" s="2451"/>
    </row>
    <row r="2" spans="1:15" s="1876" customFormat="1">
      <c r="A2" s="2451" t="s">
        <v>2072</v>
      </c>
      <c r="B2" s="2451"/>
      <c r="C2" s="2451"/>
      <c r="D2" s="2451"/>
      <c r="E2" s="2451"/>
      <c r="F2" s="2451"/>
      <c r="G2" s="2451"/>
      <c r="H2" s="2451"/>
      <c r="I2" s="2451"/>
      <c r="J2" s="2451"/>
      <c r="K2" s="2451"/>
      <c r="L2" s="2451"/>
      <c r="M2" s="2451"/>
      <c r="N2" s="2451"/>
    </row>
    <row r="3" spans="1:15" s="1876" customFormat="1">
      <c r="A3" s="2451" t="s">
        <v>2130</v>
      </c>
      <c r="B3" s="2451"/>
      <c r="C3" s="2451"/>
      <c r="D3" s="2451"/>
      <c r="E3" s="2451"/>
      <c r="F3" s="2451"/>
      <c r="G3" s="2451"/>
      <c r="H3" s="2451"/>
      <c r="I3" s="2451"/>
      <c r="J3" s="2451"/>
      <c r="K3" s="2451"/>
      <c r="L3" s="2451"/>
      <c r="M3" s="2451"/>
      <c r="N3" s="2451"/>
    </row>
    <row r="4" spans="1:15" s="1876" customFormat="1">
      <c r="B4" s="1872"/>
      <c r="C4" s="1872"/>
      <c r="D4" s="1872"/>
      <c r="E4" s="1872"/>
      <c r="F4" s="1872"/>
      <c r="G4" s="1872"/>
      <c r="H4" s="1872"/>
      <c r="I4" s="1872"/>
      <c r="J4" s="1872"/>
      <c r="K4" s="1872"/>
      <c r="L4" s="1872"/>
      <c r="M4" s="1872"/>
      <c r="N4" s="1872"/>
    </row>
    <row r="5" spans="1:15" ht="78.75">
      <c r="A5" s="1876"/>
      <c r="B5" s="1871" t="s">
        <v>2073</v>
      </c>
      <c r="C5" s="1871" t="s">
        <v>2074</v>
      </c>
      <c r="D5" s="1871" t="s">
        <v>2075</v>
      </c>
      <c r="E5" s="1871" t="s">
        <v>2076</v>
      </c>
      <c r="F5" s="1871" t="s">
        <v>2077</v>
      </c>
      <c r="G5" s="1871" t="s">
        <v>2135</v>
      </c>
      <c r="H5" s="1871" t="s">
        <v>2078</v>
      </c>
      <c r="I5" s="1871" t="s">
        <v>2079</v>
      </c>
      <c r="J5" s="1871" t="s">
        <v>2171</v>
      </c>
      <c r="K5" s="1871" t="s">
        <v>2170</v>
      </c>
      <c r="L5" s="1871" t="s">
        <v>2080</v>
      </c>
      <c r="M5" s="1871" t="s">
        <v>2081</v>
      </c>
      <c r="N5" s="1871" t="s">
        <v>30</v>
      </c>
    </row>
    <row r="6" spans="1:15" s="1876" customFormat="1"/>
    <row r="7" spans="1:15" s="1876" customFormat="1">
      <c r="A7" s="1883" t="s">
        <v>2082</v>
      </c>
      <c r="B7" s="1886"/>
      <c r="C7" s="1879"/>
      <c r="D7" s="1882"/>
      <c r="E7" s="1882"/>
      <c r="F7" s="1882"/>
      <c r="G7" s="1882"/>
      <c r="H7" s="1882"/>
      <c r="I7" s="1882"/>
    </row>
    <row r="8" spans="1:15" s="1876" customFormat="1">
      <c r="A8" s="1886"/>
      <c r="B8" s="2452" t="s">
        <v>2083</v>
      </c>
      <c r="C8" s="2452"/>
      <c r="D8" s="1888"/>
      <c r="E8" s="1888"/>
      <c r="F8" s="1888"/>
      <c r="G8" s="1888"/>
      <c r="H8" s="1888"/>
      <c r="I8" s="1888"/>
    </row>
    <row r="9" spans="1:15" s="1876" customFormat="1">
      <c r="A9" s="1886"/>
      <c r="B9" s="1884"/>
      <c r="C9" s="1878" t="s">
        <v>2084</v>
      </c>
      <c r="D9" s="1888"/>
      <c r="E9" s="1888"/>
      <c r="F9" s="1888"/>
      <c r="G9" s="1888"/>
      <c r="H9" s="1888"/>
      <c r="I9" s="1888"/>
    </row>
    <row r="10" spans="1:15" s="1876" customFormat="1">
      <c r="A10" s="1887"/>
      <c r="B10" s="1880">
        <v>10.553000000000001</v>
      </c>
      <c r="C10" s="1894" t="s">
        <v>2173</v>
      </c>
      <c r="D10" s="1895" t="s">
        <v>2086</v>
      </c>
      <c r="E10" s="1881" t="s">
        <v>2087</v>
      </c>
      <c r="F10" s="1897">
        <v>4216</v>
      </c>
      <c r="G10" s="1898">
        <v>0</v>
      </c>
      <c r="H10" s="1898">
        <v>4216</v>
      </c>
      <c r="I10" s="1898">
        <v>0</v>
      </c>
      <c r="J10" s="1896">
        <v>0</v>
      </c>
      <c r="K10" s="1896">
        <v>0</v>
      </c>
      <c r="L10" s="1896"/>
      <c r="M10" s="1896">
        <f>G10-J10-L10</f>
        <v>0</v>
      </c>
      <c r="N10" s="1899" t="s">
        <v>2066</v>
      </c>
      <c r="O10" s="1900" t="s">
        <v>2085</v>
      </c>
    </row>
    <row r="11" spans="1:15" s="1876" customFormat="1">
      <c r="A11" s="1887"/>
      <c r="B11" s="1880">
        <v>10.553000000000001</v>
      </c>
      <c r="C11" s="1894" t="s">
        <v>2173</v>
      </c>
      <c r="D11" s="1895" t="s">
        <v>2088</v>
      </c>
      <c r="E11" s="1881" t="s">
        <v>2089</v>
      </c>
      <c r="F11" s="1897">
        <v>37126</v>
      </c>
      <c r="G11" s="1898">
        <v>8021</v>
      </c>
      <c r="H11" s="1898">
        <v>37126</v>
      </c>
      <c r="I11" s="1898">
        <v>0</v>
      </c>
      <c r="J11" s="1896">
        <v>8021</v>
      </c>
      <c r="K11" s="1896">
        <v>0</v>
      </c>
      <c r="L11" s="1896"/>
      <c r="M11" s="1896">
        <f t="shared" ref="M11:M22" si="0">G11-J11-L11</f>
        <v>0</v>
      </c>
      <c r="N11" s="1899" t="s">
        <v>2066</v>
      </c>
      <c r="O11" s="1900" t="s">
        <v>2085</v>
      </c>
    </row>
    <row r="12" spans="1:15" s="1876" customFormat="1">
      <c r="A12" s="1887"/>
      <c r="B12" s="1880">
        <v>10.553000000000001</v>
      </c>
      <c r="C12" s="1894" t="s">
        <v>2173</v>
      </c>
      <c r="D12" s="1895" t="s">
        <v>2131</v>
      </c>
      <c r="E12" s="1881" t="s">
        <v>2132</v>
      </c>
      <c r="F12" s="1897">
        <v>0</v>
      </c>
      <c r="G12" s="1896">
        <v>52519</v>
      </c>
      <c r="H12" s="1897">
        <v>0</v>
      </c>
      <c r="I12" s="1897">
        <v>0</v>
      </c>
      <c r="J12" s="1896">
        <v>52519</v>
      </c>
      <c r="K12" s="1896">
        <v>0</v>
      </c>
      <c r="L12" s="1896"/>
      <c r="M12" s="1896">
        <f t="shared" si="0"/>
        <v>0</v>
      </c>
      <c r="N12" s="1899" t="s">
        <v>2066</v>
      </c>
      <c r="O12" s="1900" t="s">
        <v>2085</v>
      </c>
    </row>
    <row r="13" spans="1:15" s="1876" customFormat="1">
      <c r="A13" s="1880"/>
      <c r="B13" s="1880">
        <v>10.555</v>
      </c>
      <c r="C13" s="1888" t="s">
        <v>2174</v>
      </c>
      <c r="D13" s="1885" t="s">
        <v>2090</v>
      </c>
      <c r="E13" s="1881" t="s">
        <v>2066</v>
      </c>
      <c r="F13" s="1897">
        <v>23503</v>
      </c>
      <c r="G13" s="1898">
        <v>0</v>
      </c>
      <c r="H13" s="1898">
        <v>23503</v>
      </c>
      <c r="I13" s="1898">
        <v>0</v>
      </c>
      <c r="J13" s="1896">
        <v>0</v>
      </c>
      <c r="K13" s="1896">
        <v>0</v>
      </c>
      <c r="L13" s="1896"/>
      <c r="M13" s="1896">
        <f t="shared" si="0"/>
        <v>0</v>
      </c>
      <c r="N13" s="1899" t="s">
        <v>2066</v>
      </c>
      <c r="O13" s="1900" t="s">
        <v>2085</v>
      </c>
    </row>
    <row r="14" spans="1:15" s="1876" customFormat="1">
      <c r="A14" s="1880"/>
      <c r="B14" s="1880">
        <v>10.555</v>
      </c>
      <c r="C14" s="1888" t="s">
        <v>2175</v>
      </c>
      <c r="D14" s="1885" t="s">
        <v>2090</v>
      </c>
      <c r="E14" s="1881" t="s">
        <v>2066</v>
      </c>
      <c r="F14" s="1897">
        <v>10657</v>
      </c>
      <c r="G14" s="1898">
        <v>0</v>
      </c>
      <c r="H14" s="1898">
        <v>10657</v>
      </c>
      <c r="I14" s="1898">
        <v>0</v>
      </c>
      <c r="J14" s="1896">
        <v>0</v>
      </c>
      <c r="K14" s="1896">
        <v>0</v>
      </c>
      <c r="L14" s="1896"/>
      <c r="M14" s="1896">
        <f t="shared" si="0"/>
        <v>0</v>
      </c>
      <c r="N14" s="1899" t="s">
        <v>2066</v>
      </c>
      <c r="O14" s="1900" t="s">
        <v>2085</v>
      </c>
    </row>
    <row r="15" spans="1:15">
      <c r="A15" s="1880"/>
      <c r="B15" s="1880">
        <v>10.555</v>
      </c>
      <c r="C15" s="1888" t="s">
        <v>2174</v>
      </c>
      <c r="D15" s="1885" t="s">
        <v>2090</v>
      </c>
      <c r="E15" s="1881" t="s">
        <v>2066</v>
      </c>
      <c r="F15" s="1897">
        <v>0</v>
      </c>
      <c r="G15" s="1896">
        <v>31159</v>
      </c>
      <c r="H15" s="1898">
        <v>0</v>
      </c>
      <c r="I15" s="1898">
        <v>0</v>
      </c>
      <c r="J15" s="1896">
        <v>31159</v>
      </c>
      <c r="K15" s="1896">
        <v>0</v>
      </c>
      <c r="L15" s="1896"/>
      <c r="M15" s="1896">
        <f t="shared" si="0"/>
        <v>0</v>
      </c>
      <c r="N15" s="1899" t="s">
        <v>2066</v>
      </c>
      <c r="O15" s="1900" t="s">
        <v>2085</v>
      </c>
    </row>
    <row r="16" spans="1:15">
      <c r="A16" s="1880"/>
      <c r="B16" s="1880">
        <v>10.555</v>
      </c>
      <c r="C16" s="1888" t="s">
        <v>2175</v>
      </c>
      <c r="D16" s="1885" t="s">
        <v>2090</v>
      </c>
      <c r="E16" s="1881" t="s">
        <v>2066</v>
      </c>
      <c r="F16" s="1897">
        <v>0</v>
      </c>
      <c r="G16" s="1896">
        <v>12000</v>
      </c>
      <c r="H16" s="1898">
        <v>0</v>
      </c>
      <c r="I16" s="1898">
        <v>0</v>
      </c>
      <c r="J16" s="1896">
        <v>12000</v>
      </c>
      <c r="K16" s="1896">
        <v>0</v>
      </c>
      <c r="L16" s="1896"/>
      <c r="M16" s="1896">
        <f t="shared" si="0"/>
        <v>0</v>
      </c>
      <c r="N16" s="1899" t="s">
        <v>2066</v>
      </c>
      <c r="O16" s="1900" t="s">
        <v>2085</v>
      </c>
    </row>
    <row r="17" spans="1:15">
      <c r="A17" s="1880"/>
      <c r="B17" s="1880">
        <v>10.555</v>
      </c>
      <c r="C17" s="1888" t="s">
        <v>2176</v>
      </c>
      <c r="D17" s="1880" t="s">
        <v>2091</v>
      </c>
      <c r="E17" s="1881" t="s">
        <v>2087</v>
      </c>
      <c r="F17" s="1897">
        <v>47204</v>
      </c>
      <c r="G17" s="1898">
        <v>0</v>
      </c>
      <c r="H17" s="1898">
        <v>47204</v>
      </c>
      <c r="I17" s="1898">
        <v>0</v>
      </c>
      <c r="J17" s="1896">
        <v>0</v>
      </c>
      <c r="K17" s="1896">
        <v>0</v>
      </c>
      <c r="L17" s="1896"/>
      <c r="M17" s="1896">
        <f t="shared" si="0"/>
        <v>0</v>
      </c>
      <c r="N17" s="1899" t="s">
        <v>2066</v>
      </c>
      <c r="O17" s="1900" t="s">
        <v>2085</v>
      </c>
    </row>
    <row r="18" spans="1:15">
      <c r="A18" s="1880"/>
      <c r="B18" s="1880">
        <v>10.555</v>
      </c>
      <c r="C18" s="1888" t="s">
        <v>2176</v>
      </c>
      <c r="D18" s="1880" t="s">
        <v>2092</v>
      </c>
      <c r="E18" s="1881" t="s">
        <v>2089</v>
      </c>
      <c r="F18" s="1897">
        <v>257472</v>
      </c>
      <c r="G18" s="1898">
        <v>66938</v>
      </c>
      <c r="H18" s="1898">
        <v>257472</v>
      </c>
      <c r="I18" s="1898">
        <v>0</v>
      </c>
      <c r="J18" s="1896">
        <v>66938</v>
      </c>
      <c r="K18" s="1896">
        <v>0</v>
      </c>
      <c r="L18" s="1896"/>
      <c r="M18" s="1896">
        <f t="shared" si="0"/>
        <v>0</v>
      </c>
      <c r="N18" s="1899" t="s">
        <v>2066</v>
      </c>
      <c r="O18" s="1900" t="s">
        <v>2085</v>
      </c>
    </row>
    <row r="19" spans="1:15">
      <c r="A19" s="1880"/>
      <c r="B19" s="1880">
        <v>10.555</v>
      </c>
      <c r="C19" s="1888" t="s">
        <v>2176</v>
      </c>
      <c r="D19" s="1880" t="s">
        <v>2133</v>
      </c>
      <c r="E19" s="1881" t="s">
        <v>2132</v>
      </c>
      <c r="F19" s="1897">
        <v>0</v>
      </c>
      <c r="G19" s="1896">
        <v>358618</v>
      </c>
      <c r="H19" s="1898">
        <v>0</v>
      </c>
      <c r="I19" s="1898">
        <v>0</v>
      </c>
      <c r="J19" s="1896">
        <v>358618</v>
      </c>
      <c r="K19" s="1896">
        <v>0</v>
      </c>
      <c r="L19" s="1896"/>
      <c r="M19" s="1896">
        <f t="shared" si="0"/>
        <v>0</v>
      </c>
      <c r="N19" s="1899" t="s">
        <v>2066</v>
      </c>
      <c r="O19" s="1900" t="s">
        <v>2085</v>
      </c>
    </row>
    <row r="20" spans="1:15">
      <c r="A20" s="1880"/>
      <c r="B20" s="1880">
        <v>10.555999999999999</v>
      </c>
      <c r="C20" s="1888" t="s">
        <v>2177</v>
      </c>
      <c r="D20" s="1880" t="s">
        <v>2094</v>
      </c>
      <c r="E20" s="1881" t="s">
        <v>2087</v>
      </c>
      <c r="F20" s="1897">
        <v>178</v>
      </c>
      <c r="G20" s="1898">
        <v>0</v>
      </c>
      <c r="H20" s="1898">
        <v>178</v>
      </c>
      <c r="I20" s="1898">
        <v>0</v>
      </c>
      <c r="J20" s="1896">
        <v>0</v>
      </c>
      <c r="K20" s="1896">
        <v>0</v>
      </c>
      <c r="L20" s="1896"/>
      <c r="M20" s="1896">
        <f t="shared" si="0"/>
        <v>0</v>
      </c>
      <c r="N20" s="1899" t="s">
        <v>2066</v>
      </c>
      <c r="O20" s="1900" t="s">
        <v>2085</v>
      </c>
    </row>
    <row r="21" spans="1:15">
      <c r="A21" s="1880"/>
      <c r="B21" s="1880">
        <v>10.555999999999999</v>
      </c>
      <c r="C21" s="1888" t="s">
        <v>2177</v>
      </c>
      <c r="D21" s="1880" t="s">
        <v>2095</v>
      </c>
      <c r="E21" s="1881" t="s">
        <v>2089</v>
      </c>
      <c r="F21" s="1897">
        <v>1219</v>
      </c>
      <c r="G21" s="1898">
        <v>218</v>
      </c>
      <c r="H21" s="1898">
        <v>1219</v>
      </c>
      <c r="I21" s="1898">
        <v>0</v>
      </c>
      <c r="J21" s="1896">
        <v>218</v>
      </c>
      <c r="K21" s="1896">
        <v>0</v>
      </c>
      <c r="L21" s="1896"/>
      <c r="M21" s="1896">
        <f t="shared" si="0"/>
        <v>0</v>
      </c>
      <c r="N21" s="1899" t="s">
        <v>2066</v>
      </c>
      <c r="O21" s="1900" t="s">
        <v>2085</v>
      </c>
    </row>
    <row r="22" spans="1:15">
      <c r="A22" s="1880"/>
      <c r="B22" s="1880">
        <v>10.555999999999999</v>
      </c>
      <c r="C22" s="1888" t="s">
        <v>2093</v>
      </c>
      <c r="D22" s="1880" t="s">
        <v>2134</v>
      </c>
      <c r="E22" s="1881" t="s">
        <v>2132</v>
      </c>
      <c r="F22" s="1897">
        <v>0</v>
      </c>
      <c r="G22" s="1896">
        <v>1310</v>
      </c>
      <c r="H22" s="1898">
        <v>0</v>
      </c>
      <c r="I22" s="1898">
        <v>0</v>
      </c>
      <c r="J22" s="1896">
        <v>1310</v>
      </c>
      <c r="K22" s="1896">
        <v>0</v>
      </c>
      <c r="L22" s="1896"/>
      <c r="M22" s="1896">
        <f t="shared" si="0"/>
        <v>0</v>
      </c>
      <c r="N22" s="1899" t="s">
        <v>2066</v>
      </c>
      <c r="O22" s="1900" t="s">
        <v>2085</v>
      </c>
    </row>
    <row r="23" spans="1:15" ht="13.5" thickBot="1">
      <c r="A23" s="1877" t="s">
        <v>2096</v>
      </c>
      <c r="B23" s="1876"/>
      <c r="C23" s="1876"/>
      <c r="D23" s="1876"/>
      <c r="E23" s="1876"/>
      <c r="F23" s="1901">
        <f>SUM(F10:F22)</f>
        <v>381575</v>
      </c>
      <c r="G23" s="1901">
        <f t="shared" ref="G23:M23" si="1">SUM(G10:G22)</f>
        <v>530783</v>
      </c>
      <c r="H23" s="1901">
        <f t="shared" si="1"/>
        <v>381575</v>
      </c>
      <c r="I23" s="1901">
        <f t="shared" si="1"/>
        <v>0</v>
      </c>
      <c r="J23" s="1901">
        <f t="shared" si="1"/>
        <v>530783</v>
      </c>
      <c r="K23" s="1901">
        <f t="shared" si="1"/>
        <v>0</v>
      </c>
      <c r="L23" s="1901">
        <f t="shared" si="1"/>
        <v>0</v>
      </c>
      <c r="M23" s="1901">
        <f t="shared" si="1"/>
        <v>0</v>
      </c>
      <c r="N23" s="1876"/>
    </row>
    <row r="24" spans="1:15" s="1876" customFormat="1" ht="13.5" thickTop="1">
      <c r="F24" s="1889"/>
      <c r="G24" s="1889"/>
      <c r="H24" s="1889"/>
      <c r="I24" s="1889"/>
      <c r="J24" s="1889"/>
      <c r="K24" s="1889"/>
      <c r="L24" s="1889"/>
      <c r="M24" s="1889"/>
    </row>
    <row r="25" spans="1:15" s="1876" customFormat="1">
      <c r="A25" s="1890" t="s">
        <v>2097</v>
      </c>
      <c r="B25" s="1877"/>
      <c r="C25" s="1877"/>
      <c r="D25" s="1877"/>
      <c r="E25" s="1877"/>
      <c r="F25" s="1896"/>
      <c r="G25" s="1896"/>
      <c r="H25" s="1896"/>
      <c r="I25" s="1896"/>
      <c r="J25" s="1896"/>
      <c r="K25" s="1896"/>
      <c r="L25" s="1896"/>
      <c r="M25" s="1896"/>
      <c r="N25" s="1896"/>
    </row>
    <row r="26" spans="1:15" s="1876" customFormat="1">
      <c r="A26" s="1877"/>
      <c r="B26" s="1877" t="s">
        <v>2083</v>
      </c>
      <c r="C26" s="1877"/>
      <c r="D26" s="1877"/>
      <c r="E26" s="1877"/>
      <c r="F26" s="1896"/>
      <c r="G26" s="1896"/>
      <c r="H26" s="1896"/>
      <c r="I26" s="1896"/>
      <c r="J26" s="1896"/>
      <c r="K26" s="1896"/>
      <c r="L26" s="1896"/>
      <c r="M26" s="1896"/>
      <c r="N26" s="1896"/>
    </row>
    <row r="27" spans="1:15" s="1876" customFormat="1">
      <c r="A27" s="1877"/>
      <c r="B27" s="1877"/>
      <c r="C27" s="1890" t="s">
        <v>2098</v>
      </c>
      <c r="D27" s="1877"/>
      <c r="E27" s="1877"/>
      <c r="F27" s="1896"/>
      <c r="G27" s="1896"/>
      <c r="H27" s="1896"/>
      <c r="I27" s="1896"/>
      <c r="J27" s="1896"/>
      <c r="K27" s="1896"/>
      <c r="L27" s="1896"/>
      <c r="M27" s="1896"/>
      <c r="N27" s="1896"/>
    </row>
    <row r="28" spans="1:15">
      <c r="A28" s="1877"/>
      <c r="B28" s="1893" t="s">
        <v>2099</v>
      </c>
      <c r="C28" s="1877" t="s">
        <v>2178</v>
      </c>
      <c r="D28" s="1891" t="s">
        <v>2100</v>
      </c>
      <c r="E28" s="1891" t="s">
        <v>2101</v>
      </c>
      <c r="F28" s="1896">
        <v>140889</v>
      </c>
      <c r="G28" s="1896"/>
      <c r="H28" s="1896">
        <v>30633</v>
      </c>
      <c r="I28" s="1896">
        <v>0</v>
      </c>
      <c r="J28" s="1896"/>
      <c r="K28" s="1896">
        <v>0</v>
      </c>
      <c r="L28" s="1896"/>
      <c r="M28" s="1896">
        <f t="shared" ref="M28:M31" si="2">G28-J28-L28</f>
        <v>0</v>
      </c>
      <c r="N28" s="1896">
        <v>472568</v>
      </c>
      <c r="O28" s="1900" t="s">
        <v>2085</v>
      </c>
    </row>
    <row r="29" spans="1:15">
      <c r="A29" s="1877"/>
      <c r="B29" s="1893" t="s">
        <v>2099</v>
      </c>
      <c r="C29" s="1877" t="s">
        <v>2178</v>
      </c>
      <c r="D29" s="1891" t="s">
        <v>2102</v>
      </c>
      <c r="E29" s="1891" t="s">
        <v>2103</v>
      </c>
      <c r="F29" s="1896">
        <v>244841</v>
      </c>
      <c r="G29" s="1896">
        <v>160246</v>
      </c>
      <c r="H29" s="1896">
        <v>360077</v>
      </c>
      <c r="I29" s="1896">
        <v>0</v>
      </c>
      <c r="J29" s="1896">
        <v>82428</v>
      </c>
      <c r="K29" s="1896">
        <v>0</v>
      </c>
      <c r="L29" s="1896"/>
      <c r="M29" s="1896">
        <v>0</v>
      </c>
      <c r="N29" s="1896">
        <v>442505</v>
      </c>
      <c r="O29" s="1900" t="s">
        <v>2085</v>
      </c>
    </row>
    <row r="30" spans="1:15">
      <c r="A30" s="1877"/>
      <c r="B30" s="1893" t="s">
        <v>2099</v>
      </c>
      <c r="C30" s="1877" t="s">
        <v>2178</v>
      </c>
      <c r="D30" s="1891" t="s">
        <v>2136</v>
      </c>
      <c r="E30" s="1891" t="s">
        <v>2137</v>
      </c>
      <c r="F30" s="1896"/>
      <c r="G30" s="1896">
        <v>251269</v>
      </c>
      <c r="H30" s="1896">
        <v>0</v>
      </c>
      <c r="I30" s="1896">
        <v>0</v>
      </c>
      <c r="J30" s="1896">
        <v>402690</v>
      </c>
      <c r="K30" s="1896">
        <v>0</v>
      </c>
      <c r="L30" s="1896">
        <v>50823</v>
      </c>
      <c r="M30" s="1896">
        <f t="shared" si="2"/>
        <v>-202244</v>
      </c>
      <c r="N30" s="1896">
        <v>453513</v>
      </c>
      <c r="O30" s="1900" t="s">
        <v>2085</v>
      </c>
    </row>
    <row r="31" spans="1:15" s="1875" customFormat="1">
      <c r="A31" s="1877"/>
      <c r="B31" s="1893" t="s">
        <v>2099</v>
      </c>
      <c r="C31" s="1877" t="s">
        <v>2179</v>
      </c>
      <c r="D31" s="1891" t="s">
        <v>2138</v>
      </c>
      <c r="E31" s="1891" t="s">
        <v>2137</v>
      </c>
      <c r="F31" s="1896"/>
      <c r="G31" s="1896">
        <v>27884</v>
      </c>
      <c r="H31" s="1896">
        <v>0</v>
      </c>
      <c r="I31" s="1896">
        <v>0</v>
      </c>
      <c r="J31" s="1896">
        <v>57163</v>
      </c>
      <c r="K31" s="1896">
        <v>0</v>
      </c>
      <c r="L31" s="1896"/>
      <c r="M31" s="1896">
        <f t="shared" si="2"/>
        <v>-29279</v>
      </c>
      <c r="N31" s="1896">
        <v>73895</v>
      </c>
      <c r="O31" s="1900" t="s">
        <v>2085</v>
      </c>
    </row>
    <row r="32" spans="1:15" ht="13.5" thickBot="1">
      <c r="A32" s="1877"/>
      <c r="B32" s="1877"/>
      <c r="C32" s="1877"/>
      <c r="D32" s="1877"/>
      <c r="E32" s="1877"/>
      <c r="F32" s="1902">
        <f>SUM(F28:F31)</f>
        <v>385730</v>
      </c>
      <c r="G32" s="1902">
        <f t="shared" ref="G32:M32" si="3">SUM(G28:G31)</f>
        <v>439399</v>
      </c>
      <c r="H32" s="1902">
        <f t="shared" si="3"/>
        <v>390710</v>
      </c>
      <c r="I32" s="1902">
        <f t="shared" si="3"/>
        <v>0</v>
      </c>
      <c r="J32" s="1902">
        <f t="shared" si="3"/>
        <v>542281</v>
      </c>
      <c r="K32" s="1902">
        <f t="shared" si="3"/>
        <v>0</v>
      </c>
      <c r="L32" s="1902">
        <f t="shared" si="3"/>
        <v>50823</v>
      </c>
      <c r="M32" s="1902">
        <f t="shared" si="3"/>
        <v>-231523</v>
      </c>
      <c r="N32" s="1896"/>
    </row>
    <row r="33" spans="1:18" s="1876" customFormat="1" ht="13.5" thickTop="1">
      <c r="B33" s="1877" t="s">
        <v>2083</v>
      </c>
      <c r="C33" s="1877"/>
      <c r="D33" s="1877"/>
      <c r="E33" s="1877"/>
      <c r="F33" s="1896"/>
      <c r="G33" s="1896"/>
      <c r="H33" s="1896"/>
      <c r="I33" s="1896"/>
      <c r="J33" s="1896"/>
      <c r="K33" s="1896"/>
      <c r="L33" s="1896"/>
      <c r="M33" s="1896"/>
      <c r="N33" s="1896"/>
    </row>
    <row r="34" spans="1:18">
      <c r="A34" s="1876"/>
      <c r="B34" s="1891">
        <v>84.027000000000001</v>
      </c>
      <c r="C34" s="1877" t="s">
        <v>2104</v>
      </c>
      <c r="D34" s="1891" t="s">
        <v>2105</v>
      </c>
      <c r="E34" s="1891" t="s">
        <v>2101</v>
      </c>
      <c r="F34" s="1896">
        <v>57338</v>
      </c>
      <c r="G34" s="1896">
        <v>0</v>
      </c>
      <c r="H34" s="1896">
        <v>4160</v>
      </c>
      <c r="I34" s="1896">
        <v>0</v>
      </c>
      <c r="J34" s="1896">
        <v>0</v>
      </c>
      <c r="K34" s="1896">
        <v>0</v>
      </c>
      <c r="L34" s="1896"/>
      <c r="M34" s="1896">
        <f t="shared" ref="M34:M39" si="4">G34-J34-L34</f>
        <v>0</v>
      </c>
      <c r="N34" s="1896">
        <v>174734</v>
      </c>
      <c r="P34" s="1875"/>
      <c r="Q34" s="1875"/>
      <c r="R34" s="1875"/>
    </row>
    <row r="35" spans="1:18">
      <c r="A35" s="1876"/>
      <c r="B35" s="1891">
        <v>84.027000000000001</v>
      </c>
      <c r="C35" s="1877" t="s">
        <v>2104</v>
      </c>
      <c r="D35" s="1891" t="s">
        <v>2106</v>
      </c>
      <c r="E35" s="1891" t="s">
        <v>2103</v>
      </c>
      <c r="F35" s="1896">
        <v>68313</v>
      </c>
      <c r="G35" s="1896">
        <v>28236</v>
      </c>
      <c r="H35" s="1896">
        <v>93945</v>
      </c>
      <c r="I35" s="1896">
        <v>0</v>
      </c>
      <c r="J35" s="1896">
        <v>2604</v>
      </c>
      <c r="K35" s="1896">
        <v>0</v>
      </c>
      <c r="L35" s="1896"/>
      <c r="M35" s="1896">
        <v>0</v>
      </c>
      <c r="N35" s="1896">
        <v>105676</v>
      </c>
      <c r="P35" s="1875"/>
      <c r="Q35" s="1875"/>
      <c r="R35" s="1875"/>
    </row>
    <row r="36" spans="1:18">
      <c r="A36" s="1876"/>
      <c r="B36" s="1891">
        <v>84.027000000000001</v>
      </c>
      <c r="C36" s="1877" t="s">
        <v>2104</v>
      </c>
      <c r="D36" s="1891" t="s">
        <v>2139</v>
      </c>
      <c r="E36" s="1891" t="s">
        <v>2137</v>
      </c>
      <c r="F36" s="1896">
        <v>0</v>
      </c>
      <c r="G36" s="1896">
        <v>60983</v>
      </c>
      <c r="H36" s="1896">
        <v>0</v>
      </c>
      <c r="I36" s="1896">
        <v>0</v>
      </c>
      <c r="J36" s="1896">
        <v>82943</v>
      </c>
      <c r="K36" s="1896">
        <v>0</v>
      </c>
      <c r="L36" s="1896"/>
      <c r="M36" s="1896">
        <f t="shared" si="4"/>
        <v>-21960</v>
      </c>
      <c r="N36" s="1896">
        <v>106455</v>
      </c>
      <c r="P36" s="1875"/>
      <c r="Q36" s="1875"/>
      <c r="R36" s="1875"/>
    </row>
    <row r="37" spans="1:18">
      <c r="A37" s="1876"/>
      <c r="B37" s="1891">
        <v>84.173000000000002</v>
      </c>
      <c r="C37" s="1877" t="s">
        <v>2107</v>
      </c>
      <c r="D37" s="1891" t="s">
        <v>2108</v>
      </c>
      <c r="E37" s="1891" t="s">
        <v>2101</v>
      </c>
      <c r="F37" s="1896">
        <v>2557</v>
      </c>
      <c r="G37" s="1896">
        <v>0</v>
      </c>
      <c r="H37" s="1896">
        <v>0</v>
      </c>
      <c r="I37" s="1896">
        <v>0</v>
      </c>
      <c r="J37" s="1896">
        <v>0</v>
      </c>
      <c r="K37" s="1896">
        <v>0</v>
      </c>
      <c r="L37" s="1896"/>
      <c r="M37" s="1896">
        <f t="shared" si="4"/>
        <v>0</v>
      </c>
      <c r="N37" s="1896">
        <v>18291</v>
      </c>
      <c r="P37" s="1875"/>
      <c r="Q37" s="1875"/>
      <c r="R37" s="1875"/>
    </row>
    <row r="38" spans="1:18">
      <c r="A38" s="1876"/>
      <c r="B38" s="1891">
        <v>84.173000000000002</v>
      </c>
      <c r="C38" s="1877" t="s">
        <v>2107</v>
      </c>
      <c r="D38" s="1891" t="s">
        <v>2109</v>
      </c>
      <c r="E38" s="1891" t="s">
        <v>2103</v>
      </c>
      <c r="F38" s="1896">
        <v>14228</v>
      </c>
      <c r="G38" s="1896">
        <v>4029</v>
      </c>
      <c r="H38" s="1896">
        <v>18257</v>
      </c>
      <c r="I38" s="1896">
        <v>0</v>
      </c>
      <c r="J38" s="1896">
        <v>0</v>
      </c>
      <c r="K38" s="1896">
        <v>0</v>
      </c>
      <c r="L38" s="1896"/>
      <c r="M38" s="1896">
        <v>0</v>
      </c>
      <c r="N38" s="1896">
        <v>18750</v>
      </c>
      <c r="P38" s="1875"/>
      <c r="Q38" s="1875"/>
      <c r="R38" s="1875"/>
    </row>
    <row r="39" spans="1:18" s="1875" customFormat="1">
      <c r="A39" s="1876"/>
      <c r="B39" s="1891">
        <v>84.173000000000002</v>
      </c>
      <c r="C39" s="1877" t="s">
        <v>2107</v>
      </c>
      <c r="D39" s="1891" t="s">
        <v>2140</v>
      </c>
      <c r="E39" s="1891" t="s">
        <v>2137</v>
      </c>
      <c r="F39" s="1896">
        <v>0</v>
      </c>
      <c r="G39" s="1896">
        <v>15132</v>
      </c>
      <c r="H39" s="1896">
        <v>0</v>
      </c>
      <c r="I39" s="1896">
        <v>0</v>
      </c>
      <c r="J39" s="1896">
        <v>18750</v>
      </c>
      <c r="K39" s="1896">
        <v>0</v>
      </c>
      <c r="L39" s="1896"/>
      <c r="M39" s="1896">
        <f t="shared" si="4"/>
        <v>-3618</v>
      </c>
      <c r="N39" s="1896">
        <v>18750</v>
      </c>
      <c r="O39" s="1876"/>
    </row>
    <row r="40" spans="1:18" ht="13.5" thickBot="1">
      <c r="A40" s="1876"/>
      <c r="B40" s="1877"/>
      <c r="C40" s="1877"/>
      <c r="D40" s="1877"/>
      <c r="E40" s="1877"/>
      <c r="F40" s="1902">
        <f t="shared" ref="F40:K40" si="5">SUM(F34:F39)</f>
        <v>142436</v>
      </c>
      <c r="G40" s="1902">
        <f t="shared" si="5"/>
        <v>108380</v>
      </c>
      <c r="H40" s="1902">
        <f t="shared" si="5"/>
        <v>116362</v>
      </c>
      <c r="I40" s="1902">
        <f t="shared" si="5"/>
        <v>0</v>
      </c>
      <c r="J40" s="1902">
        <f t="shared" si="5"/>
        <v>104297</v>
      </c>
      <c r="K40" s="1902">
        <f t="shared" si="5"/>
        <v>0</v>
      </c>
      <c r="L40" s="1902">
        <f t="shared" ref="L40" si="6">SUM(L34:L38)</f>
        <v>0</v>
      </c>
      <c r="M40" s="1902">
        <f>SUM(M34:M39)</f>
        <v>-25578</v>
      </c>
      <c r="N40" s="1896"/>
      <c r="P40" s="1875"/>
      <c r="Q40" s="1875"/>
      <c r="R40" s="1875"/>
    </row>
    <row r="41" spans="1:18" s="1876" customFormat="1" ht="13.5" thickTop="1">
      <c r="B41" s="1877" t="s">
        <v>2083</v>
      </c>
      <c r="C41" s="1877"/>
      <c r="D41" s="1877"/>
      <c r="E41" s="1877"/>
      <c r="F41" s="1896"/>
      <c r="G41" s="1896"/>
      <c r="H41" s="1896"/>
      <c r="I41" s="1896"/>
      <c r="J41" s="1896"/>
      <c r="K41" s="1896"/>
      <c r="L41" s="1896"/>
      <c r="M41" s="1896"/>
      <c r="N41" s="1896"/>
    </row>
    <row r="42" spans="1:18">
      <c r="A42" s="1876"/>
      <c r="B42" s="1891">
        <v>84.287000000000006</v>
      </c>
      <c r="C42" s="1877" t="s">
        <v>1432</v>
      </c>
      <c r="D42" s="1891" t="s">
        <v>2110</v>
      </c>
      <c r="E42" s="1891" t="s">
        <v>2101</v>
      </c>
      <c r="F42" s="1896">
        <v>87730</v>
      </c>
      <c r="G42" s="1896"/>
      <c r="H42" s="1896">
        <v>23817</v>
      </c>
      <c r="I42" s="1896">
        <v>0</v>
      </c>
      <c r="J42" s="1896"/>
      <c r="K42" s="1896">
        <v>0</v>
      </c>
      <c r="L42" s="1896"/>
      <c r="M42" s="1896">
        <f t="shared" ref="M42:M44" si="7">G42-J42-L42</f>
        <v>0</v>
      </c>
      <c r="N42" s="1896">
        <v>326752</v>
      </c>
      <c r="P42" s="1875"/>
      <c r="Q42" s="1875"/>
      <c r="R42" s="1875"/>
    </row>
    <row r="43" spans="1:18">
      <c r="A43" s="1876"/>
      <c r="B43" s="1891">
        <v>84.287000000000006</v>
      </c>
      <c r="C43" s="1877" t="s">
        <v>1432</v>
      </c>
      <c r="D43" s="1891" t="s">
        <v>2111</v>
      </c>
      <c r="E43" s="1891" t="s">
        <v>2103</v>
      </c>
      <c r="F43" s="1896">
        <v>223418</v>
      </c>
      <c r="G43" s="1896">
        <v>143268</v>
      </c>
      <c r="H43" s="1896">
        <v>360287</v>
      </c>
      <c r="I43" s="1896">
        <v>0</v>
      </c>
      <c r="J43" s="1896">
        <v>6399</v>
      </c>
      <c r="K43" s="1896">
        <v>0</v>
      </c>
      <c r="L43" s="1896"/>
      <c r="M43" s="1896">
        <v>0</v>
      </c>
      <c r="N43" s="1896">
        <v>435669</v>
      </c>
      <c r="P43" s="1875"/>
      <c r="Q43" s="1875"/>
      <c r="R43" s="1875"/>
    </row>
    <row r="44" spans="1:18">
      <c r="A44" s="1876"/>
      <c r="B44" s="1891">
        <v>84.287000000000006</v>
      </c>
      <c r="C44" s="1877" t="s">
        <v>1432</v>
      </c>
      <c r="D44" s="1891" t="s">
        <v>2141</v>
      </c>
      <c r="E44" s="1891" t="s">
        <v>2137</v>
      </c>
      <c r="F44" s="1896"/>
      <c r="G44" s="1896">
        <v>268533</v>
      </c>
      <c r="H44" s="1896"/>
      <c r="I44" s="1896">
        <v>0</v>
      </c>
      <c r="J44" s="1896">
        <v>268533</v>
      </c>
      <c r="K44" s="1896">
        <v>0</v>
      </c>
      <c r="L44" s="1896"/>
      <c r="M44" s="1896">
        <f t="shared" si="7"/>
        <v>0</v>
      </c>
      <c r="N44" s="1896">
        <v>435669</v>
      </c>
      <c r="P44" s="1875"/>
      <c r="Q44" s="1875"/>
      <c r="R44" s="1892"/>
    </row>
    <row r="45" spans="1:18" ht="13.5" thickBot="1">
      <c r="A45" s="1876"/>
      <c r="B45" s="1877"/>
      <c r="C45" s="1877"/>
      <c r="D45" s="1877"/>
      <c r="E45" s="1877"/>
      <c r="F45" s="1902">
        <f>SUM(F42:F44)</f>
        <v>311148</v>
      </c>
      <c r="G45" s="1902">
        <f t="shared" ref="G45:M45" si="8">SUM(G42:G44)</f>
        <v>411801</v>
      </c>
      <c r="H45" s="1902">
        <f t="shared" si="8"/>
        <v>384104</v>
      </c>
      <c r="I45" s="1902">
        <f t="shared" si="8"/>
        <v>0</v>
      </c>
      <c r="J45" s="1902">
        <f t="shared" si="8"/>
        <v>274932</v>
      </c>
      <c r="K45" s="1902">
        <f t="shared" si="8"/>
        <v>0</v>
      </c>
      <c r="L45" s="1902">
        <f t="shared" si="8"/>
        <v>0</v>
      </c>
      <c r="M45" s="1902">
        <f t="shared" si="8"/>
        <v>0</v>
      </c>
      <c r="N45" s="1896"/>
      <c r="P45" s="1875"/>
      <c r="Q45" s="1875"/>
      <c r="R45" s="1875"/>
    </row>
    <row r="46" spans="1:18" s="1876" customFormat="1" ht="13.5" thickTop="1">
      <c r="B46" s="1877" t="s">
        <v>2083</v>
      </c>
      <c r="C46" s="1877"/>
      <c r="D46" s="1877"/>
      <c r="E46" s="1877"/>
      <c r="F46" s="1896"/>
      <c r="G46" s="1896"/>
      <c r="H46" s="1896"/>
      <c r="I46" s="1896"/>
      <c r="J46" s="1896"/>
      <c r="K46" s="1896"/>
      <c r="L46" s="1896"/>
      <c r="M46" s="1896"/>
      <c r="N46" s="1896"/>
    </row>
    <row r="47" spans="1:18">
      <c r="A47" s="1876"/>
      <c r="B47" s="1891">
        <v>84.367000000000004</v>
      </c>
      <c r="C47" s="1877" t="s">
        <v>758</v>
      </c>
      <c r="D47" s="1891" t="s">
        <v>2112</v>
      </c>
      <c r="E47" s="1891" t="s">
        <v>2101</v>
      </c>
      <c r="F47" s="1896">
        <v>14100</v>
      </c>
      <c r="G47" s="1896"/>
      <c r="H47" s="1896"/>
      <c r="I47" s="1896">
        <v>0</v>
      </c>
      <c r="J47" s="1896"/>
      <c r="K47" s="1896">
        <v>0</v>
      </c>
      <c r="L47" s="1896"/>
      <c r="M47" s="1896">
        <f t="shared" ref="M47:M49" si="9">G47-J47-L47</f>
        <v>0</v>
      </c>
      <c r="N47" s="1896">
        <v>62632</v>
      </c>
      <c r="P47" s="1875"/>
      <c r="Q47" s="1875"/>
      <c r="R47" s="1875"/>
    </row>
    <row r="48" spans="1:18">
      <c r="A48" s="1876"/>
      <c r="B48" s="1891">
        <v>84.367000000000004</v>
      </c>
      <c r="C48" s="1877" t="s">
        <v>758</v>
      </c>
      <c r="D48" s="1891" t="s">
        <v>2113</v>
      </c>
      <c r="E48" s="1891" t="s">
        <v>2103</v>
      </c>
      <c r="F48" s="1896">
        <v>50241</v>
      </c>
      <c r="G48" s="1896">
        <v>3479</v>
      </c>
      <c r="H48" s="1896">
        <v>53720</v>
      </c>
      <c r="I48" s="1896">
        <v>0</v>
      </c>
      <c r="J48" s="1896"/>
      <c r="K48" s="1896">
        <v>0</v>
      </c>
      <c r="L48" s="1896"/>
      <c r="M48" s="1896">
        <v>0</v>
      </c>
      <c r="N48" s="1896">
        <v>53720</v>
      </c>
      <c r="P48" s="1876"/>
      <c r="Q48" s="1875"/>
      <c r="R48" s="1875"/>
    </row>
    <row r="49" spans="1:18">
      <c r="A49" s="1876"/>
      <c r="B49" s="1891">
        <v>84.367000000000004</v>
      </c>
      <c r="C49" s="1877" t="s">
        <v>758</v>
      </c>
      <c r="D49" s="1891" t="s">
        <v>2142</v>
      </c>
      <c r="E49" s="1891" t="s">
        <v>2137</v>
      </c>
      <c r="F49" s="1896"/>
      <c r="G49" s="1896">
        <v>29203</v>
      </c>
      <c r="H49" s="1896"/>
      <c r="I49" s="1896">
        <v>0</v>
      </c>
      <c r="J49" s="1896">
        <v>41719</v>
      </c>
      <c r="K49" s="1896">
        <v>0</v>
      </c>
      <c r="L49" s="1896"/>
      <c r="M49" s="1896">
        <f t="shared" si="9"/>
        <v>-12516</v>
      </c>
      <c r="N49" s="1896">
        <v>55435</v>
      </c>
      <c r="P49" s="1876"/>
      <c r="Q49" s="1875"/>
      <c r="R49" s="1875"/>
    </row>
    <row r="50" spans="1:18" ht="13.5" thickBot="1">
      <c r="A50" s="1876"/>
      <c r="B50" s="1877"/>
      <c r="C50" s="1877"/>
      <c r="D50" s="1877"/>
      <c r="E50" s="1877"/>
      <c r="F50" s="1902">
        <f>SUM(F47:F49)</f>
        <v>64341</v>
      </c>
      <c r="G50" s="1902">
        <f t="shared" ref="G50:M50" si="10">SUM(G47:G49)</f>
        <v>32682</v>
      </c>
      <c r="H50" s="1902">
        <f t="shared" si="10"/>
        <v>53720</v>
      </c>
      <c r="I50" s="1902">
        <f t="shared" si="10"/>
        <v>0</v>
      </c>
      <c r="J50" s="1902">
        <f t="shared" si="10"/>
        <v>41719</v>
      </c>
      <c r="K50" s="1902">
        <f t="shared" si="10"/>
        <v>0</v>
      </c>
      <c r="L50" s="1902">
        <f t="shared" si="10"/>
        <v>0</v>
      </c>
      <c r="M50" s="1902">
        <f t="shared" si="10"/>
        <v>-12516</v>
      </c>
      <c r="N50" s="1896"/>
      <c r="P50" s="1876"/>
      <c r="Q50" s="1875"/>
      <c r="R50" s="1875"/>
    </row>
    <row r="51" spans="1:18" s="1875" customFormat="1" ht="13.5" thickTop="1">
      <c r="A51" s="1876"/>
      <c r="B51" s="1877"/>
      <c r="C51" s="1877"/>
      <c r="D51" s="1877"/>
      <c r="E51" s="1877"/>
      <c r="F51" s="1958"/>
      <c r="G51" s="1958"/>
      <c r="H51" s="1958"/>
      <c r="I51" s="1958"/>
      <c r="J51" s="1958"/>
      <c r="K51" s="1958"/>
      <c r="L51" s="1958"/>
      <c r="M51" s="1958"/>
      <c r="N51" s="1896"/>
      <c r="O51" s="1876"/>
      <c r="P51" s="1876"/>
    </row>
    <row r="52" spans="1:18" s="1876" customFormat="1">
      <c r="B52" s="1877" t="s">
        <v>2083</v>
      </c>
      <c r="C52" s="1877"/>
      <c r="D52" s="1877"/>
      <c r="E52" s="1877"/>
      <c r="F52" s="1896"/>
      <c r="G52" s="1896"/>
      <c r="H52" s="1896"/>
      <c r="I52" s="1896"/>
      <c r="J52" s="1896"/>
      <c r="K52" s="1896"/>
      <c r="L52" s="1896"/>
      <c r="M52" s="1896"/>
      <c r="N52" s="1896"/>
    </row>
    <row r="53" spans="1:18">
      <c r="A53" s="1876"/>
      <c r="B53" s="1891">
        <v>84.364999999999995</v>
      </c>
      <c r="C53" s="1877" t="s">
        <v>2116</v>
      </c>
      <c r="D53" s="1891" t="s">
        <v>2117</v>
      </c>
      <c r="E53" s="1891" t="s">
        <v>2118</v>
      </c>
      <c r="F53" s="1896">
        <v>25361</v>
      </c>
      <c r="G53" s="1896">
        <v>0</v>
      </c>
      <c r="H53" s="1896">
        <v>12919</v>
      </c>
      <c r="I53" s="1896">
        <v>0</v>
      </c>
      <c r="J53" s="1896">
        <v>0</v>
      </c>
      <c r="K53" s="1896">
        <v>0</v>
      </c>
      <c r="L53" s="1896"/>
      <c r="M53" s="1896">
        <v>0</v>
      </c>
      <c r="N53" s="1896">
        <v>58694</v>
      </c>
      <c r="P53" s="1875"/>
    </row>
    <row r="54" spans="1:18">
      <c r="A54" s="1876"/>
      <c r="B54" s="1891">
        <v>84.364999999999995</v>
      </c>
      <c r="C54" s="1877" t="s">
        <v>2116</v>
      </c>
      <c r="D54" s="1891" t="s">
        <v>2119</v>
      </c>
      <c r="E54" s="1891" t="s">
        <v>2120</v>
      </c>
      <c r="F54" s="1896">
        <v>21398</v>
      </c>
      <c r="G54" s="1896">
        <v>15073</v>
      </c>
      <c r="H54" s="1896">
        <v>30216</v>
      </c>
      <c r="I54" s="1896">
        <v>0</v>
      </c>
      <c r="J54" s="1896">
        <v>6255</v>
      </c>
      <c r="K54" s="1896">
        <v>0</v>
      </c>
      <c r="L54" s="1896"/>
      <c r="M54" s="1896">
        <v>0</v>
      </c>
      <c r="N54" s="1896">
        <v>39275</v>
      </c>
      <c r="P54" s="1875"/>
    </row>
    <row r="55" spans="1:18">
      <c r="A55" s="1876"/>
      <c r="B55" s="1891">
        <v>84.364999999999995</v>
      </c>
      <c r="C55" s="1877" t="s">
        <v>2116</v>
      </c>
      <c r="D55" s="1891" t="s">
        <v>2143</v>
      </c>
      <c r="E55" s="1891" t="s">
        <v>2144</v>
      </c>
      <c r="F55" s="1896">
        <v>0</v>
      </c>
      <c r="G55" s="1896">
        <v>21614</v>
      </c>
      <c r="H55" s="1896">
        <v>0</v>
      </c>
      <c r="I55" s="1896">
        <v>0</v>
      </c>
      <c r="J55" s="1896">
        <v>31765</v>
      </c>
      <c r="K55" s="1896">
        <v>0</v>
      </c>
      <c r="L55" s="1896"/>
      <c r="M55" s="1896">
        <f t="shared" ref="M55" si="11">G55-J55-L55</f>
        <v>-10151</v>
      </c>
      <c r="N55" s="1896">
        <v>36900</v>
      </c>
      <c r="P55" s="1875"/>
    </row>
    <row r="56" spans="1:18" ht="13.5" thickBot="1">
      <c r="A56" s="1876"/>
      <c r="B56" s="1877"/>
      <c r="C56" s="1877"/>
      <c r="D56" s="1877"/>
      <c r="E56" s="1877"/>
      <c r="F56" s="1902">
        <f>SUM(F53:F55)</f>
        <v>46759</v>
      </c>
      <c r="G56" s="1902">
        <f t="shared" ref="G56:M56" si="12">SUM(G53:G55)</f>
        <v>36687</v>
      </c>
      <c r="H56" s="1902">
        <f t="shared" si="12"/>
        <v>43135</v>
      </c>
      <c r="I56" s="1902">
        <f t="shared" si="12"/>
        <v>0</v>
      </c>
      <c r="J56" s="1902">
        <f t="shared" si="12"/>
        <v>38020</v>
      </c>
      <c r="K56" s="1902">
        <f t="shared" si="12"/>
        <v>0</v>
      </c>
      <c r="L56" s="1902">
        <f t="shared" si="12"/>
        <v>0</v>
      </c>
      <c r="M56" s="1902">
        <f t="shared" si="12"/>
        <v>-10151</v>
      </c>
      <c r="N56" s="1896"/>
      <c r="P56" s="1875"/>
    </row>
    <row r="57" spans="1:18" s="1876" customFormat="1" ht="13.5" thickTop="1">
      <c r="B57" s="1877" t="s">
        <v>2083</v>
      </c>
      <c r="C57" s="1877"/>
      <c r="D57" s="1877"/>
      <c r="E57" s="1877"/>
      <c r="F57" s="1896"/>
      <c r="G57" s="1896"/>
      <c r="H57" s="1896"/>
      <c r="I57" s="1896"/>
      <c r="J57" s="1896"/>
      <c r="K57" s="1896"/>
      <c r="L57" s="1896"/>
      <c r="M57" s="1896"/>
      <c r="N57" s="1896"/>
    </row>
    <row r="58" spans="1:18" s="1876" customFormat="1" ht="13.5" thickBot="1">
      <c r="B58" s="1891">
        <v>84.358000000000004</v>
      </c>
      <c r="C58" s="1877" t="s">
        <v>2114</v>
      </c>
      <c r="D58" s="1891" t="s">
        <v>2115</v>
      </c>
      <c r="E58" s="1891" t="s">
        <v>2145</v>
      </c>
      <c r="F58" s="1903">
        <v>500</v>
      </c>
      <c r="G58" s="1903">
        <v>0</v>
      </c>
      <c r="H58" s="1903">
        <v>0</v>
      </c>
      <c r="I58" s="1903">
        <v>0</v>
      </c>
      <c r="J58" s="1903">
        <v>0</v>
      </c>
      <c r="K58" s="1903">
        <v>0</v>
      </c>
      <c r="L58" s="1903">
        <v>0</v>
      </c>
      <c r="M58" s="1903">
        <v>0</v>
      </c>
      <c r="N58" s="1896">
        <v>500</v>
      </c>
    </row>
    <row r="59" spans="1:18" s="1876" customFormat="1" ht="13.5" thickTop="1">
      <c r="N59" s="1896"/>
    </row>
    <row r="60" spans="1:18" s="1876" customFormat="1">
      <c r="A60" s="1890" t="s">
        <v>2121</v>
      </c>
      <c r="E60" s="1890" t="s">
        <v>156</v>
      </c>
      <c r="F60" s="1896">
        <f>FF32+F40+F45+F50+F56+F58+F32</f>
        <v>950914</v>
      </c>
      <c r="G60" s="1896">
        <f t="shared" ref="G60:M60" si="13">FG32+G40+G45+G50+G56+G58+G32</f>
        <v>1028949</v>
      </c>
      <c r="H60" s="1896">
        <f t="shared" si="13"/>
        <v>988031</v>
      </c>
      <c r="I60" s="1896">
        <f t="shared" si="13"/>
        <v>0</v>
      </c>
      <c r="J60" s="1896">
        <f t="shared" si="13"/>
        <v>1001249</v>
      </c>
      <c r="K60" s="1896">
        <f t="shared" si="13"/>
        <v>0</v>
      </c>
      <c r="L60" s="1896">
        <f t="shared" si="13"/>
        <v>50823</v>
      </c>
      <c r="M60" s="1896">
        <f t="shared" si="13"/>
        <v>-279768</v>
      </c>
      <c r="N60" s="1896"/>
    </row>
    <row r="61" spans="1:18" s="1876" customFormat="1">
      <c r="F61" s="1896"/>
      <c r="G61" s="1896"/>
      <c r="H61" s="1896"/>
      <c r="I61" s="1896"/>
      <c r="J61" s="1896"/>
      <c r="K61" s="1896"/>
      <c r="L61" s="1896"/>
      <c r="M61" s="1896"/>
      <c r="N61" s="1896"/>
    </row>
    <row r="62" spans="1:18" s="1876" customFormat="1">
      <c r="A62" s="1890" t="s">
        <v>2122</v>
      </c>
      <c r="B62" s="1877"/>
      <c r="C62" s="1877"/>
      <c r="D62" s="1877"/>
      <c r="E62" s="1877"/>
      <c r="F62" s="1896"/>
      <c r="G62" s="1896"/>
      <c r="H62" s="1896"/>
      <c r="I62" s="1896"/>
      <c r="J62" s="1896"/>
      <c r="K62" s="1896"/>
      <c r="L62" s="1896"/>
      <c r="M62" s="1896"/>
      <c r="N62" s="1896"/>
    </row>
    <row r="63" spans="1:18">
      <c r="A63" s="1877"/>
      <c r="B63" s="1877" t="s">
        <v>2123</v>
      </c>
      <c r="C63" s="1877"/>
      <c r="D63" s="1877"/>
      <c r="E63" s="1877"/>
      <c r="F63" s="1896"/>
      <c r="G63" s="1896"/>
      <c r="H63" s="1896"/>
      <c r="I63" s="1896"/>
      <c r="J63" s="1896"/>
      <c r="K63" s="1896"/>
      <c r="L63" s="1896"/>
      <c r="M63" s="1896"/>
    </row>
    <row r="64" spans="1:18">
      <c r="A64" s="1877"/>
      <c r="B64" s="1877"/>
      <c r="C64" s="1890" t="s">
        <v>2124</v>
      </c>
      <c r="D64" s="1877"/>
      <c r="E64" s="1877"/>
      <c r="F64" s="1896"/>
      <c r="G64" s="1896"/>
      <c r="H64" s="1896"/>
      <c r="I64" s="1896"/>
      <c r="J64" s="1896"/>
      <c r="K64" s="1896"/>
      <c r="L64" s="1896"/>
      <c r="M64" s="1896"/>
    </row>
    <row r="65" spans="1:14">
      <c r="A65" s="1891">
        <v>10.4992</v>
      </c>
      <c r="B65" s="1891">
        <v>93.778000000000006</v>
      </c>
      <c r="C65" s="1877" t="s">
        <v>2125</v>
      </c>
      <c r="D65" s="1891" t="s">
        <v>2127</v>
      </c>
      <c r="E65" s="1891" t="s">
        <v>2126</v>
      </c>
      <c r="F65" s="1896">
        <v>3584</v>
      </c>
      <c r="G65" s="1896">
        <v>0</v>
      </c>
      <c r="H65" s="1896">
        <v>0</v>
      </c>
      <c r="I65" s="1896">
        <v>0</v>
      </c>
      <c r="J65" s="1896">
        <v>0</v>
      </c>
      <c r="K65" s="1896">
        <v>0</v>
      </c>
      <c r="L65" s="1896"/>
      <c r="M65" s="1896">
        <f t="shared" ref="M65:M67" si="14">G65-J65-L65</f>
        <v>0</v>
      </c>
      <c r="N65" s="1905" t="s">
        <v>2053</v>
      </c>
    </row>
    <row r="66" spans="1:14">
      <c r="A66" s="1891">
        <v>10.4992</v>
      </c>
      <c r="B66" s="1891">
        <v>93.778000000000006</v>
      </c>
      <c r="C66" s="1877" t="s">
        <v>2125</v>
      </c>
      <c r="D66" s="1891" t="s">
        <v>2128</v>
      </c>
      <c r="E66" s="1891" t="s">
        <v>2126</v>
      </c>
      <c r="F66" s="1896">
        <v>12238</v>
      </c>
      <c r="G66" s="1896">
        <v>5301</v>
      </c>
      <c r="H66" s="1896">
        <v>17539</v>
      </c>
      <c r="I66" s="1896">
        <v>0</v>
      </c>
      <c r="J66" s="1896">
        <v>0</v>
      </c>
      <c r="K66" s="1896">
        <v>0</v>
      </c>
      <c r="L66" s="1896"/>
      <c r="M66" s="1896">
        <v>0</v>
      </c>
      <c r="N66" s="1905" t="s">
        <v>2053</v>
      </c>
    </row>
    <row r="67" spans="1:14" s="1876" customFormat="1">
      <c r="A67" s="1891">
        <v>10.4992</v>
      </c>
      <c r="B67" s="1891">
        <v>93.778000000000006</v>
      </c>
      <c r="C67" s="1877" t="s">
        <v>2125</v>
      </c>
      <c r="D67" s="1891" t="s">
        <v>2146</v>
      </c>
      <c r="E67" s="1891" t="s">
        <v>2126</v>
      </c>
      <c r="F67" s="1896">
        <v>0</v>
      </c>
      <c r="G67" s="1896">
        <v>7105</v>
      </c>
      <c r="H67" s="1896">
        <v>0</v>
      </c>
      <c r="I67" s="1896">
        <v>0</v>
      </c>
      <c r="J67" s="1896">
        <v>17962</v>
      </c>
      <c r="K67" s="1896">
        <v>0</v>
      </c>
      <c r="L67" s="1896"/>
      <c r="M67" s="1896">
        <f t="shared" si="14"/>
        <v>-10857</v>
      </c>
      <c r="N67" s="1905" t="s">
        <v>2053</v>
      </c>
    </row>
    <row r="68" spans="1:14" s="1876" customFormat="1">
      <c r="A68" s="1904"/>
      <c r="B68" s="1904"/>
      <c r="C68" s="1904"/>
      <c r="D68" s="1904"/>
      <c r="E68" s="1904"/>
      <c r="F68" s="1906">
        <f>SUM(F65:F67)</f>
        <v>15822</v>
      </c>
      <c r="G68" s="1906">
        <f t="shared" ref="G68:M68" si="15">SUM(G65:G67)</f>
        <v>12406</v>
      </c>
      <c r="H68" s="1906">
        <f t="shared" si="15"/>
        <v>17539</v>
      </c>
      <c r="I68" s="1906">
        <f t="shared" si="15"/>
        <v>0</v>
      </c>
      <c r="J68" s="1906">
        <f t="shared" si="15"/>
        <v>17962</v>
      </c>
      <c r="K68" s="1906">
        <f t="shared" si="15"/>
        <v>0</v>
      </c>
      <c r="L68" s="1906">
        <f t="shared" si="15"/>
        <v>0</v>
      </c>
      <c r="M68" s="1906">
        <f t="shared" si="15"/>
        <v>-10857</v>
      </c>
      <c r="N68" s="1877"/>
    </row>
    <row r="69" spans="1:14">
      <c r="A69" s="1876"/>
      <c r="B69" s="1876"/>
      <c r="C69" s="1876"/>
      <c r="D69" s="1876"/>
      <c r="E69" s="1876"/>
      <c r="F69" s="1889"/>
      <c r="G69" s="1889"/>
      <c r="H69" s="1889"/>
      <c r="I69" s="1889"/>
      <c r="J69" s="1889"/>
      <c r="K69" s="1889"/>
      <c r="L69" s="1889"/>
      <c r="M69" s="1889"/>
      <c r="N69" s="1876"/>
    </row>
    <row r="70" spans="1:14" ht="13.5" thickBot="1">
      <c r="A70" s="1876"/>
      <c r="B70" s="1876"/>
      <c r="C70" s="1876"/>
      <c r="D70" s="1876"/>
      <c r="E70" s="1876"/>
      <c r="F70" s="1889"/>
      <c r="G70" s="1889"/>
      <c r="H70" s="1889"/>
      <c r="I70" s="1889"/>
      <c r="J70" s="1889"/>
      <c r="K70" s="1889"/>
      <c r="L70" s="1889"/>
      <c r="M70" s="1889"/>
      <c r="N70" s="1876"/>
    </row>
    <row r="71" spans="1:14" s="1876" customFormat="1" ht="13.5" thickBot="1">
      <c r="A71" s="1876" t="s">
        <v>2172</v>
      </c>
      <c r="E71" s="1890" t="s">
        <v>2129</v>
      </c>
      <c r="F71" s="1907">
        <f>F60+F68+F23</f>
        <v>1348311</v>
      </c>
      <c r="G71" s="1907">
        <f t="shared" ref="G71:M71" si="16">G60+G68+G23</f>
        <v>1572138</v>
      </c>
      <c r="H71" s="1907">
        <f t="shared" si="16"/>
        <v>1387145</v>
      </c>
      <c r="I71" s="1907">
        <f t="shared" si="16"/>
        <v>0</v>
      </c>
      <c r="J71" s="1907">
        <f t="shared" si="16"/>
        <v>1549994</v>
      </c>
      <c r="K71" s="1907">
        <f t="shared" si="16"/>
        <v>0</v>
      </c>
      <c r="L71" s="1907">
        <f t="shared" si="16"/>
        <v>50823</v>
      </c>
      <c r="M71" s="1907">
        <f t="shared" si="16"/>
        <v>-290625</v>
      </c>
    </row>
  </sheetData>
  <mergeCells count="4">
    <mergeCell ref="A1:N1"/>
    <mergeCell ref="A2:N2"/>
    <mergeCell ref="A3:N3"/>
    <mergeCell ref="B8:C8"/>
  </mergeCells>
  <pageMargins left="0.7" right="0.7" top="0.32" bottom="0.75" header="0.3" footer="0.3"/>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110" zoomScaleNormal="110" workbookViewId="0">
      <selection activeCell="L49" sqref="L49"/>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72" t="s">
        <v>1168</v>
      </c>
      <c r="B2" s="2072"/>
      <c r="C2" s="2072"/>
      <c r="D2" s="2072"/>
      <c r="E2" s="2072"/>
      <c r="F2" s="2072"/>
      <c r="G2" s="2072"/>
      <c r="H2" s="2072"/>
      <c r="I2" s="2072"/>
      <c r="J2" s="2072"/>
    </row>
    <row r="3" spans="1:11" s="181" customFormat="1" ht="17.25" customHeight="1">
      <c r="A3" s="207"/>
      <c r="B3" s="207"/>
      <c r="C3" s="208"/>
      <c r="D3" s="209"/>
      <c r="E3" s="210"/>
    </row>
    <row r="4" spans="1:11">
      <c r="A4" s="344" t="s">
        <v>1610</v>
      </c>
      <c r="B4" s="344"/>
      <c r="C4" s="344"/>
      <c r="D4" s="344"/>
      <c r="E4" s="344"/>
      <c r="F4" s="344"/>
      <c r="G4" s="344"/>
      <c r="H4" s="344"/>
      <c r="I4" s="344"/>
      <c r="J4" s="344"/>
      <c r="K4" s="344"/>
    </row>
    <row r="5" spans="1:11">
      <c r="A5" s="237" t="s">
        <v>1611</v>
      </c>
      <c r="B5" s="344"/>
      <c r="C5" s="344"/>
      <c r="D5" s="344"/>
      <c r="E5" s="344"/>
      <c r="F5" s="344"/>
      <c r="G5" s="344"/>
      <c r="H5" s="344"/>
      <c r="I5" s="344"/>
      <c r="J5" s="344"/>
      <c r="K5" s="344"/>
    </row>
    <row r="6" spans="1:11" ht="16.7"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1537</v>
      </c>
    </row>
    <row r="10" spans="1:11" s="181" customFormat="1">
      <c r="A10" s="222"/>
      <c r="B10" s="223"/>
      <c r="C10" s="224"/>
      <c r="D10" s="225" t="s">
        <v>1597</v>
      </c>
    </row>
    <row r="11" spans="1:11" s="181" customFormat="1">
      <c r="A11" s="219"/>
      <c r="B11" s="226"/>
      <c r="C11" s="227">
        <v>2</v>
      </c>
      <c r="D11" s="228" t="s">
        <v>1598</v>
      </c>
    </row>
    <row r="12" spans="1:11" s="181" customFormat="1" hidden="1">
      <c r="A12" s="219"/>
      <c r="B12" s="229"/>
      <c r="C12" s="227"/>
      <c r="D12" s="230"/>
    </row>
    <row r="13" spans="1:11" s="181" customFormat="1">
      <c r="A13" s="219"/>
      <c r="B13" s="226"/>
      <c r="C13" s="227">
        <v>3</v>
      </c>
      <c r="D13" s="228" t="s">
        <v>1599</v>
      </c>
    </row>
    <row r="14" spans="1:11" s="181" customFormat="1">
      <c r="A14" s="219"/>
      <c r="B14" s="226"/>
      <c r="C14" s="227">
        <v>4</v>
      </c>
      <c r="D14" s="228" t="s">
        <v>1600</v>
      </c>
    </row>
    <row r="15" spans="1:11" s="181" customFormat="1">
      <c r="A15" s="219"/>
      <c r="B15" s="226"/>
      <c r="C15" s="227">
        <v>5</v>
      </c>
      <c r="D15" s="231" t="s">
        <v>969</v>
      </c>
    </row>
    <row r="16" spans="1:11" s="181" customFormat="1">
      <c r="A16" s="219"/>
      <c r="B16" s="226"/>
      <c r="C16" s="227">
        <v>6</v>
      </c>
      <c r="D16" s="231" t="s">
        <v>1438</v>
      </c>
    </row>
    <row r="17" spans="1:4" s="181" customFormat="1" ht="6" hidden="1" customHeight="1">
      <c r="A17" s="219"/>
      <c r="B17" s="229"/>
      <c r="C17" s="227"/>
      <c r="D17" s="232"/>
    </row>
    <row r="18" spans="1:4" s="181" customFormat="1" ht="12" customHeight="1">
      <c r="A18" s="219"/>
      <c r="B18" s="226"/>
      <c r="C18" s="227">
        <v>7</v>
      </c>
      <c r="D18" s="231" t="s">
        <v>1437</v>
      </c>
    </row>
    <row r="19" spans="1:4" s="181" customFormat="1" hidden="1">
      <c r="A19" s="219"/>
      <c r="B19" s="229"/>
      <c r="C19" s="227"/>
      <c r="D19" s="232"/>
    </row>
    <row r="20" spans="1:4" s="181" customFormat="1">
      <c r="A20" s="219"/>
      <c r="B20" s="226"/>
      <c r="C20" s="227">
        <v>8</v>
      </c>
      <c r="D20" s="231" t="s">
        <v>1601</v>
      </c>
    </row>
    <row r="21" spans="1:4" s="181" customFormat="1">
      <c r="A21" s="219"/>
      <c r="B21" s="229"/>
      <c r="C21" s="227"/>
      <c r="D21" s="233" t="s">
        <v>1534</v>
      </c>
    </row>
    <row r="22" spans="1:4" s="181" customFormat="1">
      <c r="A22" s="219"/>
      <c r="B22" s="226"/>
      <c r="C22" s="227">
        <v>9</v>
      </c>
      <c r="D22" s="231" t="s">
        <v>1602</v>
      </c>
    </row>
    <row r="23" spans="1:4" s="181" customFormat="1">
      <c r="A23" s="219"/>
      <c r="B23" s="234"/>
      <c r="C23" s="227"/>
      <c r="D23" s="235" t="s">
        <v>1535</v>
      </c>
    </row>
    <row r="24" spans="1:4" s="181" customFormat="1">
      <c r="A24" s="219"/>
      <c r="B24" s="226"/>
      <c r="C24" s="227">
        <v>10</v>
      </c>
      <c r="D24" s="231" t="s">
        <v>1603</v>
      </c>
    </row>
    <row r="25" spans="1:4" s="181" customFormat="1">
      <c r="A25" s="219"/>
      <c r="B25" s="226"/>
      <c r="C25" s="227">
        <v>11</v>
      </c>
      <c r="D25" s="231" t="s">
        <v>1604</v>
      </c>
    </row>
    <row r="26" spans="1:4" s="181" customFormat="1">
      <c r="A26" s="219"/>
      <c r="B26" s="234"/>
      <c r="C26" s="227"/>
      <c r="D26" s="235" t="s">
        <v>1536</v>
      </c>
    </row>
    <row r="27" spans="1:4" s="181" customFormat="1">
      <c r="A27" s="219"/>
      <c r="B27" s="226"/>
      <c r="C27" s="227">
        <v>12</v>
      </c>
      <c r="D27" s="231" t="s">
        <v>1538</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1605</v>
      </c>
    </row>
    <row r="31" spans="1:4" s="181" customFormat="1">
      <c r="A31" s="219"/>
      <c r="B31" s="226"/>
      <c r="C31" s="227">
        <v>14</v>
      </c>
      <c r="D31" s="231" t="s">
        <v>1906</v>
      </c>
    </row>
    <row r="32" spans="1:4" s="181" customFormat="1">
      <c r="A32" s="219"/>
      <c r="B32" s="236"/>
      <c r="C32" s="227"/>
      <c r="D32" s="237" t="s">
        <v>1755</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86" t="s">
        <v>1606</v>
      </c>
      <c r="B35" s="2087"/>
      <c r="C35" s="2087"/>
      <c r="D35" s="2087"/>
      <c r="E35" s="2088"/>
      <c r="F35" s="2088"/>
      <c r="G35" s="2088"/>
      <c r="H35" s="2088"/>
      <c r="I35" s="2088"/>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1607</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1608</v>
      </c>
    </row>
    <row r="43" spans="1:9" s="181" customFormat="1">
      <c r="A43" s="219"/>
      <c r="B43" s="229"/>
      <c r="C43" s="227"/>
      <c r="D43" s="240" t="s">
        <v>1609</v>
      </c>
    </row>
    <row r="44" spans="1:9" s="181" customFormat="1">
      <c r="A44" s="219"/>
      <c r="B44" s="226"/>
      <c r="C44" s="227">
        <v>18</v>
      </c>
      <c r="D44" s="242" t="s">
        <v>301</v>
      </c>
    </row>
    <row r="45" spans="1:9" s="181" customFormat="1">
      <c r="A45" s="219"/>
      <c r="B45" s="229"/>
      <c r="C45" s="227"/>
      <c r="D45" s="240" t="s">
        <v>188</v>
      </c>
    </row>
    <row r="46" spans="1:9" s="181" customFormat="1" ht="16.7" customHeight="1">
      <c r="A46" s="219"/>
      <c r="B46" s="229"/>
      <c r="C46" s="227"/>
      <c r="D46" s="239"/>
    </row>
    <row r="47" spans="1:9" s="181" customFormat="1">
      <c r="A47" s="2086" t="s">
        <v>313</v>
      </c>
      <c r="B47" s="2089"/>
      <c r="C47" s="2089"/>
      <c r="D47" s="2089"/>
      <c r="E47" s="2090"/>
      <c r="F47" s="2090"/>
      <c r="G47" s="2090"/>
      <c r="H47" s="2090"/>
      <c r="I47" s="2090"/>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1612</v>
      </c>
    </row>
    <row r="51" spans="1:10">
      <c r="B51" s="244"/>
      <c r="C51" s="245">
        <v>21</v>
      </c>
      <c r="D51" s="218" t="s">
        <v>1049</v>
      </c>
    </row>
    <row r="52" spans="1:10">
      <c r="B52" s="246"/>
      <c r="C52" s="245"/>
      <c r="D52" s="240" t="s">
        <v>840</v>
      </c>
    </row>
    <row r="53" spans="1:10" s="181" customFormat="1" ht="15.75" customHeight="1">
      <c r="A53" s="219"/>
      <c r="B53" s="220"/>
      <c r="C53" s="179">
        <v>22</v>
      </c>
      <c r="D53" s="247" t="s">
        <v>1441</v>
      </c>
      <c r="E53" s="248"/>
      <c r="F53" s="249"/>
      <c r="G53" s="249" t="s">
        <v>1440</v>
      </c>
      <c r="H53" s="250"/>
      <c r="I53" s="237" t="s">
        <v>1462</v>
      </c>
    </row>
    <row r="54" spans="1:10" s="181" customFormat="1">
      <c r="A54" s="219"/>
      <c r="B54" s="220" t="s">
        <v>2031</v>
      </c>
      <c r="C54" s="179">
        <v>23</v>
      </c>
      <c r="D54" s="243" t="s">
        <v>1341</v>
      </c>
      <c r="E54" s="248"/>
      <c r="F54" s="249"/>
    </row>
    <row r="55" spans="1:10" s="181" customFormat="1">
      <c r="A55" s="214"/>
      <c r="B55" s="251"/>
      <c r="C55" s="251"/>
      <c r="D55" s="231" t="s">
        <v>1754</v>
      </c>
      <c r="E55" s="252"/>
      <c r="F55" s="252"/>
      <c r="G55" s="252"/>
      <c r="H55" s="252"/>
      <c r="I55" s="252"/>
    </row>
    <row r="56" spans="1:10" s="181" customFormat="1">
      <c r="A56" s="214"/>
      <c r="B56" s="251"/>
      <c r="E56" s="252"/>
      <c r="F56" s="252"/>
      <c r="G56" s="252"/>
      <c r="H56" s="252"/>
      <c r="I56" s="252"/>
    </row>
    <row r="57" spans="1:10" s="181" customFormat="1" ht="12.95" customHeight="1">
      <c r="A57" s="253"/>
      <c r="B57" s="2093" t="s">
        <v>2039</v>
      </c>
      <c r="C57" s="2094"/>
      <c r="D57" s="2094"/>
      <c r="E57" s="2094"/>
      <c r="F57" s="2094"/>
      <c r="G57" s="2094"/>
      <c r="H57" s="2094"/>
      <c r="I57" s="2094"/>
      <c r="J57" s="2095"/>
    </row>
    <row r="58" spans="1:10" s="181" customFormat="1">
      <c r="A58" s="253"/>
      <c r="B58" s="2096"/>
      <c r="C58" s="2097"/>
      <c r="D58" s="2097"/>
      <c r="E58" s="2097"/>
      <c r="F58" s="2097"/>
      <c r="G58" s="2097"/>
      <c r="H58" s="2097"/>
      <c r="I58" s="2097"/>
      <c r="J58" s="2098"/>
    </row>
    <row r="59" spans="1:10" s="181" customFormat="1">
      <c r="A59" s="253"/>
      <c r="B59" s="2096"/>
      <c r="C59" s="2097"/>
      <c r="D59" s="2097"/>
      <c r="E59" s="2097"/>
      <c r="F59" s="2097"/>
      <c r="G59" s="2097"/>
      <c r="H59" s="2097"/>
      <c r="I59" s="2097"/>
      <c r="J59" s="2098"/>
    </row>
    <row r="60" spans="1:10" s="181" customFormat="1">
      <c r="A60" s="253"/>
      <c r="B60" s="2096"/>
      <c r="C60" s="2097"/>
      <c r="D60" s="2097"/>
      <c r="E60" s="2097"/>
      <c r="F60" s="2097"/>
      <c r="G60" s="2097"/>
      <c r="H60" s="2097"/>
      <c r="I60" s="2097"/>
      <c r="J60" s="2098"/>
    </row>
    <row r="61" spans="1:10" s="181" customFormat="1">
      <c r="A61" s="253"/>
      <c r="B61" s="2096"/>
      <c r="C61" s="2097"/>
      <c r="D61" s="2097"/>
      <c r="E61" s="2097"/>
      <c r="F61" s="2097"/>
      <c r="G61" s="2097"/>
      <c r="H61" s="2097"/>
      <c r="I61" s="2097"/>
      <c r="J61" s="2098"/>
    </row>
    <row r="62" spans="1:10" s="181" customFormat="1">
      <c r="A62" s="253"/>
      <c r="B62" s="2096"/>
      <c r="C62" s="2097"/>
      <c r="D62" s="2097"/>
      <c r="E62" s="2097"/>
      <c r="F62" s="2097"/>
      <c r="G62" s="2097"/>
      <c r="H62" s="2097"/>
      <c r="I62" s="2097"/>
      <c r="J62" s="2098"/>
    </row>
    <row r="63" spans="1:10" s="181" customFormat="1">
      <c r="A63" s="253"/>
      <c r="B63" s="2096"/>
      <c r="C63" s="2097"/>
      <c r="D63" s="2097"/>
      <c r="E63" s="2097"/>
      <c r="F63" s="2097"/>
      <c r="G63" s="2097"/>
      <c r="H63" s="2097"/>
      <c r="I63" s="2097"/>
      <c r="J63" s="2098"/>
    </row>
    <row r="64" spans="1:10" s="181" customFormat="1">
      <c r="A64" s="253"/>
      <c r="B64" s="2096"/>
      <c r="C64" s="2097"/>
      <c r="D64" s="2097"/>
      <c r="E64" s="2097"/>
      <c r="F64" s="2097"/>
      <c r="G64" s="2097"/>
      <c r="H64" s="2097"/>
      <c r="I64" s="2097"/>
      <c r="J64" s="2098"/>
    </row>
    <row r="65" spans="1:10" s="181" customFormat="1">
      <c r="A65" s="253"/>
      <c r="B65" s="2096"/>
      <c r="C65" s="2097"/>
      <c r="D65" s="2097"/>
      <c r="E65" s="2097"/>
      <c r="F65" s="2097"/>
      <c r="G65" s="2097"/>
      <c r="H65" s="2097"/>
      <c r="I65" s="2097"/>
      <c r="J65" s="2098"/>
    </row>
    <row r="66" spans="1:10" s="181" customFormat="1">
      <c r="A66" s="253"/>
      <c r="B66" s="2096"/>
      <c r="C66" s="2097"/>
      <c r="D66" s="2097"/>
      <c r="E66" s="2097"/>
      <c r="F66" s="2097"/>
      <c r="G66" s="2097"/>
      <c r="H66" s="2097"/>
      <c r="I66" s="2097"/>
      <c r="J66" s="2098"/>
    </row>
    <row r="67" spans="1:10" s="181" customFormat="1" ht="9.1999999999999993" customHeight="1">
      <c r="A67" s="254"/>
      <c r="B67" s="2099"/>
      <c r="C67" s="2100"/>
      <c r="D67" s="2100"/>
      <c r="E67" s="2100"/>
      <c r="F67" s="2100"/>
      <c r="G67" s="2100"/>
      <c r="H67" s="2100"/>
      <c r="I67" s="2100"/>
      <c r="J67" s="2101"/>
    </row>
    <row r="68" spans="1:10" s="181" customFormat="1" ht="9.1999999999999993"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086" t="s">
        <v>1302</v>
      </c>
      <c r="B70" s="2089"/>
      <c r="C70" s="2089"/>
      <c r="D70" s="2089"/>
      <c r="E70" s="2090"/>
      <c r="F70" s="2090"/>
      <c r="G70" s="2090"/>
      <c r="H70" s="2090"/>
      <c r="I70" s="2090"/>
    </row>
    <row r="71" spans="1:10" s="181" customFormat="1">
      <c r="A71" s="219"/>
      <c r="C71" s="257"/>
      <c r="D71" s="258" t="s">
        <v>1301</v>
      </c>
      <c r="E71" s="256"/>
      <c r="F71" s="256"/>
      <c r="G71" s="256"/>
      <c r="H71" s="256"/>
    </row>
    <row r="72" spans="1:10" s="181" customFormat="1" ht="5.25" customHeight="1">
      <c r="B72" s="255"/>
      <c r="C72" s="256"/>
      <c r="D72" s="256"/>
      <c r="E72" s="256"/>
      <c r="F72" s="256"/>
      <c r="G72" s="256"/>
      <c r="H72" s="256"/>
    </row>
    <row r="73" spans="1:10" s="181" customFormat="1">
      <c r="A73" s="259" t="s">
        <v>1890</v>
      </c>
      <c r="B73" s="255"/>
      <c r="C73" s="256"/>
      <c r="D73" s="256"/>
      <c r="E73" s="256"/>
      <c r="F73" s="256"/>
      <c r="G73" s="256"/>
      <c r="H73" s="256"/>
    </row>
    <row r="74" spans="1:10" s="181" customFormat="1">
      <c r="A74" s="259" t="s">
        <v>1404</v>
      </c>
      <c r="B74" s="255"/>
      <c r="C74" s="256"/>
      <c r="D74" s="256"/>
      <c r="E74" s="256"/>
      <c r="F74" s="256"/>
      <c r="G74" s="256"/>
      <c r="H74" s="256"/>
    </row>
    <row r="75" spans="1:10" s="181" customFormat="1">
      <c r="A75" s="259" t="s">
        <v>1907</v>
      </c>
      <c r="B75" s="255"/>
      <c r="C75" s="256"/>
      <c r="D75" s="256"/>
      <c r="E75" s="256"/>
      <c r="F75" s="256"/>
      <c r="G75" s="256"/>
      <c r="H75" s="256"/>
    </row>
    <row r="76" spans="1:10" s="181" customFormat="1" ht="18.75" customHeight="1">
      <c r="A76" s="239" t="s">
        <v>1405</v>
      </c>
      <c r="B76" s="255"/>
      <c r="C76" s="256"/>
      <c r="D76" s="256"/>
      <c r="E76" s="256"/>
      <c r="F76" s="256"/>
      <c r="G76" s="256"/>
      <c r="H76" s="256"/>
    </row>
    <row r="77" spans="1:10" s="181" customFormat="1">
      <c r="C77" s="179">
        <v>24</v>
      </c>
      <c r="D77" s="247" t="s">
        <v>1620</v>
      </c>
      <c r="G77" s="297" t="s">
        <v>1865</v>
      </c>
      <c r="I77" s="1769"/>
      <c r="J77" s="261"/>
    </row>
    <row r="78" spans="1:10" s="181" customFormat="1" ht="6" customHeight="1">
      <c r="A78" s="219"/>
      <c r="B78" s="262"/>
      <c r="C78" s="179"/>
      <c r="D78" s="247"/>
      <c r="E78" s="248"/>
      <c r="F78" s="249"/>
    </row>
    <row r="79" spans="1:10" s="181" customFormat="1">
      <c r="A79" s="219"/>
      <c r="B79" s="262"/>
      <c r="C79" s="179">
        <v>25</v>
      </c>
      <c r="D79" s="247" t="s">
        <v>1618</v>
      </c>
      <c r="E79" s="248"/>
      <c r="F79" s="249"/>
    </row>
    <row r="80" spans="1:10" s="181" customFormat="1">
      <c r="A80" s="219"/>
      <c r="B80" s="262"/>
      <c r="C80" s="179"/>
      <c r="D80" s="247" t="s">
        <v>1619</v>
      </c>
      <c r="E80" s="248"/>
      <c r="F80" s="249"/>
    </row>
    <row r="81" spans="1:10" s="181" customFormat="1">
      <c r="A81" s="219"/>
      <c r="B81" s="262"/>
    </row>
    <row r="82" spans="1:10" s="181" customFormat="1" ht="12.95" customHeight="1">
      <c r="A82" s="219"/>
      <c r="B82" s="262"/>
      <c r="C82" s="247"/>
    </row>
    <row r="83" spans="1:10" s="181" customFormat="1" ht="12.95" customHeight="1" thickBot="1">
      <c r="A83" s="2091" t="s">
        <v>1299</v>
      </c>
      <c r="B83" s="2091"/>
      <c r="C83" s="2091"/>
      <c r="D83" s="2092"/>
      <c r="E83" s="263" t="s">
        <v>1336</v>
      </c>
      <c r="F83" s="263" t="s">
        <v>1337</v>
      </c>
      <c r="G83" s="263" t="s">
        <v>1338</v>
      </c>
      <c r="H83" s="263" t="s">
        <v>1339</v>
      </c>
      <c r="I83" s="263" t="s">
        <v>1340</v>
      </c>
      <c r="J83" s="264" t="s">
        <v>156</v>
      </c>
    </row>
    <row r="84" spans="1:10" s="181" customFormat="1" ht="13.5" customHeight="1" thickTop="1">
      <c r="A84" s="265" t="s">
        <v>1423</v>
      </c>
      <c r="B84" s="266"/>
      <c r="C84" s="267"/>
      <c r="D84" s="268"/>
      <c r="E84" s="269"/>
      <c r="F84" s="269"/>
      <c r="G84" s="269"/>
      <c r="H84" s="269"/>
      <c r="I84" s="269"/>
      <c r="J84" s="270"/>
    </row>
    <row r="85" spans="1:10" s="181" customFormat="1" ht="13.5" customHeight="1">
      <c r="A85" s="271" t="s">
        <v>1888</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1300</v>
      </c>
      <c r="B87" s="283"/>
      <c r="C87" s="284"/>
      <c r="D87" s="281"/>
      <c r="E87" s="269"/>
      <c r="F87" s="269"/>
      <c r="G87" s="269"/>
      <c r="H87" s="269"/>
      <c r="I87" s="269"/>
      <c r="J87" s="270"/>
    </row>
    <row r="88" spans="1:10" s="181" customFormat="1" ht="13.5" customHeight="1">
      <c r="A88" s="285" t="s">
        <v>1888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1613</v>
      </c>
      <c r="C92" s="179"/>
      <c r="E92" s="260"/>
      <c r="F92" s="296"/>
      <c r="H92" s="297"/>
    </row>
    <row r="93" spans="1:10" s="181" customFormat="1" ht="16.7" customHeight="1">
      <c r="A93" s="219"/>
      <c r="B93" s="298" t="s">
        <v>1889</v>
      </c>
      <c r="C93" s="179"/>
      <c r="E93" s="260"/>
      <c r="F93" s="296"/>
      <c r="H93" s="297"/>
    </row>
    <row r="94" spans="1:10" s="181" customFormat="1">
      <c r="A94" s="299" t="s">
        <v>1310</v>
      </c>
      <c r="B94" s="300"/>
      <c r="C94" s="300"/>
      <c r="D94" s="301"/>
      <c r="E94" s="302"/>
      <c r="F94" s="303"/>
      <c r="G94" s="304"/>
      <c r="H94" s="305"/>
      <c r="I94" s="306"/>
    </row>
    <row r="95" spans="1:10" s="181" customFormat="1">
      <c r="A95" s="307"/>
      <c r="B95" s="308" t="s">
        <v>1614</v>
      </c>
      <c r="C95" s="309"/>
      <c r="D95" s="310"/>
      <c r="E95" s="304"/>
      <c r="F95" s="304"/>
      <c r="G95" s="304"/>
      <c r="H95" s="304"/>
      <c r="I95" s="304"/>
    </row>
    <row r="96" spans="1:10" s="181" customFormat="1">
      <c r="A96" s="307" t="s">
        <v>1169</v>
      </c>
      <c r="B96" s="345" t="s">
        <v>1616</v>
      </c>
      <c r="C96" s="309"/>
      <c r="D96" s="311"/>
      <c r="E96" s="311"/>
      <c r="F96" s="311"/>
      <c r="G96" s="311"/>
      <c r="H96" s="311"/>
      <c r="I96" s="304"/>
    </row>
    <row r="97" spans="1:9" s="181" customFormat="1">
      <c r="A97" s="307"/>
      <c r="B97" s="308" t="s">
        <v>1615</v>
      </c>
      <c r="C97" s="309"/>
      <c r="D97" s="311"/>
      <c r="E97" s="311"/>
      <c r="F97" s="311"/>
      <c r="G97" s="311"/>
      <c r="H97" s="311"/>
      <c r="I97" s="304"/>
    </row>
    <row r="98" spans="1:9" s="181" customFormat="1">
      <c r="A98" s="308"/>
      <c r="B98" s="312" t="s">
        <v>1617</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73"/>
      <c r="C102" s="2074"/>
      <c r="D102" s="2074"/>
      <c r="E102" s="2074"/>
      <c r="F102" s="2074"/>
      <c r="G102" s="2074"/>
      <c r="H102" s="2074"/>
      <c r="I102" s="2075"/>
    </row>
    <row r="103" spans="1:9" s="181" customFormat="1" ht="11.25" customHeight="1">
      <c r="A103" s="316"/>
      <c r="B103" s="2076"/>
      <c r="C103" s="2077"/>
      <c r="D103" s="2077"/>
      <c r="E103" s="2077"/>
      <c r="F103" s="2077"/>
      <c r="G103" s="2077"/>
      <c r="H103" s="2077"/>
      <c r="I103" s="2078"/>
    </row>
    <row r="104" spans="1:9" s="181" customFormat="1" ht="11.25" customHeight="1">
      <c r="A104" s="316"/>
      <c r="B104" s="2076"/>
      <c r="C104" s="2077"/>
      <c r="D104" s="2077"/>
      <c r="E104" s="2077"/>
      <c r="F104" s="2077"/>
      <c r="G104" s="2077"/>
      <c r="H104" s="2077"/>
      <c r="I104" s="2078"/>
    </row>
    <row r="105" spans="1:9" s="181" customFormat="1">
      <c r="A105" s="316"/>
      <c r="B105" s="2076"/>
      <c r="C105" s="2077"/>
      <c r="D105" s="2077"/>
      <c r="E105" s="2077"/>
      <c r="F105" s="2077"/>
      <c r="G105" s="2077"/>
      <c r="H105" s="2077"/>
      <c r="I105" s="2078"/>
    </row>
    <row r="106" spans="1:9" s="181" customFormat="1" ht="11.25" customHeight="1">
      <c r="A106" s="316"/>
      <c r="B106" s="2076"/>
      <c r="C106" s="2077"/>
      <c r="D106" s="2077"/>
      <c r="E106" s="2077"/>
      <c r="F106" s="2077"/>
      <c r="G106" s="2077"/>
      <c r="H106" s="2077"/>
      <c r="I106" s="2078"/>
    </row>
    <row r="107" spans="1:9" s="181" customFormat="1" ht="11.25" customHeight="1">
      <c r="A107" s="316"/>
      <c r="B107" s="2076"/>
      <c r="C107" s="2077"/>
      <c r="D107" s="2077"/>
      <c r="E107" s="2077"/>
      <c r="F107" s="2077"/>
      <c r="G107" s="2077"/>
      <c r="H107" s="2077"/>
      <c r="I107" s="2078"/>
    </row>
    <row r="108" spans="1:9" s="181" customFormat="1" ht="11.25" customHeight="1">
      <c r="A108" s="316"/>
      <c r="B108" s="2076"/>
      <c r="C108" s="2077"/>
      <c r="D108" s="2077"/>
      <c r="E108" s="2077"/>
      <c r="F108" s="2077"/>
      <c r="G108" s="2077"/>
      <c r="H108" s="2077"/>
      <c r="I108" s="2078"/>
    </row>
    <row r="109" spans="1:9" s="181" customFormat="1" ht="11.25" customHeight="1">
      <c r="A109" s="316"/>
      <c r="B109" s="2076"/>
      <c r="C109" s="2077"/>
      <c r="D109" s="2077"/>
      <c r="E109" s="2077"/>
      <c r="F109" s="2077"/>
      <c r="G109" s="2077"/>
      <c r="H109" s="2077"/>
      <c r="I109" s="2078"/>
    </row>
    <row r="110" spans="1:9" s="181" customFormat="1" ht="11.25" customHeight="1">
      <c r="A110" s="316"/>
      <c r="B110" s="2076"/>
      <c r="C110" s="2077"/>
      <c r="D110" s="2077"/>
      <c r="E110" s="2077"/>
      <c r="F110" s="2077"/>
      <c r="G110" s="2077"/>
      <c r="H110" s="2077"/>
      <c r="I110" s="2078"/>
    </row>
    <row r="111" spans="1:9" s="181" customFormat="1" ht="11.25" customHeight="1">
      <c r="A111" s="316"/>
      <c r="B111" s="2076"/>
      <c r="C111" s="2077"/>
      <c r="D111" s="2077"/>
      <c r="E111" s="2077"/>
      <c r="F111" s="2077"/>
      <c r="G111" s="2077"/>
      <c r="H111" s="2077"/>
      <c r="I111" s="2078"/>
    </row>
    <row r="112" spans="1:9" s="181" customFormat="1" ht="11.25" customHeight="1">
      <c r="A112" s="316"/>
      <c r="B112" s="2079"/>
      <c r="C112" s="2080"/>
      <c r="D112" s="2080"/>
      <c r="E112" s="2080"/>
      <c r="F112" s="2080"/>
      <c r="G112" s="2080"/>
      <c r="H112" s="2080"/>
      <c r="I112" s="2081"/>
    </row>
    <row r="113" spans="1:9" s="181" customFormat="1" ht="11.25" customHeight="1">
      <c r="A113" s="317"/>
      <c r="B113" s="311"/>
      <c r="C113" s="311"/>
      <c r="D113" s="311"/>
      <c r="E113" s="304"/>
      <c r="F113" s="304"/>
      <c r="G113" s="304"/>
      <c r="H113" s="304"/>
      <c r="I113" s="304"/>
    </row>
    <row r="114" spans="1:9" s="181" customFormat="1" ht="18" customHeight="1">
      <c r="A114" s="316"/>
      <c r="B114" s="317"/>
      <c r="C114" s="2082" t="s">
        <v>2023</v>
      </c>
      <c r="D114" s="2082"/>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3" t="s">
        <v>1309</v>
      </c>
      <c r="D117" s="2084"/>
      <c r="E117" s="2085"/>
      <c r="F117" s="2085"/>
      <c r="G117" s="2085"/>
      <c r="H117" s="2085"/>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361</v>
      </c>
      <c r="E119" s="310"/>
      <c r="F119" s="1770" t="s">
        <v>1866</v>
      </c>
      <c r="G119" s="328"/>
      <c r="H119" s="328"/>
      <c r="I119" s="304"/>
    </row>
    <row r="120" spans="1:9">
      <c r="A120" s="329"/>
      <c r="B120" s="180"/>
      <c r="C120" s="330"/>
      <c r="D120" s="256"/>
      <c r="E120" s="256"/>
      <c r="F120" s="256"/>
      <c r="G120" s="256"/>
      <c r="H120" s="256"/>
      <c r="I120" s="304"/>
    </row>
    <row r="121" spans="1:9">
      <c r="A121" s="329"/>
      <c r="B121" s="1420" t="s">
        <v>1574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14" zoomScale="120" zoomScaleNormal="120" workbookViewId="0">
      <selection activeCell="D26" sqref="D26:F26"/>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62" t="str">
        <f>'Single Audit Cover'!A7</f>
        <v>Rochelle CCSD 231</v>
      </c>
      <c r="B1" s="2462"/>
      <c r="C1" s="2462"/>
      <c r="D1" s="2462"/>
      <c r="E1" s="2462"/>
      <c r="F1" s="2462"/>
    </row>
    <row r="2" spans="1:7" ht="13.5" customHeight="1">
      <c r="A2" s="2463">
        <f>'Single Audit Cover'!E7</f>
        <v>47071231004</v>
      </c>
      <c r="B2" s="2463"/>
      <c r="C2" s="2463"/>
      <c r="D2" s="2463"/>
      <c r="E2" s="2463"/>
      <c r="F2" s="2463"/>
      <c r="G2" s="1272"/>
    </row>
    <row r="3" spans="1:7" ht="15.75" customHeight="1">
      <c r="A3" s="2464" t="s">
        <v>1250</v>
      </c>
      <c r="B3" s="2464"/>
      <c r="C3" s="2464"/>
      <c r="D3" s="2464"/>
      <c r="E3" s="2464"/>
      <c r="F3" s="2464"/>
    </row>
    <row r="4" spans="1:7" ht="13.5" customHeight="1">
      <c r="A4" s="2465" t="str">
        <f>'Single Audit Cover'!A4</f>
        <v>Year Ending June 30, 2019</v>
      </c>
      <c r="B4" s="2465"/>
      <c r="C4" s="2465"/>
      <c r="D4" s="2465"/>
      <c r="E4" s="2465"/>
      <c r="F4" s="2465"/>
    </row>
    <row r="5" spans="1:7" ht="8.25" customHeight="1">
      <c r="C5" s="317"/>
      <c r="D5" s="317"/>
    </row>
    <row r="6" spans="1:7" ht="13.5" customHeight="1">
      <c r="A6" s="1273" t="s">
        <v>1701</v>
      </c>
      <c r="C6" s="317"/>
      <c r="D6" s="317"/>
    </row>
    <row r="7" spans="1:7" ht="60.95" customHeight="1">
      <c r="A7" s="2461" t="s">
        <v>2180</v>
      </c>
      <c r="B7" s="2461"/>
      <c r="C7" s="2461"/>
      <c r="D7" s="2461"/>
      <c r="E7" s="2461"/>
      <c r="F7" s="2461"/>
    </row>
    <row r="8" spans="1:7" ht="12" customHeight="1">
      <c r="A8" s="1273"/>
      <c r="B8" s="1279"/>
      <c r="C8" s="1279"/>
      <c r="D8" s="1279"/>
    </row>
    <row r="9" spans="1:7" ht="15" customHeight="1">
      <c r="A9" s="1274" t="s">
        <v>1702</v>
      </c>
      <c r="B9" s="1277"/>
      <c r="C9" s="1277"/>
      <c r="D9" s="1277"/>
      <c r="E9" s="1275"/>
      <c r="F9" s="1275"/>
      <c r="G9" s="1275"/>
    </row>
    <row r="10" spans="1:7" ht="15" customHeight="1">
      <c r="A10" s="1276" t="s">
        <v>1526</v>
      </c>
      <c r="B10" s="1277"/>
      <c r="C10" s="1278" t="s">
        <v>2053</v>
      </c>
      <c r="D10" s="1277" t="s">
        <v>1527</v>
      </c>
      <c r="E10" s="1278"/>
      <c r="F10" s="1277" t="s">
        <v>99</v>
      </c>
      <c r="G10" s="1275"/>
    </row>
    <row r="11" spans="1:7" ht="12" customHeight="1">
      <c r="A11" s="1276"/>
      <c r="B11" s="1277"/>
      <c r="C11" s="1833"/>
      <c r="D11" s="1277"/>
      <c r="E11" s="1833"/>
      <c r="F11" s="1277"/>
      <c r="G11" s="1275"/>
    </row>
    <row r="12" spans="1:7">
      <c r="A12" s="1273" t="s">
        <v>1560</v>
      </c>
      <c r="C12" s="1257"/>
      <c r="D12" s="1257"/>
    </row>
    <row r="13" spans="1:7" ht="15" customHeight="1">
      <c r="A13" s="2461" t="s">
        <v>2181</v>
      </c>
      <c r="B13" s="2461"/>
      <c r="C13" s="2461"/>
      <c r="D13" s="2461"/>
      <c r="E13" s="2461"/>
      <c r="F13" s="2461"/>
    </row>
    <row r="14" spans="1:7" ht="9.75" customHeight="1">
      <c r="C14" s="1257"/>
      <c r="D14" s="1257"/>
    </row>
    <row r="15" spans="1:7" ht="13.5" customHeight="1">
      <c r="C15" s="1777" t="s">
        <v>1249</v>
      </c>
      <c r="D15" s="2459" t="s">
        <v>1248</v>
      </c>
      <c r="E15" s="2459"/>
      <c r="F15" s="2459"/>
    </row>
    <row r="16" spans="1:7" ht="13.5" customHeight="1">
      <c r="A16" s="1279"/>
      <c r="B16" s="1273" t="s">
        <v>1247</v>
      </c>
      <c r="C16" s="1777" t="s">
        <v>1246</v>
      </c>
      <c r="D16" s="2460" t="s">
        <v>1561</v>
      </c>
      <c r="E16" s="2460"/>
      <c r="F16" s="2460"/>
    </row>
    <row r="17" spans="1:6" ht="20.45" customHeight="1">
      <c r="A17" s="1280"/>
      <c r="B17" s="1281"/>
      <c r="C17" s="1282"/>
      <c r="D17" s="2454"/>
      <c r="E17" s="2454"/>
      <c r="F17" s="2454"/>
    </row>
    <row r="18" spans="1:6" ht="20.85" customHeight="1">
      <c r="A18" s="1280"/>
      <c r="B18" s="1281"/>
      <c r="C18" s="1282"/>
      <c r="D18" s="2454"/>
      <c r="E18" s="2454"/>
      <c r="F18" s="2454"/>
    </row>
    <row r="19" spans="1:6" ht="20.85" customHeight="1">
      <c r="A19" s="1280"/>
      <c r="B19" s="1281"/>
      <c r="C19" s="1282"/>
      <c r="D19" s="2454"/>
      <c r="E19" s="2454"/>
      <c r="F19" s="2454"/>
    </row>
    <row r="20" spans="1:6" ht="20.85" customHeight="1">
      <c r="A20" s="1280"/>
      <c r="B20" s="1281"/>
      <c r="C20" s="1282"/>
      <c r="D20" s="2454"/>
      <c r="E20" s="2454"/>
      <c r="F20" s="2454"/>
    </row>
    <row r="21" spans="1:6" ht="20.85" customHeight="1">
      <c r="A21" s="1280"/>
      <c r="B21" s="1281"/>
      <c r="C21" s="1282"/>
      <c r="D21" s="2454"/>
      <c r="E21" s="2454"/>
      <c r="F21" s="2454"/>
    </row>
    <row r="22" spans="1:6" ht="20.85" customHeight="1">
      <c r="A22" s="1280"/>
      <c r="B22" s="1281"/>
      <c r="C22" s="1282"/>
      <c r="D22" s="2454"/>
      <c r="E22" s="2454"/>
      <c r="F22" s="2454"/>
    </row>
    <row r="23" spans="1:6" ht="20.85" customHeight="1">
      <c r="A23" s="1280"/>
      <c r="B23" s="1281"/>
      <c r="C23" s="1282"/>
      <c r="D23" s="2454"/>
      <c r="E23" s="2454"/>
      <c r="F23" s="2454"/>
    </row>
    <row r="24" spans="1:6" ht="20.85" customHeight="1">
      <c r="A24" s="1280"/>
      <c r="B24" s="1281"/>
      <c r="C24" s="1282"/>
      <c r="D24" s="2454"/>
      <c r="E24" s="2454"/>
      <c r="F24" s="2454"/>
    </row>
    <row r="25" spans="1:6" ht="20.85" customHeight="1">
      <c r="A25" s="1280"/>
      <c r="B25" s="1281"/>
      <c r="C25" s="1282"/>
      <c r="D25" s="2454"/>
      <c r="E25" s="2454"/>
      <c r="F25" s="2454"/>
    </row>
    <row r="26" spans="1:6" ht="20.85" customHeight="1">
      <c r="A26" s="1280"/>
      <c r="B26" s="1281"/>
      <c r="C26" s="1282"/>
      <c r="D26" s="2454"/>
      <c r="E26" s="2454"/>
      <c r="F26" s="2454"/>
    </row>
    <row r="27" spans="1:6" ht="20.85" customHeight="1">
      <c r="A27" s="1280"/>
      <c r="B27" s="1281"/>
      <c r="C27" s="1282"/>
      <c r="D27" s="2454"/>
      <c r="E27" s="2454"/>
      <c r="F27" s="2454"/>
    </row>
    <row r="28" spans="1:6" ht="20.85" customHeight="1">
      <c r="A28" s="1280"/>
      <c r="B28" s="1281"/>
      <c r="C28" s="1282"/>
      <c r="D28" s="2454"/>
      <c r="E28" s="2454"/>
      <c r="F28" s="2454"/>
    </row>
    <row r="29" spans="1:6" ht="20.85" customHeight="1">
      <c r="A29" s="1280"/>
      <c r="B29" s="1281"/>
      <c r="C29" s="1282"/>
      <c r="D29" s="2454"/>
      <c r="E29" s="2454"/>
      <c r="F29" s="2454"/>
    </row>
    <row r="30" spans="1:6" ht="12" customHeight="1">
      <c r="A30" s="328"/>
      <c r="B30" s="328"/>
      <c r="C30" s="1395"/>
      <c r="D30" s="1834"/>
      <c r="E30" s="1283"/>
    </row>
    <row r="31" spans="1:6" ht="12" customHeight="1">
      <c r="A31" s="1284" t="s">
        <v>1528</v>
      </c>
      <c r="B31" s="328"/>
      <c r="C31" s="1395"/>
      <c r="D31" s="1834"/>
      <c r="E31" s="1283"/>
    </row>
    <row r="32" spans="1:6" ht="30" customHeight="1">
      <c r="A32" s="2455" t="s">
        <v>2182</v>
      </c>
      <c r="B32" s="2455"/>
      <c r="C32" s="2455"/>
      <c r="D32" s="2455"/>
      <c r="E32" s="2455"/>
      <c r="F32" s="2455"/>
    </row>
    <row r="33" spans="1:6" ht="13.5" customHeight="1">
      <c r="A33" s="328" t="s">
        <v>1413</v>
      </c>
      <c r="B33" s="328"/>
      <c r="C33" s="1285">
        <v>31159</v>
      </c>
      <c r="D33" s="1834"/>
      <c r="E33" s="1283"/>
    </row>
    <row r="34" spans="1:6" ht="13.5" customHeight="1">
      <c r="A34" s="328" t="s">
        <v>1800</v>
      </c>
      <c r="B34" s="328"/>
      <c r="C34" s="1286">
        <v>12000</v>
      </c>
      <c r="D34" s="1834" t="s">
        <v>1562</v>
      </c>
      <c r="E34" s="2456">
        <f>+C33+C34</f>
        <v>43159</v>
      </c>
      <c r="F34" s="2457"/>
    </row>
    <row r="35" spans="1:6" ht="12" customHeight="1">
      <c r="A35" s="328"/>
      <c r="B35" s="328"/>
      <c r="C35" s="1835"/>
      <c r="D35" s="1834"/>
      <c r="E35" s="1287"/>
      <c r="F35" s="1288"/>
    </row>
    <row r="36" spans="1:6" ht="13.5" customHeight="1">
      <c r="A36" s="1284" t="s">
        <v>1529</v>
      </c>
      <c r="B36" s="328"/>
      <c r="C36" s="1395"/>
      <c r="D36" s="1834"/>
      <c r="E36" s="1283"/>
    </row>
    <row r="37" spans="1:6" ht="14.25" customHeight="1">
      <c r="A37" s="328" t="s">
        <v>1463</v>
      </c>
      <c r="B37" s="328"/>
      <c r="C37" s="1836"/>
      <c r="D37" s="1834"/>
      <c r="E37" s="1283"/>
    </row>
    <row r="38" spans="1:6" ht="14.25" customHeight="1">
      <c r="A38" s="328"/>
      <c r="B38" s="328" t="s">
        <v>1414</v>
      </c>
      <c r="C38" s="1289" t="s">
        <v>383</v>
      </c>
      <c r="D38" s="1834"/>
      <c r="E38" s="1283"/>
    </row>
    <row r="39" spans="1:6" ht="14.25" customHeight="1">
      <c r="A39" s="328"/>
      <c r="B39" s="328" t="s">
        <v>1415</v>
      </c>
      <c r="C39" s="1289" t="s">
        <v>383</v>
      </c>
      <c r="D39" s="1834"/>
      <c r="E39" s="1283"/>
    </row>
    <row r="40" spans="1:6" ht="14.25" customHeight="1">
      <c r="A40" s="328"/>
      <c r="B40" s="328" t="s">
        <v>1416</v>
      </c>
      <c r="C40" s="1289" t="s">
        <v>383</v>
      </c>
      <c r="D40" s="1834"/>
      <c r="E40" s="1283"/>
    </row>
    <row r="41" spans="1:6" ht="14.25" customHeight="1">
      <c r="A41" s="328"/>
      <c r="B41" s="328" t="s">
        <v>1417</v>
      </c>
      <c r="C41" s="1289" t="s">
        <v>383</v>
      </c>
      <c r="D41" s="1834"/>
      <c r="E41" s="1283"/>
    </row>
    <row r="42" spans="1:6" ht="14.25" customHeight="1">
      <c r="A42" s="328" t="s">
        <v>1418</v>
      </c>
      <c r="B42" s="328"/>
      <c r="C42" s="1832" t="s">
        <v>383</v>
      </c>
      <c r="D42" s="1834"/>
      <c r="E42" s="1283"/>
    </row>
    <row r="43" spans="1:6" ht="14.25" customHeight="1">
      <c r="A43" s="328" t="s">
        <v>1419</v>
      </c>
      <c r="B43" s="328"/>
      <c r="C43" s="1290" t="s">
        <v>383</v>
      </c>
      <c r="D43" s="1834"/>
      <c r="E43" s="1283"/>
    </row>
    <row r="44" spans="1:6" ht="14.25" customHeight="1">
      <c r="A44" s="328"/>
      <c r="B44" s="328"/>
      <c r="C44" s="1836" t="s">
        <v>1420</v>
      </c>
      <c r="D44" s="1834"/>
      <c r="E44" s="1283"/>
    </row>
    <row r="45" spans="1:6" ht="13.5" customHeight="1">
      <c r="B45" s="322"/>
      <c r="C45" s="1291"/>
      <c r="D45" s="1291"/>
    </row>
    <row r="46" spans="1:6">
      <c r="A46" s="1292" t="s">
        <v>1703</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58" t="s">
        <v>1563</v>
      </c>
      <c r="C49" s="2458"/>
      <c r="D49" s="2458"/>
      <c r="E49" s="1329"/>
    </row>
    <row r="50" spans="1:5" s="1297" customFormat="1" ht="3.75" customHeight="1">
      <c r="A50" s="1296"/>
      <c r="B50" s="1776"/>
      <c r="C50" s="1776"/>
      <c r="D50" s="1776"/>
      <c r="E50" s="1329"/>
    </row>
    <row r="51" spans="1:5" s="1297" customFormat="1" ht="20.25" customHeight="1">
      <c r="A51" s="1298">
        <v>6</v>
      </c>
      <c r="B51" s="2453" t="s">
        <v>1530</v>
      </c>
      <c r="C51" s="2453"/>
      <c r="D51" s="2453"/>
    </row>
    <row r="52" spans="1:5" ht="14.25" customHeight="1">
      <c r="A52" s="1298"/>
      <c r="B52" s="2453"/>
      <c r="C52" s="2453"/>
      <c r="D52" s="245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B22" zoomScale="110" zoomScaleNormal="110" workbookViewId="0">
      <selection activeCell="G28" sqref="G28"/>
    </sheetView>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c r="B1" s="2477" t="str">
        <f>'Single Audit Cover'!A7</f>
        <v>Rochelle CCSD 231</v>
      </c>
      <c r="C1" s="2478"/>
      <c r="D1" s="2478"/>
      <c r="E1" s="2478"/>
      <c r="F1" s="2478"/>
      <c r="G1" s="2478"/>
      <c r="H1" s="2478"/>
      <c r="I1" s="2478"/>
      <c r="J1" s="1339"/>
    </row>
    <row r="2" spans="2:10" s="317" customFormat="1" ht="12.95" customHeight="1">
      <c r="B2" s="2479">
        <f>'Single Audit Cover'!E7</f>
        <v>47071231004</v>
      </c>
      <c r="C2" s="2480"/>
      <c r="D2" s="2480"/>
      <c r="E2" s="2480"/>
      <c r="F2" s="2480"/>
      <c r="G2" s="2480"/>
      <c r="H2" s="2480"/>
      <c r="I2" s="2480"/>
      <c r="J2" s="1339"/>
    </row>
    <row r="3" spans="2:10" s="317" customFormat="1" ht="12.95" customHeight="1">
      <c r="B3" s="2481" t="s">
        <v>1264</v>
      </c>
      <c r="C3" s="2482"/>
      <c r="D3" s="2482"/>
      <c r="E3" s="2482"/>
      <c r="F3" s="2482"/>
      <c r="G3" s="2482"/>
      <c r="H3" s="2482"/>
      <c r="I3" s="2482"/>
      <c r="J3" s="1340"/>
    </row>
    <row r="4" spans="2:10" s="317" customFormat="1" ht="12.95" customHeight="1">
      <c r="B4" s="2481" t="str">
        <f>'Single Audit Cover'!A4</f>
        <v>Year Ending June 30, 2019</v>
      </c>
      <c r="C4" s="2482"/>
      <c r="D4" s="2482"/>
      <c r="E4" s="2482"/>
      <c r="F4" s="2482"/>
      <c r="G4" s="2482"/>
      <c r="H4" s="2482"/>
      <c r="I4" s="2482"/>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81" t="s">
        <v>1263</v>
      </c>
      <c r="C7" s="2482"/>
      <c r="D7" s="2482"/>
      <c r="E7" s="2482"/>
      <c r="F7" s="2482"/>
      <c r="G7" s="2482"/>
      <c r="H7" s="2482"/>
      <c r="I7" s="2482"/>
    </row>
    <row r="8" spans="2:10" s="317" customFormat="1" ht="6.2" customHeight="1">
      <c r="B8" s="1343" t="s">
        <v>1169</v>
      </c>
      <c r="C8" s="1344"/>
      <c r="D8" s="1344"/>
      <c r="E8" s="1345"/>
      <c r="F8" s="1344"/>
      <c r="G8" s="1344"/>
      <c r="H8" s="1344"/>
      <c r="I8" s="1344"/>
    </row>
    <row r="9" spans="2:10" s="317" customFormat="1" ht="9.1999999999999993" customHeight="1">
      <c r="B9" s="1346"/>
      <c r="C9" s="322"/>
      <c r="D9" s="322"/>
      <c r="E9" s="1313"/>
      <c r="F9" s="322"/>
      <c r="G9" s="322"/>
      <c r="H9" s="322"/>
      <c r="I9" s="322"/>
    </row>
    <row r="10" spans="2:10" s="317" customFormat="1" ht="12.95" customHeight="1">
      <c r="B10" s="1347" t="s">
        <v>1262</v>
      </c>
      <c r="C10" s="1348"/>
      <c r="D10" s="1348"/>
      <c r="E10" s="1255"/>
    </row>
    <row r="11" spans="2:10" s="317" customFormat="1" ht="13.5" customHeight="1">
      <c r="B11" s="1299" t="s">
        <v>1261</v>
      </c>
      <c r="C11" s="2483" t="s">
        <v>2147</v>
      </c>
      <c r="D11" s="2483"/>
      <c r="E11" s="1349"/>
      <c r="F11" s="1349"/>
      <c r="G11" s="1349"/>
    </row>
    <row r="12" spans="2:10" s="317" customFormat="1" ht="11.45" customHeight="1">
      <c r="B12" s="1300"/>
      <c r="C12" s="1350" t="s">
        <v>1421</v>
      </c>
      <c r="D12" s="1351"/>
      <c r="E12" s="1255"/>
    </row>
    <row r="13" spans="2:10" s="317" customFormat="1" ht="12.95" customHeight="1">
      <c r="B13" s="1352"/>
      <c r="C13" s="1317"/>
      <c r="D13" s="1317"/>
      <c r="E13" s="1255"/>
    </row>
    <row r="14" spans="2:10" s="317" customFormat="1" ht="12.95" customHeight="1">
      <c r="B14" s="1302" t="s">
        <v>1260</v>
      </c>
      <c r="C14" s="1279"/>
      <c r="E14" s="1255"/>
    </row>
    <row r="15" spans="2:10" s="317" customFormat="1" ht="13.5" customHeight="1">
      <c r="B15" s="1353" t="s">
        <v>1257</v>
      </c>
      <c r="C15" s="1354"/>
      <c r="D15" s="1328"/>
      <c r="E15" s="1355"/>
      <c r="F15" s="1297" t="s">
        <v>885</v>
      </c>
      <c r="G15" s="1355" t="s">
        <v>2031</v>
      </c>
      <c r="H15" s="1297" t="s">
        <v>1255</v>
      </c>
      <c r="I15" s="1297"/>
    </row>
    <row r="16" spans="2:10" s="317" customFormat="1" ht="8.4499999999999993" customHeight="1">
      <c r="B16" s="1302"/>
      <c r="C16" s="1279"/>
      <c r="E16" s="1313"/>
      <c r="F16" s="1297"/>
      <c r="G16" s="322"/>
      <c r="H16" s="1297"/>
      <c r="I16" s="1297"/>
    </row>
    <row r="17" spans="2:9" s="317" customFormat="1" ht="13.5" customHeight="1">
      <c r="B17" s="1353" t="s">
        <v>1256</v>
      </c>
      <c r="C17" s="1354"/>
      <c r="D17" s="1328"/>
      <c r="E17" s="1356"/>
      <c r="F17" s="1254"/>
      <c r="G17" s="1356"/>
      <c r="H17" s="1297"/>
      <c r="I17" s="1297"/>
    </row>
    <row r="18" spans="2:9" s="317" customFormat="1" ht="12.95" customHeight="1">
      <c r="B18" s="1353" t="s">
        <v>1422</v>
      </c>
      <c r="C18" s="1354"/>
      <c r="D18" s="1328"/>
      <c r="E18" s="1355" t="s">
        <v>2031</v>
      </c>
      <c r="F18" s="1297" t="s">
        <v>885</v>
      </c>
      <c r="G18" s="1355"/>
      <c r="H18" s="1297" t="s">
        <v>1255</v>
      </c>
      <c r="I18" s="1297"/>
    </row>
    <row r="19" spans="2:9" s="317" customFormat="1" ht="8.4499999999999993" customHeight="1">
      <c r="B19" s="1302"/>
      <c r="C19" s="1279"/>
      <c r="E19" s="1313"/>
      <c r="F19" s="1297"/>
      <c r="G19" s="322"/>
      <c r="H19" s="1297"/>
      <c r="I19" s="1297"/>
    </row>
    <row r="20" spans="2:9" s="317" customFormat="1" ht="13.5" customHeight="1">
      <c r="B20" s="1353" t="s">
        <v>1564</v>
      </c>
      <c r="C20" s="1354"/>
      <c r="D20" s="1328"/>
      <c r="E20" s="1355"/>
      <c r="F20" s="1297" t="s">
        <v>885</v>
      </c>
      <c r="G20" s="1355" t="s">
        <v>2031</v>
      </c>
      <c r="H20" s="1297" t="s">
        <v>99</v>
      </c>
      <c r="I20" s="1297"/>
    </row>
    <row r="21" spans="2:9" s="317" customFormat="1" ht="12.95" customHeight="1">
      <c r="B21" s="1302"/>
      <c r="C21" s="1279"/>
      <c r="E21" s="1313"/>
      <c r="F21" s="1297"/>
      <c r="G21" s="322"/>
      <c r="H21" s="1297"/>
      <c r="I21" s="1297"/>
    </row>
    <row r="22" spans="2:9" s="317" customFormat="1" ht="12.95" customHeight="1">
      <c r="B22" s="1347" t="s">
        <v>1259</v>
      </c>
      <c r="C22" s="1357"/>
      <c r="D22" s="1348"/>
      <c r="E22" s="1313"/>
      <c r="F22" s="1297"/>
      <c r="G22" s="322"/>
      <c r="H22" s="1297"/>
      <c r="I22" s="1297"/>
    </row>
    <row r="23" spans="2:9" s="317" customFormat="1" ht="12.95" customHeight="1">
      <c r="B23" s="1302" t="s">
        <v>1258</v>
      </c>
      <c r="C23" s="1279"/>
      <c r="E23" s="1313"/>
      <c r="F23" s="1297"/>
      <c r="G23" s="322"/>
      <c r="H23" s="1297"/>
      <c r="I23" s="1297"/>
    </row>
    <row r="24" spans="2:9" s="317" customFormat="1" ht="13.5" customHeight="1">
      <c r="B24" s="1353" t="s">
        <v>1257</v>
      </c>
      <c r="C24" s="1354"/>
      <c r="D24" s="1328"/>
      <c r="E24" s="1355"/>
      <c r="F24" s="1297" t="s">
        <v>885</v>
      </c>
      <c r="G24" s="1355" t="s">
        <v>2031</v>
      </c>
      <c r="H24" s="1297" t="s">
        <v>1255</v>
      </c>
      <c r="I24" s="1297"/>
    </row>
    <row r="25" spans="2:9" s="317" customFormat="1" ht="8.4499999999999993" customHeight="1">
      <c r="B25" s="1302"/>
      <c r="C25" s="1279"/>
      <c r="E25" s="1313"/>
      <c r="F25" s="1297"/>
      <c r="G25" s="322"/>
      <c r="H25" s="1297"/>
      <c r="I25" s="1297"/>
    </row>
    <row r="26" spans="2:9" s="317" customFormat="1" ht="13.5" customHeight="1">
      <c r="B26" s="1353" t="s">
        <v>1256</v>
      </c>
      <c r="C26" s="1354"/>
      <c r="D26" s="1328"/>
      <c r="E26" s="1356"/>
      <c r="F26" s="1254"/>
      <c r="G26" s="1356"/>
      <c r="H26" s="1297"/>
      <c r="I26" s="1297"/>
    </row>
    <row r="27" spans="2:9" s="317" customFormat="1" ht="12.95" customHeight="1">
      <c r="B27" s="1353" t="s">
        <v>1422</v>
      </c>
      <c r="C27" s="1354"/>
      <c r="D27" s="1328"/>
      <c r="E27" s="1355"/>
      <c r="F27" s="1297" t="s">
        <v>885</v>
      </c>
      <c r="G27" s="1355" t="s">
        <v>2031</v>
      </c>
      <c r="H27" s="1297" t="s">
        <v>1255</v>
      </c>
      <c r="I27" s="1297"/>
    </row>
    <row r="28" spans="2:9" s="317" customFormat="1" ht="12.95" customHeight="1">
      <c r="B28" s="1302"/>
      <c r="C28" s="1279"/>
      <c r="E28" s="1255"/>
    </row>
    <row r="29" spans="2:9" s="317" customFormat="1" ht="12.95" customHeight="1">
      <c r="B29" s="1302" t="s">
        <v>1254</v>
      </c>
      <c r="C29" s="1279"/>
      <c r="D29" s="2484" t="s">
        <v>2183</v>
      </c>
      <c r="E29" s="2484"/>
      <c r="F29" s="2484"/>
      <c r="G29" s="2484"/>
      <c r="H29" s="2484"/>
      <c r="I29" s="2484"/>
    </row>
    <row r="30" spans="2:9" s="317" customFormat="1">
      <c r="B30" s="1302"/>
      <c r="C30" s="322"/>
      <c r="D30" s="1350" t="s">
        <v>1710</v>
      </c>
      <c r="E30" s="1351"/>
      <c r="F30" s="1351"/>
      <c r="G30" s="1351"/>
      <c r="H30" s="1351"/>
      <c r="I30" s="1351"/>
    </row>
    <row r="31" spans="2:9" s="317" customFormat="1" ht="9.9499999999999993" customHeight="1">
      <c r="B31" s="1302"/>
      <c r="E31" s="1255"/>
    </row>
    <row r="32" spans="2:9" s="317" customFormat="1">
      <c r="B32" s="1302" t="s">
        <v>1253</v>
      </c>
      <c r="C32" s="1279"/>
      <c r="E32" s="1255"/>
    </row>
    <row r="33" spans="2:9" ht="13.5" customHeight="1">
      <c r="B33" s="1302" t="s">
        <v>1531</v>
      </c>
      <c r="C33" s="1279"/>
      <c r="E33" s="1355"/>
      <c r="F33" s="1297" t="s">
        <v>885</v>
      </c>
      <c r="G33" s="1355" t="s">
        <v>2031</v>
      </c>
      <c r="H33" s="1297" t="s">
        <v>99</v>
      </c>
    </row>
    <row r="35" spans="2:9">
      <c r="B35" s="1358" t="s">
        <v>1711</v>
      </c>
      <c r="C35" s="1359"/>
      <c r="D35" s="1264"/>
    </row>
    <row r="36" spans="2:9" ht="6" customHeight="1">
      <c r="B36" s="1358"/>
      <c r="C36" s="1359"/>
      <c r="D36" s="1264"/>
    </row>
    <row r="37" spans="2:9" ht="17.25" customHeight="1">
      <c r="B37" s="1360" t="s">
        <v>1712</v>
      </c>
      <c r="C37" s="2485" t="s">
        <v>1713</v>
      </c>
      <c r="D37" s="2486"/>
      <c r="E37" s="2486"/>
      <c r="F37" s="2487"/>
      <c r="G37" s="2485" t="s">
        <v>1565</v>
      </c>
      <c r="H37" s="2486"/>
      <c r="I37" s="2487"/>
    </row>
    <row r="38" spans="2:9" ht="16.7" customHeight="1">
      <c r="B38" s="1361">
        <v>84.01</v>
      </c>
      <c r="C38" s="2473" t="s">
        <v>918</v>
      </c>
      <c r="D38" s="2474"/>
      <c r="E38" s="2474"/>
      <c r="F38" s="2475"/>
      <c r="G38" s="2488">
        <v>542281</v>
      </c>
      <c r="H38" s="2489"/>
      <c r="I38" s="2490"/>
    </row>
    <row r="39" spans="2:9" ht="16.7" customHeight="1">
      <c r="B39" s="1361" t="s">
        <v>2148</v>
      </c>
      <c r="C39" s="2473" t="s">
        <v>2084</v>
      </c>
      <c r="D39" s="2474"/>
      <c r="E39" s="2474"/>
      <c r="F39" s="2475"/>
      <c r="G39" s="2476">
        <v>530783</v>
      </c>
      <c r="H39" s="2476"/>
      <c r="I39" s="2476"/>
    </row>
    <row r="40" spans="2:9" ht="16.7" customHeight="1">
      <c r="B40" s="1361"/>
      <c r="C40" s="2473"/>
      <c r="D40" s="2474"/>
      <c r="E40" s="2474"/>
      <c r="F40" s="2475"/>
      <c r="G40" s="2476"/>
      <c r="H40" s="2476"/>
      <c r="I40" s="2476"/>
    </row>
    <row r="41" spans="2:9" ht="16.7" customHeight="1">
      <c r="B41" s="1361"/>
      <c r="C41" s="2473"/>
      <c r="D41" s="2474"/>
      <c r="E41" s="2474"/>
      <c r="F41" s="2475"/>
      <c r="G41" s="2476"/>
      <c r="H41" s="2476"/>
      <c r="I41" s="2476"/>
    </row>
    <row r="42" spans="2:9" ht="16.7" customHeight="1">
      <c r="B42" s="1361"/>
      <c r="C42" s="2473"/>
      <c r="D42" s="2474"/>
      <c r="E42" s="2474"/>
      <c r="F42" s="2475"/>
      <c r="G42" s="2476"/>
      <c r="H42" s="2476"/>
      <c r="I42" s="2476"/>
    </row>
    <row r="43" spans="2:9" ht="16.7" customHeight="1">
      <c r="B43" s="1361"/>
      <c r="C43" s="2466" t="s">
        <v>1566</v>
      </c>
      <c r="D43" s="2467"/>
      <c r="E43" s="2467"/>
      <c r="F43" s="2468"/>
      <c r="G43" s="2469">
        <f>SUM(G38:I42)</f>
        <v>1073064</v>
      </c>
      <c r="H43" s="2469"/>
      <c r="I43" s="2469"/>
    </row>
    <row r="44" spans="2:9" ht="12.95" customHeight="1"/>
    <row r="45" spans="2:9" ht="12.95" customHeight="1">
      <c r="B45" s="1352" t="s">
        <v>1801</v>
      </c>
      <c r="D45" s="2470">
        <v>1506835</v>
      </c>
      <c r="E45" s="2471"/>
    </row>
    <row r="46" spans="2:9" ht="5.25" customHeight="1">
      <c r="B46" s="1362"/>
      <c r="D46" s="1363"/>
      <c r="E46" s="1364"/>
    </row>
    <row r="47" spans="2:9" ht="12.95" customHeight="1">
      <c r="B47" s="1297" t="s">
        <v>1567</v>
      </c>
      <c r="C47" s="1297"/>
      <c r="D47" s="1365">
        <f>+G43/D45</f>
        <v>0.71213105615412442</v>
      </c>
      <c r="E47" s="1366"/>
      <c r="F47" s="1367"/>
      <c r="I47" s="1368"/>
    </row>
    <row r="48" spans="2:9" ht="9.9499999999999993" customHeight="1"/>
    <row r="49" spans="1:9">
      <c r="B49" s="1302" t="s">
        <v>1252</v>
      </c>
      <c r="C49" s="1279"/>
      <c r="D49" s="1279"/>
      <c r="E49" s="2472">
        <v>750000</v>
      </c>
      <c r="F49" s="2472"/>
      <c r="G49" s="2472"/>
      <c r="H49" s="322"/>
    </row>
    <row r="51" spans="1:9" ht="13.5" customHeight="1">
      <c r="B51" s="1302" t="s">
        <v>1251</v>
      </c>
      <c r="C51" s="1279"/>
      <c r="E51" s="1355"/>
      <c r="F51" s="1297" t="s">
        <v>885</v>
      </c>
      <c r="G51" s="1355" t="s">
        <v>2031</v>
      </c>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1714</v>
      </c>
      <c r="C54" s="1377"/>
      <c r="D54" s="1377"/>
    </row>
    <row r="55" spans="1:9" s="1378" customFormat="1" ht="12.95" customHeight="1">
      <c r="A55" s="1375"/>
      <c r="B55" s="1379" t="s">
        <v>1568</v>
      </c>
      <c r="C55" s="1375"/>
      <c r="D55" s="1375"/>
    </row>
    <row r="56" spans="1:9" s="1378" customFormat="1" ht="12.95" customHeight="1">
      <c r="A56" s="1375"/>
      <c r="B56" s="1379" t="s">
        <v>1569</v>
      </c>
      <c r="C56" s="1375"/>
      <c r="D56" s="1375"/>
    </row>
    <row r="57" spans="1:9" s="1378" customFormat="1" ht="3.95" customHeight="1">
      <c r="A57" s="1375"/>
      <c r="B57" s="1379"/>
      <c r="C57" s="1375"/>
      <c r="D57" s="1375"/>
    </row>
    <row r="58" spans="1:9" s="1378" customFormat="1" ht="13.5" customHeight="1">
      <c r="A58" s="1375"/>
      <c r="B58" s="1380" t="s">
        <v>1715</v>
      </c>
      <c r="C58" s="1381"/>
      <c r="D58" s="1381"/>
    </row>
    <row r="59" spans="1:9" s="1378" customFormat="1" ht="3.95" customHeight="1">
      <c r="A59" s="1375"/>
      <c r="B59" s="1380"/>
      <c r="C59" s="1381"/>
      <c r="D59" s="1381"/>
    </row>
    <row r="60" spans="1:9" s="1378" customFormat="1" ht="13.5" customHeight="1">
      <c r="A60" s="1375"/>
      <c r="B60" s="1380" t="s">
        <v>1716</v>
      </c>
      <c r="C60" s="1381"/>
      <c r="D60" s="1381"/>
    </row>
    <row r="61" spans="1:9" s="1378" customFormat="1" ht="3.95" customHeight="1">
      <c r="A61" s="1375"/>
      <c r="B61" s="1380"/>
      <c r="C61" s="1381"/>
      <c r="D61" s="1381"/>
    </row>
    <row r="62" spans="1:9" s="1378" customFormat="1" ht="12.95" customHeight="1">
      <c r="A62" s="1375"/>
      <c r="B62" s="1380" t="s">
        <v>1717</v>
      </c>
      <c r="C62" s="1381"/>
      <c r="D62" s="1381"/>
    </row>
    <row r="63" spans="1:9" s="1378" customFormat="1" ht="13.5" customHeight="1">
      <c r="A63" s="1375"/>
      <c r="B63" s="1379" t="s">
        <v>1570</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13" zoomScaleNormal="100" workbookViewId="0">
      <selection activeCell="K12" sqref="K1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77" t="str">
        <f>'Single Audit Cover'!A7</f>
        <v>Rochelle CCSD 231</v>
      </c>
      <c r="C1" s="2477"/>
      <c r="D1" s="2477"/>
      <c r="E1" s="2477"/>
      <c r="F1" s="2477"/>
      <c r="G1" s="2477"/>
      <c r="H1" s="2477"/>
      <c r="I1" s="2477"/>
      <c r="J1" s="2477"/>
      <c r="K1" s="2477"/>
      <c r="L1" s="1304"/>
      <c r="M1" s="1304"/>
    </row>
    <row r="2" spans="1:13" ht="12" customHeight="1">
      <c r="B2" s="2479">
        <f>'Single Audit Cover'!E7</f>
        <v>47071231004</v>
      </c>
      <c r="C2" s="2479"/>
      <c r="D2" s="2479"/>
      <c r="E2" s="2479"/>
      <c r="F2" s="2479"/>
      <c r="G2" s="2479"/>
      <c r="H2" s="2479"/>
      <c r="I2" s="2479"/>
      <c r="J2" s="2479"/>
      <c r="K2" s="2479"/>
      <c r="L2" s="1305"/>
      <c r="M2" s="1306"/>
    </row>
    <row r="3" spans="1:13" ht="10.35" customHeight="1">
      <c r="B3" s="2494" t="s">
        <v>1264</v>
      </c>
      <c r="C3" s="2494"/>
      <c r="D3" s="2494"/>
      <c r="E3" s="2494"/>
      <c r="F3" s="2494"/>
      <c r="G3" s="2494"/>
      <c r="H3" s="2494"/>
      <c r="I3" s="2494"/>
      <c r="J3" s="2494"/>
      <c r="K3" s="2494"/>
      <c r="L3" s="1307"/>
      <c r="M3" s="1307"/>
    </row>
    <row r="4" spans="1:13" ht="14.25" customHeight="1">
      <c r="B4" s="2495" t="str">
        <f>'Single Audit Cover'!A4</f>
        <v>Year Ending June 30, 2019</v>
      </c>
      <c r="C4" s="2495"/>
      <c r="D4" s="2495"/>
      <c r="E4" s="2495"/>
      <c r="F4" s="2495"/>
      <c r="G4" s="2495"/>
      <c r="H4" s="2495"/>
      <c r="I4" s="2495"/>
      <c r="J4" s="2495"/>
      <c r="K4" s="2495"/>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2.95" customHeight="1">
      <c r="A7" s="1279"/>
      <c r="B7" s="2495" t="s">
        <v>1275</v>
      </c>
      <c r="C7" s="2495"/>
      <c r="D7" s="2496"/>
      <c r="E7" s="2496"/>
      <c r="F7" s="2496"/>
      <c r="G7" s="2496"/>
      <c r="H7" s="2496"/>
      <c r="I7" s="2496"/>
      <c r="J7" s="2496"/>
      <c r="K7" s="2496"/>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7" customHeight="1">
      <c r="B10" s="1314" t="s">
        <v>1704</v>
      </c>
      <c r="C10" s="1315" t="s">
        <v>1950</v>
      </c>
      <c r="D10" s="1316">
        <v>1</v>
      </c>
      <c r="E10" s="322"/>
      <c r="F10" s="1317" t="s">
        <v>1274</v>
      </c>
      <c r="G10" s="1318"/>
      <c r="H10" s="1319" t="s">
        <v>1273</v>
      </c>
      <c r="I10" s="1318" t="s">
        <v>2031</v>
      </c>
      <c r="J10" s="1320" t="s">
        <v>1272</v>
      </c>
      <c r="K10" s="322"/>
      <c r="L10" s="1311"/>
    </row>
    <row r="11" spans="1:13" ht="13.5" customHeight="1">
      <c r="B11" s="322"/>
      <c r="C11" s="322"/>
      <c r="D11" s="322"/>
      <c r="E11" s="322"/>
      <c r="F11" s="322"/>
      <c r="G11" s="1313"/>
      <c r="H11" s="322"/>
      <c r="I11" s="1321" t="s">
        <v>1271</v>
      </c>
      <c r="J11" s="322"/>
      <c r="K11" s="1322">
        <v>2008</v>
      </c>
      <c r="L11" s="1311"/>
    </row>
    <row r="12" spans="1:13" ht="13.5" customHeight="1">
      <c r="B12" s="1291"/>
      <c r="C12" s="1291"/>
      <c r="D12" s="322"/>
      <c r="E12" s="322"/>
      <c r="F12" s="322"/>
      <c r="G12" s="1313"/>
      <c r="H12" s="322"/>
      <c r="I12" s="1313"/>
      <c r="J12" s="322"/>
      <c r="L12" s="1311"/>
    </row>
    <row r="13" spans="1:13" s="1279" customFormat="1" ht="13.5" customHeight="1">
      <c r="B13" s="1323" t="s">
        <v>1270</v>
      </c>
      <c r="C13" s="1323"/>
      <c r="D13" s="1324"/>
      <c r="E13" s="1324"/>
      <c r="F13" s="1324"/>
      <c r="G13" s="1325"/>
      <c r="H13" s="1324"/>
      <c r="I13" s="1325"/>
      <c r="J13" s="1324"/>
      <c r="K13" s="1324"/>
      <c r="L13" s="1326"/>
    </row>
    <row r="14" spans="1:13" ht="45.75" customHeight="1">
      <c r="B14" s="2491" t="s">
        <v>2149</v>
      </c>
      <c r="C14" s="2491"/>
      <c r="D14" s="2491"/>
      <c r="E14" s="2491"/>
      <c r="F14" s="2491"/>
      <c r="G14" s="2491"/>
      <c r="H14" s="2491"/>
      <c r="I14" s="2491"/>
      <c r="J14" s="2491"/>
      <c r="K14" s="2491"/>
      <c r="L14" s="1327"/>
    </row>
    <row r="15" spans="1:13" ht="4.5" customHeight="1">
      <c r="B15" s="1328"/>
      <c r="C15" s="1328"/>
      <c r="D15" s="1329"/>
      <c r="E15" s="1329"/>
      <c r="F15" s="1329"/>
      <c r="H15" s="1329"/>
      <c r="J15" s="1329"/>
      <c r="K15" s="1329"/>
      <c r="L15" s="1327"/>
    </row>
    <row r="16" spans="1:13" s="1279" customFormat="1" ht="13.5" customHeight="1">
      <c r="B16" s="1323" t="s">
        <v>1269</v>
      </c>
      <c r="C16" s="1323"/>
      <c r="D16" s="1324"/>
      <c r="E16" s="1324"/>
      <c r="F16" s="1324"/>
      <c r="G16" s="1325"/>
      <c r="H16" s="1324"/>
      <c r="I16" s="1325"/>
      <c r="J16" s="1324"/>
      <c r="K16" s="1324"/>
      <c r="L16" s="1326"/>
    </row>
    <row r="17" spans="2:12" ht="45.75" customHeight="1">
      <c r="B17" s="2491" t="s">
        <v>2150</v>
      </c>
      <c r="C17" s="2491"/>
      <c r="D17" s="2491"/>
      <c r="E17" s="2491"/>
      <c r="F17" s="2491"/>
      <c r="G17" s="2491"/>
      <c r="H17" s="2491"/>
      <c r="I17" s="2491"/>
      <c r="J17" s="2491"/>
      <c r="K17" s="2491"/>
      <c r="L17" s="1311"/>
    </row>
    <row r="18" spans="2:12" ht="4.5" customHeight="1">
      <c r="B18" s="1328"/>
      <c r="C18" s="1328"/>
      <c r="L18" s="1311"/>
    </row>
    <row r="19" spans="2:12" s="1279" customFormat="1" ht="13.5" customHeight="1">
      <c r="B19" s="1323" t="s">
        <v>1705</v>
      </c>
      <c r="C19" s="1323"/>
      <c r="D19" s="1324"/>
      <c r="E19" s="1324"/>
      <c r="F19" s="1324"/>
      <c r="G19" s="1325"/>
      <c r="H19" s="1324"/>
      <c r="I19" s="1325"/>
      <c r="J19" s="1324"/>
      <c r="K19" s="1324"/>
      <c r="L19" s="1326"/>
    </row>
    <row r="20" spans="2:12" ht="45.75" customHeight="1">
      <c r="B20" s="2497" t="s">
        <v>2151</v>
      </c>
      <c r="C20" s="2497"/>
      <c r="D20" s="2491"/>
      <c r="E20" s="2491"/>
      <c r="F20" s="2491"/>
      <c r="G20" s="2491"/>
      <c r="H20" s="2491"/>
      <c r="I20" s="2491"/>
      <c r="J20" s="2491"/>
      <c r="K20" s="2491"/>
      <c r="L20" s="1311"/>
    </row>
    <row r="21" spans="2:12" ht="4.5" customHeight="1">
      <c r="B21" s="1330"/>
      <c r="C21" s="1330"/>
      <c r="L21" s="1311"/>
    </row>
    <row r="22" spans="2:12" ht="13.5" customHeight="1">
      <c r="B22" s="1323" t="s">
        <v>1268</v>
      </c>
      <c r="C22" s="1323"/>
      <c r="D22" s="1309"/>
      <c r="E22" s="1309"/>
      <c r="F22" s="1309"/>
      <c r="G22" s="1310"/>
      <c r="H22" s="1309"/>
      <c r="I22" s="1310"/>
      <c r="J22" s="1309"/>
      <c r="K22" s="1309"/>
      <c r="L22" s="1311"/>
    </row>
    <row r="23" spans="2:12" ht="45.2" customHeight="1">
      <c r="B23" s="2491" t="s">
        <v>2152</v>
      </c>
      <c r="C23" s="2491"/>
      <c r="D23" s="2491"/>
      <c r="E23" s="2491"/>
      <c r="F23" s="2491"/>
      <c r="G23" s="2491"/>
      <c r="H23" s="2491"/>
      <c r="I23" s="2491"/>
      <c r="J23" s="2491"/>
      <c r="K23" s="2491"/>
      <c r="L23" s="1311"/>
    </row>
    <row r="24" spans="2:12" ht="4.5" customHeight="1">
      <c r="B24" s="1328"/>
      <c r="C24" s="1328"/>
      <c r="L24" s="1311"/>
    </row>
    <row r="25" spans="2:12" ht="13.5" customHeight="1">
      <c r="B25" s="1323" t="s">
        <v>1267</v>
      </c>
      <c r="C25" s="1323"/>
      <c r="D25" s="1309"/>
      <c r="E25" s="1309"/>
      <c r="F25" s="1309"/>
      <c r="G25" s="1310"/>
      <c r="H25" s="1309"/>
      <c r="I25" s="1310"/>
      <c r="J25" s="1309"/>
      <c r="K25" s="1309"/>
      <c r="L25" s="1311"/>
    </row>
    <row r="26" spans="2:12" ht="45.75" customHeight="1">
      <c r="B26" s="2491" t="s">
        <v>2153</v>
      </c>
      <c r="C26" s="2491"/>
      <c r="D26" s="2491"/>
      <c r="E26" s="2491"/>
      <c r="F26" s="2491"/>
      <c r="G26" s="2491"/>
      <c r="H26" s="2491"/>
      <c r="I26" s="2491"/>
      <c r="J26" s="2491"/>
      <c r="K26" s="2491"/>
      <c r="L26" s="1311"/>
    </row>
    <row r="27" spans="2:12" ht="4.5" customHeight="1">
      <c r="B27" s="1328"/>
      <c r="C27" s="1328"/>
      <c r="L27" s="1311"/>
    </row>
    <row r="28" spans="2:12" ht="13.5" customHeight="1">
      <c r="B28" s="1331" t="s">
        <v>1266</v>
      </c>
      <c r="C28" s="1331"/>
      <c r="D28" s="1309"/>
      <c r="E28" s="1309"/>
      <c r="F28" s="1309"/>
      <c r="G28" s="1310"/>
      <c r="H28" s="1309"/>
      <c r="I28" s="1310"/>
      <c r="J28" s="1309"/>
      <c r="K28" s="1309"/>
      <c r="L28" s="1311"/>
    </row>
    <row r="29" spans="2:12" ht="45.75" customHeight="1">
      <c r="B29" s="2492" t="s">
        <v>2154</v>
      </c>
      <c r="C29" s="2492"/>
      <c r="D29" s="2491"/>
      <c r="E29" s="2491"/>
      <c r="F29" s="2491"/>
      <c r="G29" s="2491"/>
      <c r="H29" s="2491"/>
      <c r="I29" s="2491"/>
      <c r="J29" s="2491"/>
      <c r="K29" s="2491"/>
      <c r="L29" s="1311"/>
    </row>
    <row r="30" spans="2:12" ht="4.5" customHeight="1">
      <c r="B30" s="1332"/>
      <c r="C30" s="1332"/>
      <c r="D30" s="322"/>
      <c r="E30" s="322"/>
      <c r="F30" s="322"/>
      <c r="G30" s="1313"/>
      <c r="H30" s="322"/>
      <c r="I30" s="1313"/>
      <c r="J30" s="322"/>
      <c r="K30" s="322"/>
      <c r="L30" s="1311"/>
    </row>
    <row r="31" spans="2:12" s="322" customFormat="1" ht="13.5" customHeight="1">
      <c r="B31" s="1333" t="s">
        <v>1706</v>
      </c>
      <c r="C31" s="1333"/>
      <c r="D31" s="1308"/>
      <c r="E31" s="1309"/>
      <c r="F31" s="1309"/>
      <c r="G31" s="1310"/>
      <c r="H31" s="1309"/>
      <c r="I31" s="1310"/>
      <c r="J31" s="1309"/>
      <c r="K31" s="1309"/>
      <c r="L31" s="1311"/>
    </row>
    <row r="32" spans="2:12" s="322" customFormat="1" ht="44.25" customHeight="1">
      <c r="B32" s="2493" t="s">
        <v>2155</v>
      </c>
      <c r="C32" s="2493"/>
      <c r="D32" s="2491"/>
      <c r="E32" s="2491"/>
      <c r="F32" s="2491"/>
      <c r="G32" s="2491"/>
      <c r="H32" s="2491"/>
      <c r="I32" s="2491"/>
      <c r="J32" s="2491"/>
      <c r="K32" s="2491"/>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1707</v>
      </c>
      <c r="C35" s="1336"/>
      <c r="D35" s="322"/>
      <c r="E35" s="322"/>
      <c r="F35" s="322"/>
      <c r="L35" s="1311"/>
    </row>
    <row r="36" spans="1:13" ht="9.6" customHeight="1">
      <c r="B36" s="1297" t="s">
        <v>1802</v>
      </c>
      <c r="C36" s="1297"/>
      <c r="L36" s="1311"/>
    </row>
    <row r="37" spans="1:13" ht="9.6" customHeight="1">
      <c r="B37" s="1297" t="s">
        <v>1803</v>
      </c>
      <c r="C37" s="1297"/>
    </row>
    <row r="38" spans="1:13" ht="11.85" customHeight="1">
      <c r="B38" s="1337" t="s">
        <v>1708</v>
      </c>
      <c r="C38" s="1337"/>
    </row>
    <row r="39" spans="1:13" ht="9.6" customHeight="1">
      <c r="B39" s="1297" t="s">
        <v>1265</v>
      </c>
      <c r="C39" s="1297"/>
      <c r="M39" s="1338"/>
    </row>
    <row r="40" spans="1:13" ht="12.75" customHeight="1">
      <c r="B40" s="1337" t="s">
        <v>1709</v>
      </c>
      <c r="C40" s="1337"/>
      <c r="M40" s="1338"/>
    </row>
    <row r="41" spans="1:13" ht="9.6" customHeight="1">
      <c r="B41" s="1297"/>
      <c r="C41" s="1297"/>
      <c r="M41" s="1338"/>
    </row>
  </sheetData>
  <sheetProtection password="F60E"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020AC-CA66-4621-A8C6-00DF5FBBC06E}">
  <sheetPr>
    <tabColor rgb="FF00B050"/>
  </sheetPr>
  <dimension ref="A1:M41"/>
  <sheetViews>
    <sheetView showGridLines="0" zoomScaleNormal="100" workbookViewId="0">
      <selection activeCell="K12" sqref="K12"/>
    </sheetView>
  </sheetViews>
  <sheetFormatPr defaultColWidth="9.140625" defaultRowHeight="12.75"/>
  <cols>
    <col min="1" max="1" width="1.5703125" style="1909" customWidth="1"/>
    <col min="2" max="2" width="21.42578125" style="1909" customWidth="1"/>
    <col min="3" max="3" width="6.140625" style="1909" customWidth="1"/>
    <col min="4" max="4" width="4.42578125" style="1909" customWidth="1"/>
    <col min="5" max="5" width="3.5703125" style="1909" customWidth="1"/>
    <col min="6" max="6" width="20.140625" style="1909" customWidth="1"/>
    <col min="7" max="7" width="3.5703125" style="1911" customWidth="1"/>
    <col min="8" max="8" width="10.5703125" style="1909" customWidth="1"/>
    <col min="9" max="9" width="3.42578125" style="1911" customWidth="1"/>
    <col min="10" max="10" width="15.42578125" style="1909" customWidth="1"/>
    <col min="11" max="11" width="8.5703125" style="1909" customWidth="1"/>
    <col min="12" max="12" width="1.42578125" style="1909" customWidth="1"/>
    <col min="13" max="13" width="3.42578125" style="1909" customWidth="1"/>
    <col min="14" max="16384" width="9.140625" style="1909"/>
  </cols>
  <sheetData>
    <row r="1" spans="1:13" ht="11.1" customHeight="1">
      <c r="B1" s="2477" t="str">
        <f>'Single Audit Cover'!A7</f>
        <v>Rochelle CCSD 231</v>
      </c>
      <c r="C1" s="2477"/>
      <c r="D1" s="2477"/>
      <c r="E1" s="2477"/>
      <c r="F1" s="2477"/>
      <c r="G1" s="2477"/>
      <c r="H1" s="2477"/>
      <c r="I1" s="2477"/>
      <c r="J1" s="2477"/>
      <c r="K1" s="2477"/>
      <c r="L1" s="1917"/>
      <c r="M1" s="1917"/>
    </row>
    <row r="2" spans="1:13" ht="12" customHeight="1">
      <c r="B2" s="2479">
        <f>'Single Audit Cover'!E7</f>
        <v>47071231004</v>
      </c>
      <c r="C2" s="2479"/>
      <c r="D2" s="2479"/>
      <c r="E2" s="2479"/>
      <c r="F2" s="2479"/>
      <c r="G2" s="2479"/>
      <c r="H2" s="2479"/>
      <c r="I2" s="2479"/>
      <c r="J2" s="2479"/>
      <c r="K2" s="2479"/>
      <c r="L2" s="1918"/>
      <c r="M2" s="1919"/>
    </row>
    <row r="3" spans="1:13" ht="10.35" customHeight="1">
      <c r="B3" s="2494" t="s">
        <v>1264</v>
      </c>
      <c r="C3" s="2494"/>
      <c r="D3" s="2494"/>
      <c r="E3" s="2494"/>
      <c r="F3" s="2494"/>
      <c r="G3" s="2494"/>
      <c r="H3" s="2494"/>
      <c r="I3" s="2494"/>
      <c r="J3" s="2494"/>
      <c r="K3" s="2494"/>
      <c r="L3" s="1920"/>
      <c r="M3" s="1920"/>
    </row>
    <row r="4" spans="1:13" ht="14.25" customHeight="1">
      <c r="B4" s="2495" t="str">
        <f>'Single Audit Cover'!A4</f>
        <v>Year Ending June 30, 2019</v>
      </c>
      <c r="C4" s="2495"/>
      <c r="D4" s="2495"/>
      <c r="E4" s="2495"/>
      <c r="F4" s="2495"/>
      <c r="G4" s="2495"/>
      <c r="H4" s="2495"/>
      <c r="I4" s="2495"/>
      <c r="J4" s="2495"/>
      <c r="K4" s="2495"/>
      <c r="L4" s="1908"/>
      <c r="M4" s="1908"/>
    </row>
    <row r="5" spans="1:13" ht="7.5" customHeight="1">
      <c r="B5" s="1912" t="s">
        <v>1169</v>
      </c>
      <c r="C5" s="1912"/>
    </row>
    <row r="6" spans="1:13" ht="7.5" customHeight="1">
      <c r="B6" s="1921"/>
      <c r="C6" s="1921"/>
      <c r="D6" s="1922"/>
      <c r="E6" s="1922"/>
      <c r="F6" s="1922"/>
      <c r="G6" s="1923"/>
      <c r="H6" s="1922"/>
      <c r="I6" s="1923"/>
      <c r="J6" s="1922"/>
      <c r="K6" s="1922"/>
      <c r="L6" s="1924"/>
    </row>
    <row r="7" spans="1:13" ht="12.95" customHeight="1">
      <c r="A7" s="1913"/>
      <c r="B7" s="2495" t="s">
        <v>1275</v>
      </c>
      <c r="C7" s="2495"/>
      <c r="D7" s="2496"/>
      <c r="E7" s="2496"/>
      <c r="F7" s="2496"/>
      <c r="G7" s="2496"/>
      <c r="H7" s="2496"/>
      <c r="I7" s="2496"/>
      <c r="J7" s="2496"/>
      <c r="K7" s="2496"/>
      <c r="L7" s="1925"/>
    </row>
    <row r="8" spans="1:13" ht="7.5" customHeight="1">
      <c r="B8" s="1910"/>
      <c r="C8" s="1910"/>
      <c r="D8" s="1910"/>
      <c r="E8" s="1910"/>
      <c r="F8" s="1910"/>
      <c r="G8" s="1926"/>
      <c r="H8" s="1910"/>
      <c r="I8" s="1926"/>
      <c r="J8" s="1910"/>
      <c r="K8" s="1910"/>
      <c r="L8" s="1924"/>
    </row>
    <row r="9" spans="1:13" ht="9.6" customHeight="1">
      <c r="B9" s="1922"/>
      <c r="C9" s="1922"/>
      <c r="D9" s="1922"/>
      <c r="E9" s="1922"/>
      <c r="F9" s="1922"/>
      <c r="G9" s="1923"/>
      <c r="H9" s="1922"/>
      <c r="I9" s="1923"/>
      <c r="J9" s="1922"/>
      <c r="K9" s="1922"/>
      <c r="L9" s="1924"/>
    </row>
    <row r="10" spans="1:13" ht="16.7" customHeight="1">
      <c r="B10" s="1927" t="s">
        <v>1704</v>
      </c>
      <c r="C10" s="1928" t="s">
        <v>1950</v>
      </c>
      <c r="D10" s="1929">
        <v>2</v>
      </c>
      <c r="E10" s="1910"/>
      <c r="F10" s="1930" t="s">
        <v>1274</v>
      </c>
      <c r="G10" s="1931"/>
      <c r="H10" s="1932" t="s">
        <v>1273</v>
      </c>
      <c r="I10" s="1931" t="s">
        <v>2031</v>
      </c>
      <c r="J10" s="1933" t="s">
        <v>1272</v>
      </c>
      <c r="K10" s="1910"/>
      <c r="L10" s="1924"/>
    </row>
    <row r="11" spans="1:13" ht="13.5" customHeight="1">
      <c r="B11" s="1910"/>
      <c r="C11" s="1910"/>
      <c r="D11" s="1910"/>
      <c r="E11" s="1910"/>
      <c r="F11" s="1910"/>
      <c r="G11" s="1926"/>
      <c r="H11" s="1910"/>
      <c r="I11" s="1934" t="s">
        <v>1271</v>
      </c>
      <c r="J11" s="1910"/>
      <c r="K11" s="1935">
        <v>2008</v>
      </c>
      <c r="L11" s="1924"/>
    </row>
    <row r="12" spans="1:13" ht="13.5" customHeight="1">
      <c r="B12" s="1914"/>
      <c r="C12" s="1914"/>
      <c r="D12" s="1910"/>
      <c r="E12" s="1910"/>
      <c r="F12" s="1910"/>
      <c r="G12" s="1926"/>
      <c r="H12" s="1910"/>
      <c r="I12" s="1926"/>
      <c r="J12" s="1910"/>
      <c r="L12" s="1924"/>
    </row>
    <row r="13" spans="1:13" s="1913" customFormat="1" ht="13.5" customHeight="1">
      <c r="B13" s="1936" t="s">
        <v>1270</v>
      </c>
      <c r="C13" s="1936"/>
      <c r="D13" s="1937"/>
      <c r="E13" s="1937"/>
      <c r="F13" s="1937"/>
      <c r="G13" s="1938"/>
      <c r="H13" s="1937"/>
      <c r="I13" s="1938"/>
      <c r="J13" s="1937"/>
      <c r="K13" s="1937"/>
      <c r="L13" s="1939"/>
    </row>
    <row r="14" spans="1:13" ht="45.75" customHeight="1">
      <c r="B14" s="2491" t="s">
        <v>2156</v>
      </c>
      <c r="C14" s="2491"/>
      <c r="D14" s="2491"/>
      <c r="E14" s="2491"/>
      <c r="F14" s="2491"/>
      <c r="G14" s="2491"/>
      <c r="H14" s="2491"/>
      <c r="I14" s="2491"/>
      <c r="J14" s="2491"/>
      <c r="K14" s="2491"/>
      <c r="L14" s="1940"/>
    </row>
    <row r="15" spans="1:13" ht="4.5" customHeight="1">
      <c r="B15" s="1941"/>
      <c r="C15" s="1941"/>
      <c r="D15" s="1942"/>
      <c r="E15" s="1942"/>
      <c r="F15" s="1942"/>
      <c r="H15" s="1942"/>
      <c r="J15" s="1942"/>
      <c r="K15" s="1942"/>
      <c r="L15" s="1940"/>
    </row>
    <row r="16" spans="1:13" s="1913" customFormat="1" ht="13.5" customHeight="1">
      <c r="B16" s="1936" t="s">
        <v>1269</v>
      </c>
      <c r="C16" s="1936"/>
      <c r="D16" s="1937"/>
      <c r="E16" s="1937"/>
      <c r="F16" s="1937"/>
      <c r="G16" s="1938"/>
      <c r="H16" s="1937"/>
      <c r="I16" s="1938"/>
      <c r="J16" s="1937"/>
      <c r="K16" s="1937"/>
      <c r="L16" s="1939"/>
    </row>
    <row r="17" spans="2:12" ht="45.75" customHeight="1">
      <c r="B17" s="2491" t="s">
        <v>2157</v>
      </c>
      <c r="C17" s="2491"/>
      <c r="D17" s="2491"/>
      <c r="E17" s="2491"/>
      <c r="F17" s="2491"/>
      <c r="G17" s="2491"/>
      <c r="H17" s="2491"/>
      <c r="I17" s="2491"/>
      <c r="J17" s="2491"/>
      <c r="K17" s="2491"/>
      <c r="L17" s="1924"/>
    </row>
    <row r="18" spans="2:12" ht="4.5" customHeight="1">
      <c r="B18" s="1941"/>
      <c r="C18" s="1941"/>
      <c r="L18" s="1924"/>
    </row>
    <row r="19" spans="2:12" s="1913" customFormat="1" ht="13.5" customHeight="1">
      <c r="B19" s="1936" t="s">
        <v>1705</v>
      </c>
      <c r="C19" s="1936"/>
      <c r="D19" s="1937"/>
      <c r="E19" s="1937"/>
      <c r="F19" s="1937"/>
      <c r="G19" s="1938"/>
      <c r="H19" s="1937"/>
      <c r="I19" s="1938"/>
      <c r="J19" s="1937"/>
      <c r="K19" s="1937"/>
      <c r="L19" s="1939"/>
    </row>
    <row r="20" spans="2:12" ht="45.75" customHeight="1">
      <c r="B20" s="2497" t="s">
        <v>2157</v>
      </c>
      <c r="C20" s="2497"/>
      <c r="D20" s="2491"/>
      <c r="E20" s="2491"/>
      <c r="F20" s="2491"/>
      <c r="G20" s="2491"/>
      <c r="H20" s="2491"/>
      <c r="I20" s="2491"/>
      <c r="J20" s="2491"/>
      <c r="K20" s="2491"/>
      <c r="L20" s="1924"/>
    </row>
    <row r="21" spans="2:12" ht="4.5" customHeight="1">
      <c r="B21" s="1943"/>
      <c r="C21" s="1943"/>
      <c r="L21" s="1924"/>
    </row>
    <row r="22" spans="2:12" ht="13.5" customHeight="1">
      <c r="B22" s="1936" t="s">
        <v>1268</v>
      </c>
      <c r="C22" s="1936"/>
      <c r="D22" s="1922"/>
      <c r="E22" s="1922"/>
      <c r="F22" s="1922"/>
      <c r="G22" s="1923"/>
      <c r="H22" s="1922"/>
      <c r="I22" s="1923"/>
      <c r="J22" s="1922"/>
      <c r="K22" s="1922"/>
      <c r="L22" s="1924"/>
    </row>
    <row r="23" spans="2:12" ht="45.2" customHeight="1">
      <c r="B23" s="2491" t="s">
        <v>2158</v>
      </c>
      <c r="C23" s="2491"/>
      <c r="D23" s="2491"/>
      <c r="E23" s="2491"/>
      <c r="F23" s="2491"/>
      <c r="G23" s="2491"/>
      <c r="H23" s="2491"/>
      <c r="I23" s="2491"/>
      <c r="J23" s="2491"/>
      <c r="K23" s="2491"/>
      <c r="L23" s="1924"/>
    </row>
    <row r="24" spans="2:12" ht="4.5" customHeight="1">
      <c r="B24" s="1941"/>
      <c r="C24" s="1941"/>
      <c r="L24" s="1924"/>
    </row>
    <row r="25" spans="2:12" ht="13.5" customHeight="1">
      <c r="B25" s="1936" t="s">
        <v>1267</v>
      </c>
      <c r="C25" s="1936"/>
      <c r="D25" s="1922"/>
      <c r="E25" s="1922"/>
      <c r="F25" s="1922"/>
      <c r="G25" s="1923"/>
      <c r="H25" s="1922"/>
      <c r="I25" s="1923"/>
      <c r="J25" s="1922"/>
      <c r="K25" s="1922"/>
      <c r="L25" s="1924"/>
    </row>
    <row r="26" spans="2:12" ht="45.75" customHeight="1">
      <c r="B26" s="2491" t="s">
        <v>2159</v>
      </c>
      <c r="C26" s="2491"/>
      <c r="D26" s="2491"/>
      <c r="E26" s="2491"/>
      <c r="F26" s="2491"/>
      <c r="G26" s="2491"/>
      <c r="H26" s="2491"/>
      <c r="I26" s="2491"/>
      <c r="J26" s="2491"/>
      <c r="K26" s="2491"/>
      <c r="L26" s="1924"/>
    </row>
    <row r="27" spans="2:12" ht="4.5" customHeight="1">
      <c r="B27" s="1941"/>
      <c r="C27" s="1941"/>
      <c r="L27" s="1924"/>
    </row>
    <row r="28" spans="2:12" ht="13.5" customHeight="1">
      <c r="B28" s="1944" t="s">
        <v>1266</v>
      </c>
      <c r="C28" s="1944"/>
      <c r="D28" s="1922"/>
      <c r="E28" s="1922"/>
      <c r="F28" s="1922"/>
      <c r="G28" s="1923"/>
      <c r="H28" s="1922"/>
      <c r="I28" s="1923"/>
      <c r="J28" s="1922"/>
      <c r="K28" s="1922"/>
      <c r="L28" s="1924"/>
    </row>
    <row r="29" spans="2:12" ht="45.75" customHeight="1">
      <c r="B29" s="2492" t="s">
        <v>2160</v>
      </c>
      <c r="C29" s="2492"/>
      <c r="D29" s="2491"/>
      <c r="E29" s="2491"/>
      <c r="F29" s="2491"/>
      <c r="G29" s="2491"/>
      <c r="H29" s="2491"/>
      <c r="I29" s="2491"/>
      <c r="J29" s="2491"/>
      <c r="K29" s="2491"/>
      <c r="L29" s="1924"/>
    </row>
    <row r="30" spans="2:12" ht="4.5" customHeight="1">
      <c r="B30" s="1945"/>
      <c r="C30" s="1945"/>
      <c r="D30" s="1910"/>
      <c r="E30" s="1910"/>
      <c r="F30" s="1910"/>
      <c r="G30" s="1926"/>
      <c r="H30" s="1910"/>
      <c r="I30" s="1926"/>
      <c r="J30" s="1910"/>
      <c r="K30" s="1910"/>
      <c r="L30" s="1924"/>
    </row>
    <row r="31" spans="2:12" s="1910" customFormat="1" ht="13.5" customHeight="1">
      <c r="B31" s="1946" t="s">
        <v>1706</v>
      </c>
      <c r="C31" s="1946"/>
      <c r="D31" s="1921"/>
      <c r="E31" s="1922"/>
      <c r="F31" s="1922"/>
      <c r="G31" s="1923"/>
      <c r="H31" s="1922"/>
      <c r="I31" s="1923"/>
      <c r="J31" s="1922"/>
      <c r="K31" s="1922"/>
      <c r="L31" s="1924"/>
    </row>
    <row r="32" spans="2:12" s="1910" customFormat="1" ht="44.25" customHeight="1">
      <c r="B32" s="2493" t="s">
        <v>2161</v>
      </c>
      <c r="C32" s="2493"/>
      <c r="D32" s="2491"/>
      <c r="E32" s="2491"/>
      <c r="F32" s="2491"/>
      <c r="G32" s="2491"/>
      <c r="H32" s="2491"/>
      <c r="I32" s="2491"/>
      <c r="J32" s="2491"/>
      <c r="K32" s="2491"/>
      <c r="L32" s="1924"/>
    </row>
    <row r="33" spans="1:13" s="1910" customFormat="1" ht="4.5" customHeight="1">
      <c r="B33" s="1945"/>
      <c r="C33" s="1945"/>
      <c r="G33" s="1926"/>
      <c r="I33" s="1926"/>
      <c r="L33" s="1924"/>
    </row>
    <row r="34" spans="1:13" s="1910" customFormat="1">
      <c r="A34" s="1915"/>
      <c r="B34" s="1947"/>
      <c r="C34" s="1947"/>
      <c r="D34" s="1947"/>
      <c r="E34" s="1947"/>
      <c r="F34" s="1947"/>
      <c r="G34" s="1948"/>
      <c r="H34" s="1947"/>
      <c r="I34" s="1948"/>
      <c r="J34" s="1947"/>
      <c r="K34" s="1947"/>
      <c r="L34" s="1924"/>
    </row>
    <row r="35" spans="1:13" ht="11.85" customHeight="1">
      <c r="B35" s="1949" t="s">
        <v>1707</v>
      </c>
      <c r="C35" s="1949"/>
      <c r="D35" s="1910"/>
      <c r="E35" s="1910"/>
      <c r="F35" s="1910"/>
      <c r="L35" s="1924"/>
    </row>
    <row r="36" spans="1:13" ht="9.6" customHeight="1">
      <c r="B36" s="1916" t="s">
        <v>1802</v>
      </c>
      <c r="C36" s="1916"/>
      <c r="L36" s="1924"/>
    </row>
    <row r="37" spans="1:13" ht="9.6" customHeight="1">
      <c r="B37" s="1916" t="s">
        <v>1803</v>
      </c>
      <c r="C37" s="1916"/>
    </row>
    <row r="38" spans="1:13" ht="11.85" customHeight="1">
      <c r="B38" s="1950" t="s">
        <v>1708</v>
      </c>
      <c r="C38" s="1950"/>
    </row>
    <row r="39" spans="1:13" ht="9.6" customHeight="1">
      <c r="B39" s="1916" t="s">
        <v>1265</v>
      </c>
      <c r="C39" s="1916"/>
      <c r="M39" s="1951"/>
    </row>
    <row r="40" spans="1:13" ht="12.75" customHeight="1">
      <c r="B40" s="1950" t="s">
        <v>1709</v>
      </c>
      <c r="C40" s="1950"/>
      <c r="M40" s="1951"/>
    </row>
    <row r="41" spans="1:13" ht="9.6" customHeight="1">
      <c r="B41" s="1916"/>
      <c r="C41" s="1916"/>
      <c r="M41" s="195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c r="B1" s="2502" t="str">
        <f>'Single Audit Cover'!A7</f>
        <v>Rochelle CCSD 231</v>
      </c>
      <c r="C1" s="2502"/>
      <c r="D1" s="2502"/>
      <c r="E1" s="2502"/>
      <c r="F1" s="2502"/>
      <c r="G1" s="2502"/>
      <c r="H1" s="2502"/>
      <c r="I1" s="2502"/>
      <c r="J1" s="2502"/>
      <c r="K1" s="2502"/>
      <c r="L1" s="1382"/>
    </row>
    <row r="2" spans="1:12" ht="12.95" customHeight="1">
      <c r="B2" s="2503">
        <f>'Single Audit Cover'!E7</f>
        <v>47071231004</v>
      </c>
      <c r="C2" s="2503"/>
      <c r="D2" s="2503"/>
      <c r="E2" s="2503"/>
      <c r="F2" s="2503"/>
      <c r="G2" s="2503"/>
      <c r="H2" s="2503"/>
      <c r="I2" s="2503"/>
      <c r="J2" s="2503"/>
      <c r="K2" s="2503"/>
      <c r="L2" s="1383"/>
    </row>
    <row r="3" spans="1:12" ht="12.95" customHeight="1">
      <c r="B3" s="2494" t="s">
        <v>1264</v>
      </c>
      <c r="C3" s="2494"/>
      <c r="D3" s="2494"/>
      <c r="E3" s="2494"/>
      <c r="F3" s="2494"/>
      <c r="G3" s="2494"/>
      <c r="H3" s="2494"/>
      <c r="I3" s="2494"/>
      <c r="J3" s="2494"/>
      <c r="K3" s="2494"/>
      <c r="L3" s="1307"/>
    </row>
    <row r="4" spans="1:12" ht="12.95" customHeight="1">
      <c r="B4" s="2494" t="str">
        <f>'Single Audit Cover'!A4</f>
        <v>Year Ending June 30, 2019</v>
      </c>
      <c r="C4" s="2494"/>
      <c r="D4" s="2494"/>
      <c r="E4" s="2494"/>
      <c r="F4" s="2494"/>
      <c r="G4" s="2494"/>
      <c r="H4" s="2494"/>
      <c r="I4" s="2494"/>
      <c r="J4" s="2494"/>
      <c r="K4" s="2494"/>
      <c r="L4" s="1307"/>
    </row>
    <row r="5" spans="1:12" ht="5.25" customHeight="1">
      <c r="B5" s="1257" t="s">
        <v>1169</v>
      </c>
      <c r="C5" s="1257"/>
      <c r="L5" s="322"/>
    </row>
    <row r="6" spans="1:12" ht="30.95" customHeight="1">
      <c r="A6" s="322"/>
      <c r="B6" s="2504" t="s">
        <v>1287</v>
      </c>
      <c r="C6" s="2504"/>
      <c r="D6" s="2504"/>
      <c r="E6" s="2504"/>
      <c r="F6" s="2504"/>
      <c r="G6" s="2504"/>
      <c r="H6" s="2504"/>
      <c r="I6" s="2504"/>
      <c r="J6" s="2504"/>
      <c r="K6" s="2504"/>
      <c r="L6" s="322"/>
    </row>
    <row r="7" spans="1:12" ht="4.5" customHeight="1">
      <c r="B7" s="1309"/>
      <c r="C7" s="1309"/>
      <c r="D7" s="1309"/>
      <c r="E7" s="1309"/>
      <c r="F7" s="1309"/>
      <c r="G7" s="1310"/>
      <c r="H7" s="1309"/>
      <c r="I7" s="1310"/>
      <c r="J7" s="1309"/>
      <c r="K7" s="1309"/>
      <c r="L7" s="322"/>
    </row>
    <row r="8" spans="1:12" ht="13.5" customHeight="1">
      <c r="B8" s="1317" t="s">
        <v>1718</v>
      </c>
      <c r="C8" s="1384" t="s">
        <v>1950</v>
      </c>
      <c r="D8" s="1385"/>
      <c r="E8" s="322"/>
      <c r="F8" s="1314" t="s">
        <v>1274</v>
      </c>
      <c r="G8" s="1386"/>
      <c r="H8" s="1387" t="s">
        <v>1286</v>
      </c>
      <c r="I8" s="1386"/>
      <c r="J8" s="1388" t="s">
        <v>1285</v>
      </c>
      <c r="L8" s="322"/>
    </row>
    <row r="9" spans="1:12" ht="13.5" customHeight="1">
      <c r="D9" s="322"/>
      <c r="E9" s="322"/>
      <c r="F9" s="322"/>
      <c r="G9" s="1313"/>
      <c r="H9" s="322"/>
      <c r="I9" s="1389" t="s">
        <v>1271</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1284</v>
      </c>
      <c r="C12" s="1314"/>
      <c r="D12" s="304"/>
      <c r="E12" s="322"/>
      <c r="F12" s="2484"/>
      <c r="G12" s="2484"/>
      <c r="H12" s="2484"/>
      <c r="I12" s="2484"/>
      <c r="J12" s="2484"/>
      <c r="K12" s="2484"/>
      <c r="L12" s="322"/>
    </row>
    <row r="13" spans="1:12" ht="9.6" customHeight="1">
      <c r="B13" s="1254"/>
      <c r="C13" s="1254"/>
      <c r="D13" s="304"/>
      <c r="E13" s="322"/>
      <c r="F13" s="322"/>
      <c r="G13" s="1313"/>
      <c r="H13" s="322"/>
      <c r="I13" s="1313"/>
      <c r="J13" s="322"/>
      <c r="K13" s="1349"/>
      <c r="L13" s="322"/>
    </row>
    <row r="14" spans="1:12" ht="13.5" customHeight="1">
      <c r="B14" s="1317" t="s">
        <v>1283</v>
      </c>
      <c r="C14" s="1317"/>
      <c r="D14" s="2499"/>
      <c r="E14" s="2499"/>
      <c r="F14" s="2499"/>
      <c r="H14" s="1392" t="s">
        <v>1282</v>
      </c>
      <c r="I14" s="2500"/>
      <c r="J14" s="2500"/>
      <c r="K14" s="2500"/>
      <c r="L14" s="322"/>
    </row>
    <row r="15" spans="1:12" ht="9.6" customHeight="1">
      <c r="B15" s="1317"/>
      <c r="C15" s="1317"/>
      <c r="D15" s="1303"/>
      <c r="E15" s="1257"/>
      <c r="F15" s="1257"/>
      <c r="G15" s="1283"/>
      <c r="H15" s="1257"/>
      <c r="I15" s="1393"/>
      <c r="J15" s="1291"/>
      <c r="K15" s="1288"/>
      <c r="L15" s="322"/>
    </row>
    <row r="16" spans="1:12" ht="13.5" customHeight="1">
      <c r="B16" s="1317" t="s">
        <v>1281</v>
      </c>
      <c r="C16" s="1317"/>
      <c r="D16" s="2500"/>
      <c r="E16" s="2500"/>
      <c r="F16" s="2500"/>
      <c r="G16" s="2500"/>
      <c r="H16" s="2500"/>
      <c r="I16" s="2500"/>
      <c r="J16" s="2500"/>
      <c r="K16" s="2500"/>
      <c r="L16" s="322"/>
    </row>
    <row r="17" spans="2:12" ht="13.5" customHeight="1">
      <c r="B17" s="1317" t="s">
        <v>1280</v>
      </c>
      <c r="C17" s="1317"/>
      <c r="D17" s="2501"/>
      <c r="E17" s="2501"/>
      <c r="F17" s="2501"/>
      <c r="G17" s="2501"/>
      <c r="H17" s="2501"/>
      <c r="I17" s="2501"/>
      <c r="J17" s="2501"/>
      <c r="K17" s="2501"/>
      <c r="L17" s="322"/>
    </row>
    <row r="18" spans="2:12" ht="9.6" customHeight="1">
      <c r="B18" s="1344"/>
      <c r="C18" s="1344"/>
      <c r="D18" s="1344"/>
      <c r="E18" s="1344"/>
      <c r="F18" s="1344"/>
      <c r="G18" s="1345"/>
      <c r="H18" s="1344"/>
      <c r="I18" s="1345"/>
      <c r="J18" s="1344"/>
      <c r="K18" s="1344"/>
      <c r="L18" s="322"/>
    </row>
    <row r="19" spans="2:12" ht="13.5" customHeight="1">
      <c r="B19" s="1394" t="s">
        <v>1279</v>
      </c>
      <c r="C19" s="1394"/>
      <c r="D19" s="328"/>
      <c r="E19" s="328"/>
      <c r="F19" s="328"/>
      <c r="G19" s="1395"/>
      <c r="H19" s="328"/>
      <c r="I19" s="1395"/>
      <c r="J19" s="322"/>
      <c r="K19" s="322"/>
      <c r="L19" s="322"/>
    </row>
    <row r="20" spans="2:12" ht="35.25" customHeight="1">
      <c r="B20" s="2498"/>
      <c r="C20" s="2498"/>
      <c r="D20" s="2498"/>
      <c r="E20" s="2498"/>
      <c r="F20" s="2498"/>
      <c r="G20" s="2498"/>
      <c r="H20" s="2498"/>
      <c r="I20" s="2498"/>
      <c r="J20" s="2498"/>
      <c r="K20" s="2498"/>
      <c r="L20" s="1349"/>
    </row>
    <row r="21" spans="2:12" ht="4.5" customHeight="1">
      <c r="B21" s="1396"/>
      <c r="C21" s="1396"/>
      <c r="D21" s="1397"/>
      <c r="E21" s="1397"/>
      <c r="F21" s="1397"/>
      <c r="G21" s="1345"/>
      <c r="H21" s="1397"/>
      <c r="I21" s="1345"/>
      <c r="J21" s="1397"/>
      <c r="K21" s="1397"/>
      <c r="L21" s="1349"/>
    </row>
    <row r="22" spans="2:12" ht="13.35" customHeight="1">
      <c r="B22" s="1394" t="s">
        <v>1719</v>
      </c>
      <c r="C22" s="1394"/>
      <c r="D22" s="322"/>
      <c r="E22" s="322"/>
      <c r="F22" s="322"/>
      <c r="G22" s="1313"/>
      <c r="H22" s="322"/>
      <c r="I22" s="1313"/>
      <c r="J22" s="322"/>
      <c r="K22" s="322"/>
      <c r="L22" s="322"/>
    </row>
    <row r="23" spans="2:12" ht="37.5" customHeight="1">
      <c r="B23" s="2498"/>
      <c r="C23" s="2498"/>
      <c r="D23" s="2498"/>
      <c r="E23" s="2498"/>
      <c r="F23" s="2498"/>
      <c r="G23" s="2498"/>
      <c r="H23" s="2498"/>
      <c r="I23" s="2498"/>
      <c r="J23" s="2498"/>
      <c r="K23" s="2498"/>
      <c r="L23" s="322"/>
    </row>
    <row r="24" spans="2:12" ht="4.5" customHeight="1">
      <c r="B24" s="1396"/>
      <c r="C24" s="1396"/>
      <c r="D24" s="1344"/>
      <c r="E24" s="1344"/>
      <c r="F24" s="1344"/>
      <c r="G24" s="1345"/>
      <c r="H24" s="1344"/>
      <c r="I24" s="1345"/>
      <c r="J24" s="1344"/>
      <c r="K24" s="1344"/>
      <c r="L24" s="322"/>
    </row>
    <row r="25" spans="2:12" ht="13.5" customHeight="1">
      <c r="B25" s="1394" t="s">
        <v>1720</v>
      </c>
      <c r="C25" s="1394"/>
      <c r="D25" s="322"/>
      <c r="E25" s="322"/>
      <c r="F25" s="322"/>
      <c r="G25" s="1313"/>
      <c r="H25" s="322"/>
      <c r="I25" s="1313"/>
      <c r="J25" s="322"/>
      <c r="K25" s="322"/>
      <c r="L25" s="322"/>
    </row>
    <row r="26" spans="2:12" ht="37.5" customHeight="1">
      <c r="B26" s="2498"/>
      <c r="C26" s="2498"/>
      <c r="D26" s="2498"/>
      <c r="E26" s="2498"/>
      <c r="F26" s="2498"/>
      <c r="G26" s="2498"/>
      <c r="H26" s="2498"/>
      <c r="I26" s="2498"/>
      <c r="J26" s="2498"/>
      <c r="K26" s="2498"/>
      <c r="L26" s="322"/>
    </row>
    <row r="27" spans="2:12" ht="4.5" customHeight="1">
      <c r="B27" s="1398"/>
      <c r="C27" s="1398"/>
      <c r="D27" s="1398"/>
      <c r="E27" s="1344"/>
      <c r="F27" s="1344"/>
      <c r="G27" s="1345"/>
      <c r="H27" s="1344"/>
      <c r="I27" s="1345"/>
      <c r="J27" s="1344"/>
      <c r="K27" s="1344"/>
      <c r="L27" s="322"/>
    </row>
    <row r="28" spans="2:12" ht="13.5" customHeight="1">
      <c r="B28" s="1394" t="s">
        <v>1721</v>
      </c>
      <c r="C28" s="1394"/>
      <c r="D28" s="322"/>
      <c r="E28" s="322"/>
      <c r="F28" s="322"/>
      <c r="G28" s="1313"/>
      <c r="H28" s="322"/>
      <c r="I28" s="1313"/>
      <c r="J28" s="322"/>
      <c r="K28" s="322"/>
      <c r="L28" s="322"/>
    </row>
    <row r="29" spans="2:12" ht="37.5" customHeight="1">
      <c r="B29" s="2498"/>
      <c r="C29" s="2498"/>
      <c r="D29" s="2498"/>
      <c r="E29" s="2498"/>
      <c r="F29" s="2498"/>
      <c r="G29" s="2498"/>
      <c r="H29" s="2498"/>
      <c r="I29" s="2498"/>
      <c r="J29" s="2498"/>
      <c r="K29" s="2498"/>
      <c r="L29" s="322"/>
    </row>
    <row r="30" spans="2:12" ht="4.5" customHeight="1">
      <c r="B30" s="1396"/>
      <c r="C30" s="1396"/>
      <c r="D30" s="1344"/>
      <c r="E30" s="1344"/>
      <c r="F30" s="1344"/>
      <c r="G30" s="1345"/>
      <c r="H30" s="1344"/>
      <c r="I30" s="1345"/>
      <c r="J30" s="1344"/>
      <c r="K30" s="1344"/>
      <c r="L30" s="322"/>
    </row>
    <row r="31" spans="2:12" ht="13.5" customHeight="1">
      <c r="B31" s="1394" t="s">
        <v>1278</v>
      </c>
      <c r="C31" s="1394"/>
      <c r="D31" s="322"/>
      <c r="E31" s="322"/>
      <c r="F31" s="322"/>
      <c r="G31" s="1313"/>
      <c r="H31" s="322"/>
      <c r="I31" s="1313"/>
      <c r="J31" s="322"/>
      <c r="K31" s="322"/>
      <c r="L31" s="322"/>
    </row>
    <row r="32" spans="2:12" ht="37.5" customHeight="1">
      <c r="B32" s="2498"/>
      <c r="C32" s="2498"/>
      <c r="D32" s="2498"/>
      <c r="E32" s="2498"/>
      <c r="F32" s="2498"/>
      <c r="G32" s="2498"/>
      <c r="H32" s="2498"/>
      <c r="I32" s="2498"/>
      <c r="J32" s="2498"/>
      <c r="K32" s="2498"/>
      <c r="L32" s="322"/>
    </row>
    <row r="33" spans="2:12" ht="4.5" customHeight="1">
      <c r="B33" s="1396"/>
      <c r="C33" s="1396"/>
      <c r="D33" s="1344"/>
      <c r="E33" s="1344"/>
      <c r="F33" s="1344"/>
      <c r="G33" s="1345"/>
      <c r="H33" s="1344"/>
      <c r="I33" s="1345"/>
      <c r="J33" s="1344"/>
      <c r="K33" s="1344"/>
      <c r="L33" s="322"/>
    </row>
    <row r="34" spans="2:12" ht="13.5" customHeight="1">
      <c r="B34" s="1314" t="s">
        <v>1277</v>
      </c>
      <c r="C34" s="1314"/>
      <c r="D34" s="322"/>
      <c r="E34" s="322"/>
      <c r="F34" s="322"/>
      <c r="G34" s="1313"/>
      <c r="H34" s="322"/>
      <c r="I34" s="1313"/>
      <c r="J34" s="322"/>
      <c r="K34" s="322"/>
      <c r="L34" s="322"/>
    </row>
    <row r="35" spans="2:12" ht="37.5" customHeight="1">
      <c r="B35" s="2498"/>
      <c r="C35" s="2498"/>
      <c r="D35" s="2498"/>
      <c r="E35" s="2498"/>
      <c r="F35" s="2498"/>
      <c r="G35" s="2498"/>
      <c r="H35" s="2498"/>
      <c r="I35" s="2498"/>
      <c r="J35" s="2498"/>
      <c r="K35" s="2498"/>
      <c r="L35" s="322"/>
    </row>
    <row r="36" spans="2:12" ht="4.5" customHeight="1">
      <c r="B36" s="1396"/>
      <c r="C36" s="1396"/>
      <c r="D36" s="1344"/>
      <c r="E36" s="1344"/>
      <c r="F36" s="1344"/>
      <c r="G36" s="1345"/>
      <c r="H36" s="1344"/>
      <c r="I36" s="1345"/>
      <c r="J36" s="1344"/>
      <c r="K36" s="1344"/>
      <c r="L36" s="322"/>
    </row>
    <row r="37" spans="2:12" ht="13.5" customHeight="1">
      <c r="B37" s="1314" t="s">
        <v>1276</v>
      </c>
      <c r="C37" s="1314"/>
      <c r="D37" s="322"/>
      <c r="E37" s="322"/>
      <c r="F37" s="322"/>
      <c r="G37" s="1313"/>
      <c r="H37" s="322"/>
      <c r="I37" s="1313"/>
      <c r="J37" s="322"/>
      <c r="K37" s="322"/>
      <c r="L37" s="322"/>
    </row>
    <row r="38" spans="2:12" ht="35.25" customHeight="1">
      <c r="B38" s="2498"/>
      <c r="C38" s="2498"/>
      <c r="D38" s="2498"/>
      <c r="E38" s="2498"/>
      <c r="F38" s="2498"/>
      <c r="G38" s="2498"/>
      <c r="H38" s="2498"/>
      <c r="I38" s="2498"/>
      <c r="J38" s="2498"/>
      <c r="K38" s="2498"/>
      <c r="L38" s="322"/>
    </row>
    <row r="39" spans="2:12" ht="4.5" customHeight="1">
      <c r="B39" s="1332"/>
      <c r="C39" s="1332"/>
      <c r="D39" s="322"/>
      <c r="E39" s="322"/>
      <c r="F39" s="322"/>
      <c r="G39" s="1313"/>
      <c r="H39" s="322"/>
      <c r="I39" s="1313"/>
      <c r="J39" s="322"/>
      <c r="K39" s="322"/>
      <c r="L39" s="322"/>
    </row>
    <row r="40" spans="2:12" s="322" customFormat="1" ht="13.5" customHeight="1">
      <c r="B40" s="1333" t="s">
        <v>1722</v>
      </c>
      <c r="C40" s="1333"/>
      <c r="D40" s="1308"/>
      <c r="E40" s="1309"/>
      <c r="F40" s="1309"/>
      <c r="G40" s="1310"/>
      <c r="H40" s="1309"/>
      <c r="I40" s="1310"/>
      <c r="J40" s="1309"/>
      <c r="K40" s="1309"/>
    </row>
    <row r="41" spans="2:12" s="322" customFormat="1" ht="33.75" customHeight="1">
      <c r="B41" s="2498"/>
      <c r="C41" s="2498"/>
      <c r="D41" s="2498"/>
      <c r="E41" s="2498"/>
      <c r="F41" s="2498"/>
      <c r="G41" s="2498"/>
      <c r="H41" s="2498"/>
      <c r="I41" s="2498"/>
      <c r="J41" s="2498"/>
      <c r="K41" s="2498"/>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1723</v>
      </c>
      <c r="C44" s="1336"/>
      <c r="D44" s="322"/>
      <c r="E44" s="322"/>
      <c r="F44" s="322"/>
    </row>
    <row r="45" spans="2:12" ht="10.5" customHeight="1">
      <c r="B45" s="1337" t="s">
        <v>1724</v>
      </c>
      <c r="C45" s="1337"/>
      <c r="G45" s="317"/>
      <c r="I45" s="317"/>
    </row>
    <row r="46" spans="2:12" ht="11.1" customHeight="1">
      <c r="B46" s="1337" t="s">
        <v>1725</v>
      </c>
      <c r="C46" s="1337"/>
      <c r="G46" s="317"/>
      <c r="I46" s="317"/>
    </row>
    <row r="47" spans="2:12" ht="11.1" customHeight="1">
      <c r="B47" s="1337" t="s">
        <v>1726</v>
      </c>
      <c r="C47" s="1337"/>
      <c r="G47" s="317"/>
      <c r="I47" s="317"/>
    </row>
    <row r="48" spans="2:12" ht="11.1" customHeight="1">
      <c r="B48" s="1337" t="s">
        <v>1727</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topLeftCell="B1" zoomScale="110" zoomScaleNormal="110" workbookViewId="0">
      <selection activeCell="C14" sqref="C14"/>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c r="B1" s="2477" t="str">
        <f>'Single Audit Cover'!A7</f>
        <v>Rochelle CCSD 231</v>
      </c>
      <c r="C1" s="2477"/>
      <c r="D1" s="2477"/>
      <c r="E1" s="1402"/>
    </row>
    <row r="2" spans="2:5" s="1279" customFormat="1" ht="12.95" customHeight="1">
      <c r="B2" s="2479">
        <f>'Single Audit Cover'!E7</f>
        <v>47071231004</v>
      </c>
      <c r="C2" s="2479"/>
      <c r="D2" s="2479"/>
      <c r="E2" s="1403"/>
    </row>
    <row r="3" spans="2:5" ht="12.95" customHeight="1">
      <c r="B3" s="2494" t="s">
        <v>1728</v>
      </c>
      <c r="C3" s="2494"/>
      <c r="D3" s="2494"/>
      <c r="E3" s="1271"/>
    </row>
    <row r="4" spans="2:5" s="1279" customFormat="1" ht="12.95" customHeight="1">
      <c r="B4" s="2505" t="str">
        <f>'Single Audit Cover'!A4</f>
        <v>Year Ending June 30, 2019</v>
      </c>
      <c r="C4" s="2505"/>
      <c r="D4" s="2505"/>
      <c r="E4" s="1404"/>
    </row>
    <row r="5" spans="2:5" s="1279" customFormat="1" ht="40.15" customHeight="1">
      <c r="B5" s="1405" t="s">
        <v>1729</v>
      </c>
      <c r="C5" s="328"/>
      <c r="D5" s="328"/>
      <c r="E5" s="328"/>
    </row>
    <row r="6" spans="2:5" s="1279" customFormat="1" ht="13.5" customHeight="1">
      <c r="B6" s="1406" t="s">
        <v>1294</v>
      </c>
      <c r="C6" s="1406" t="s">
        <v>1293</v>
      </c>
      <c r="D6" s="1406" t="s">
        <v>1730</v>
      </c>
    </row>
    <row r="7" spans="2:5" ht="13.5" customHeight="1">
      <c r="B7" s="1407"/>
      <c r="C7" s="324"/>
      <c r="D7" s="324"/>
      <c r="E7" s="324"/>
    </row>
    <row r="8" spans="2:5" ht="13.5" customHeight="1">
      <c r="B8" s="1956" t="s">
        <v>2166</v>
      </c>
      <c r="C8" s="1955" t="s">
        <v>2162</v>
      </c>
      <c r="D8" s="1955" t="s">
        <v>2163</v>
      </c>
      <c r="E8" s="324"/>
    </row>
    <row r="9" spans="2:5" ht="13.5" customHeight="1">
      <c r="B9" s="1957"/>
      <c r="C9" s="1954"/>
      <c r="D9" s="1954"/>
      <c r="E9" s="323"/>
    </row>
    <row r="10" spans="2:5" ht="13.5" customHeight="1">
      <c r="B10" s="1956" t="s">
        <v>2167</v>
      </c>
      <c r="C10" s="1954" t="s">
        <v>2164</v>
      </c>
      <c r="D10" s="1954" t="s">
        <v>2163</v>
      </c>
      <c r="E10" s="323"/>
    </row>
    <row r="11" spans="2:5" ht="13.5" customHeight="1">
      <c r="B11" s="1956"/>
      <c r="C11" s="1954" t="s">
        <v>2165</v>
      </c>
      <c r="D11" s="1954"/>
      <c r="E11" s="323"/>
    </row>
    <row r="12" spans="2:5" ht="13.5" customHeight="1">
      <c r="B12" s="1953"/>
      <c r="C12" s="1952"/>
      <c r="D12" s="1952"/>
      <c r="E12" s="323"/>
    </row>
    <row r="13" spans="2:5" ht="13.5" customHeight="1">
      <c r="B13" s="1956" t="s">
        <v>2168</v>
      </c>
      <c r="C13" s="1954" t="s">
        <v>2185</v>
      </c>
      <c r="D13" s="1954" t="s">
        <v>2186</v>
      </c>
      <c r="E13" s="323"/>
    </row>
    <row r="14" spans="2:5" ht="13.5" customHeight="1">
      <c r="B14" s="1956"/>
      <c r="C14" s="1954" t="s">
        <v>2184</v>
      </c>
      <c r="D14" s="1954" t="s">
        <v>2187</v>
      </c>
      <c r="E14" s="323"/>
    </row>
    <row r="15" spans="2:5" ht="13.5" customHeight="1">
      <c r="B15" s="1407"/>
      <c r="C15" s="323"/>
      <c r="D15" s="323"/>
      <c r="E15" s="323"/>
    </row>
    <row r="16" spans="2:5" ht="13.5" customHeight="1">
      <c r="B16" s="1407"/>
      <c r="C16" s="323"/>
      <c r="D16" s="323"/>
      <c r="E16" s="323"/>
    </row>
    <row r="17" spans="2:5" ht="13.5" customHeight="1">
      <c r="B17" s="1407"/>
      <c r="C17" s="323"/>
      <c r="D17" s="323"/>
      <c r="E17" s="323"/>
    </row>
    <row r="18" spans="2:5" ht="13.5" customHeight="1">
      <c r="B18" s="1407"/>
      <c r="C18" s="323"/>
      <c r="D18" s="323"/>
      <c r="E18" s="323"/>
    </row>
    <row r="19" spans="2:5" ht="13.5" customHeight="1">
      <c r="B19" s="1407"/>
      <c r="C19" s="323"/>
      <c r="D19" s="323"/>
      <c r="E19" s="323"/>
    </row>
    <row r="20" spans="2:5" ht="13.5" customHeight="1">
      <c r="B20" s="1407"/>
      <c r="C20" s="323"/>
      <c r="D20" s="323"/>
      <c r="E20" s="323"/>
    </row>
    <row r="21" spans="2:5" ht="13.5" customHeight="1">
      <c r="B21" s="1407"/>
      <c r="C21" s="323"/>
      <c r="D21" s="323"/>
      <c r="E21" s="323"/>
    </row>
    <row r="22" spans="2:5" ht="13.5" customHeight="1">
      <c r="B22" s="1407"/>
      <c r="C22" s="323"/>
      <c r="D22" s="323"/>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8"/>
      <c r="C32" s="323"/>
      <c r="D32" s="323"/>
      <c r="E32" s="323"/>
    </row>
    <row r="33" spans="2:5" ht="13.5" customHeight="1">
      <c r="B33" s="1409"/>
      <c r="C33" s="323"/>
      <c r="D33" s="323"/>
      <c r="E33" s="323"/>
    </row>
    <row r="34" spans="2:5" ht="13.5" customHeight="1">
      <c r="B34" s="1410"/>
      <c r="C34" s="323"/>
      <c r="D34" s="323"/>
      <c r="E34" s="323"/>
    </row>
    <row r="35" spans="2:5" ht="13.5" customHeight="1">
      <c r="B35" s="1409"/>
      <c r="C35" s="323"/>
      <c r="D35" s="323"/>
      <c r="E35" s="323"/>
    </row>
    <row r="36" spans="2:5" ht="13.5" customHeight="1">
      <c r="B36" s="1410"/>
      <c r="C36" s="323"/>
      <c r="D36" s="323"/>
      <c r="E36" s="323"/>
    </row>
    <row r="37" spans="2:5" ht="13.5" customHeight="1">
      <c r="B37" s="1410"/>
      <c r="C37" s="323"/>
      <c r="D37" s="323"/>
      <c r="E37" s="323"/>
    </row>
    <row r="38" spans="2:5" ht="13.5" customHeight="1">
      <c r="B38" s="1409"/>
      <c r="C38" s="323"/>
      <c r="D38" s="323"/>
      <c r="E38" s="323"/>
    </row>
    <row r="39" spans="2:5" ht="13.5" customHeight="1">
      <c r="B39" s="1410"/>
      <c r="C39" s="323"/>
      <c r="D39" s="323"/>
      <c r="E39" s="323"/>
    </row>
    <row r="40" spans="2:5" ht="13.5" customHeight="1">
      <c r="B40" s="1409"/>
      <c r="C40" s="323"/>
      <c r="D40" s="323"/>
      <c r="E40" s="323"/>
    </row>
    <row r="41" spans="2:5" ht="13.5" customHeight="1">
      <c r="B41" s="1411"/>
      <c r="C41" s="323"/>
      <c r="D41" s="323"/>
      <c r="E41" s="323"/>
    </row>
    <row r="42" spans="2:5" ht="13.5" customHeight="1">
      <c r="B42" s="1412"/>
      <c r="C42" s="323"/>
      <c r="D42" s="323"/>
      <c r="E42" s="323"/>
    </row>
    <row r="43" spans="2:5" ht="12.95" customHeight="1">
      <c r="B43" s="1413"/>
      <c r="C43" s="1414"/>
      <c r="D43" s="1414"/>
      <c r="E43" s="323"/>
    </row>
    <row r="44" spans="2:5" ht="12.2" customHeight="1">
      <c r="B44" s="1254" t="s">
        <v>1292</v>
      </c>
      <c r="C44" s="322"/>
    </row>
    <row r="45" spans="2:5" ht="12.2" customHeight="1">
      <c r="B45" s="1415" t="s">
        <v>1731</v>
      </c>
    </row>
    <row r="46" spans="2:5" ht="12.2" customHeight="1">
      <c r="B46" s="1415" t="s">
        <v>1732</v>
      </c>
    </row>
    <row r="47" spans="2:5" ht="12.2" customHeight="1">
      <c r="B47" s="1416" t="s">
        <v>1291</v>
      </c>
    </row>
    <row r="48" spans="2:5" ht="12.2" customHeight="1">
      <c r="B48" s="1416" t="s">
        <v>1290</v>
      </c>
    </row>
    <row r="49" spans="2:5" ht="12.2" customHeight="1">
      <c r="B49" s="1416" t="s">
        <v>1289</v>
      </c>
    </row>
    <row r="50" spans="2:5" ht="12.2" customHeight="1">
      <c r="B50" s="1416" t="s">
        <v>1288</v>
      </c>
    </row>
    <row r="53" spans="2:5" ht="12.95" customHeight="1"/>
    <row r="54" spans="2:5" ht="12.95" customHeight="1">
      <c r="B54" s="1264"/>
    </row>
    <row r="55" spans="2:5" ht="12.95" customHeight="1"/>
    <row r="56" spans="2:5" ht="12.95" customHeight="1">
      <c r="B56" s="322"/>
      <c r="C56" s="322"/>
      <c r="D56" s="322"/>
      <c r="E56" s="322"/>
    </row>
    <row r="57" spans="2:5" ht="12.95" customHeight="1">
      <c r="B57" s="322"/>
      <c r="C57" s="322"/>
      <c r="D57" s="322"/>
      <c r="E57" s="322"/>
    </row>
    <row r="58" spans="2:5" ht="12.95" customHeight="1">
      <c r="B58" s="322"/>
      <c r="C58" s="322"/>
      <c r="D58" s="322"/>
      <c r="E58" s="322"/>
    </row>
    <row r="59" spans="2:5" ht="12.95" customHeight="1">
      <c r="B59" s="322"/>
      <c r="C59" s="322"/>
      <c r="D59" s="322"/>
      <c r="E59" s="322"/>
    </row>
    <row r="60" spans="2:5" ht="12.95" customHeight="1">
      <c r="B60" s="322"/>
      <c r="C60" s="322"/>
      <c r="D60" s="322"/>
      <c r="E60" s="322"/>
    </row>
    <row r="61" spans="2:5" ht="12.95" customHeight="1">
      <c r="B61" s="322"/>
      <c r="C61" s="322"/>
      <c r="D61" s="322"/>
      <c r="E61" s="322"/>
    </row>
    <row r="62" spans="2:5" ht="12.95" customHeight="1">
      <c r="B62" s="322"/>
      <c r="C62" s="322"/>
      <c r="D62" s="322"/>
      <c r="E62" s="322"/>
    </row>
    <row r="63" spans="2:5" ht="12.9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3073C-C246-4DB3-8E1E-84B3E9CD17FD}">
  <sheetPr>
    <tabColor rgb="FF00B050"/>
  </sheetPr>
  <dimension ref="A1"/>
  <sheetViews>
    <sheetView topLeftCell="A37" workbookViewId="0"/>
  </sheetViews>
  <sheetFormatPr defaultRowHeight="12.75"/>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7" colorId="8" zoomScale="110" zoomScaleNormal="110" workbookViewId="0">
      <selection activeCell="B32" sqref="B3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02" t="s">
        <v>386</v>
      </c>
      <c r="B1" s="2102"/>
      <c r="C1" s="2102"/>
      <c r="D1" s="2102"/>
      <c r="E1" s="2102"/>
      <c r="F1" s="2102"/>
      <c r="G1" s="2102"/>
      <c r="H1" s="2102"/>
      <c r="I1" s="2102"/>
      <c r="J1" s="2102"/>
      <c r="K1" s="2102"/>
      <c r="L1" s="2102"/>
      <c r="M1" s="2102"/>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1621</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1908</v>
      </c>
      <c r="E7" s="222"/>
      <c r="F7" s="351" t="s">
        <v>272</v>
      </c>
      <c r="G7" s="222"/>
      <c r="H7" s="222"/>
      <c r="I7" s="222"/>
      <c r="J7" s="352">
        <v>284277406</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1.7600000000000001E-2</v>
      </c>
      <c r="E10" s="356" t="s">
        <v>1005</v>
      </c>
      <c r="F10" s="355">
        <v>4.7000000000000002E-3</v>
      </c>
      <c r="G10" s="356" t="s">
        <v>1005</v>
      </c>
      <c r="H10" s="355">
        <v>1.1999999999999999E-3</v>
      </c>
      <c r="I10" s="356" t="s">
        <v>1006</v>
      </c>
      <c r="J10" s="1663">
        <f>ROUND(D10+F10+H10,5)</f>
        <v>2.35E-2</v>
      </c>
      <c r="K10" s="222"/>
      <c r="L10" s="355">
        <v>5.0000000000000001E-4</v>
      </c>
      <c r="M10" s="222"/>
    </row>
    <row r="11" spans="1:14" ht="7.5" customHeight="1">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1622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4">
        <f>SUM('Acct Summary 7-8'!C8,'Acct Summary 7-8'!D8,'Acct Summary 7-8'!F8,'Acct Summary 7-8'!I8)</f>
        <v>15336178</v>
      </c>
      <c r="E16" s="356"/>
      <c r="F16" s="1664">
        <f>SUM('Acct Summary 7-8'!C17,'Acct Summary 7-8'!D17,'Acct Summary 7-8'!F17)</f>
        <v>15669302</v>
      </c>
      <c r="G16" s="356"/>
      <c r="H16" s="1664">
        <f>SUM(D16-F16)</f>
        <v>-333124</v>
      </c>
      <c r="I16" s="222"/>
      <c r="J16" s="1664">
        <f>SUM('Acct Summary 7-8'!C81,'Acct Summary 7-8'!D81,'Acct Summary 7-8'!F81,'Acct Summary 7-8'!I81)</f>
        <v>10494114</v>
      </c>
      <c r="K16" s="222"/>
      <c r="L16" s="222"/>
      <c r="M16" s="222"/>
    </row>
    <row r="17" spans="1:13" ht="12.2" customHeight="1">
      <c r="A17" s="349"/>
      <c r="B17" s="260" t="s">
        <v>8</v>
      </c>
      <c r="C17" s="237" t="s">
        <v>1375</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95" customHeight="1">
      <c r="A20" s="349" t="s">
        <v>812</v>
      </c>
      <c r="B20" s="349" t="s">
        <v>1623</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4">
        <f>'Short-Term Long-Term Debt 24'!F4</f>
        <v>0</v>
      </c>
      <c r="E22" s="356" t="s">
        <v>1005</v>
      </c>
      <c r="F22" s="1664">
        <f>'Short-Term Long-Term Debt 24'!F15</f>
        <v>0</v>
      </c>
      <c r="G22" s="356" t="s">
        <v>1005</v>
      </c>
      <c r="H22" s="1664">
        <f>'Short-Term Long-Term Debt 24'!F21</f>
        <v>0</v>
      </c>
      <c r="I22" s="356" t="s">
        <v>1005</v>
      </c>
      <c r="J22" s="1664">
        <f>'Short-Term Long-Term Debt 24'!F23</f>
        <v>0</v>
      </c>
      <c r="K22" s="356" t="s">
        <v>1005</v>
      </c>
      <c r="L22" s="1664">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4">
        <f>'Short-Term Long-Term Debt 24'!F27</f>
        <v>0</v>
      </c>
      <c r="E24" s="356" t="s">
        <v>1006</v>
      </c>
      <c r="F24" s="1665">
        <f>SUM(D22,F22,H22,J22,L22, D24)</f>
        <v>0</v>
      </c>
      <c r="G24" s="222"/>
      <c r="H24" s="222"/>
      <c r="I24" s="222"/>
      <c r="J24" s="222"/>
      <c r="K24" s="222"/>
      <c r="L24" s="222"/>
      <c r="M24" s="222"/>
    </row>
    <row r="25" spans="1:13" ht="11.25" customHeight="1">
      <c r="A25" s="349"/>
      <c r="B25" s="181" t="s">
        <v>9</v>
      </c>
      <c r="C25" s="237" t="s">
        <v>2022</v>
      </c>
      <c r="D25" s="222"/>
      <c r="E25" s="222"/>
      <c r="F25" s="222"/>
      <c r="G25" s="222"/>
      <c r="H25" s="222"/>
      <c r="I25" s="222"/>
      <c r="J25" s="222"/>
      <c r="K25" s="222"/>
      <c r="L25" s="222"/>
      <c r="M25" s="222"/>
    </row>
    <row r="26" spans="1:13" ht="9.1999999999999993"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9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2052</v>
      </c>
      <c r="C31" s="367" t="s">
        <v>586</v>
      </c>
      <c r="D31" s="237" t="s">
        <v>1072</v>
      </c>
      <c r="E31" s="222"/>
      <c r="F31" s="222"/>
      <c r="G31" s="363"/>
      <c r="H31" s="1666">
        <f>IF(B31="X",(J7*0.069),IF(B32="X",(J7*0.138),"Enter x in a.or b."))</f>
        <v>19615141.014000002</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5">
        <f>'Assets-Liab 5-6'!N36</f>
        <v>9700405</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9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103"/>
      <c r="C54" s="2104"/>
      <c r="D54" s="2104"/>
      <c r="E54" s="2104"/>
      <c r="F54" s="2104"/>
      <c r="G54" s="2104"/>
      <c r="H54" s="2104"/>
      <c r="I54" s="2104"/>
      <c r="J54" s="2104"/>
      <c r="K54" s="2104"/>
      <c r="L54" s="2105"/>
      <c r="M54" s="380"/>
    </row>
    <row r="55" spans="1:13" ht="12.95" customHeight="1">
      <c r="B55" s="2106"/>
      <c r="C55" s="2107"/>
      <c r="D55" s="2107"/>
      <c r="E55" s="2107"/>
      <c r="F55" s="2107"/>
      <c r="G55" s="2107"/>
      <c r="H55" s="2107"/>
      <c r="I55" s="2107"/>
      <c r="J55" s="2107"/>
      <c r="K55" s="2107"/>
      <c r="L55" s="2108"/>
      <c r="M55" s="380"/>
    </row>
    <row r="56" spans="1:13" ht="12.95" customHeight="1">
      <c r="B56" s="2106"/>
      <c r="C56" s="2107"/>
      <c r="D56" s="2107"/>
      <c r="E56" s="2107"/>
      <c r="F56" s="2107"/>
      <c r="G56" s="2107"/>
      <c r="H56" s="2107"/>
      <c r="I56" s="2107"/>
      <c r="J56" s="2107"/>
      <c r="K56" s="2107"/>
      <c r="L56" s="2108"/>
      <c r="M56" s="222"/>
    </row>
    <row r="57" spans="1:13" ht="12.95" customHeight="1">
      <c r="B57" s="2106"/>
      <c r="C57" s="2107"/>
      <c r="D57" s="2107"/>
      <c r="E57" s="2107"/>
      <c r="F57" s="2107"/>
      <c r="G57" s="2107"/>
      <c r="H57" s="2107"/>
      <c r="I57" s="2107"/>
      <c r="J57" s="2107"/>
      <c r="K57" s="2107"/>
      <c r="L57" s="2108"/>
      <c r="M57" s="222"/>
    </row>
    <row r="58" spans="1:13">
      <c r="B58" s="2109"/>
      <c r="C58" s="2110"/>
      <c r="D58" s="2110"/>
      <c r="E58" s="2110"/>
      <c r="F58" s="2110"/>
      <c r="G58" s="2110"/>
      <c r="H58" s="2110"/>
      <c r="I58" s="2110"/>
      <c r="J58" s="2110"/>
      <c r="K58" s="2110"/>
      <c r="L58" s="211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95" customHeight="1">
      <c r="A61" s="247"/>
      <c r="B61" s="381"/>
      <c r="C61" s="2114"/>
      <c r="D61" s="211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G28" zoomScale="110" zoomScaleNormal="110" workbookViewId="0">
      <selection activeCell="O6" sqref="O6"/>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17"/>
      <c r="B1" s="2118"/>
      <c r="C1" s="2118"/>
      <c r="D1" s="384"/>
      <c r="E1" s="384"/>
      <c r="F1" s="384"/>
      <c r="G1" s="384"/>
      <c r="H1" s="384"/>
      <c r="I1" s="384"/>
      <c r="J1" s="384"/>
      <c r="K1" s="384"/>
      <c r="L1" s="384"/>
      <c r="M1" s="384"/>
      <c r="N1" s="384"/>
      <c r="O1" s="2117"/>
      <c r="P1" s="2118"/>
      <c r="Q1" s="2118"/>
    </row>
    <row r="2" spans="1:18" ht="15">
      <c r="A2" s="2121" t="s">
        <v>556</v>
      </c>
      <c r="B2" s="2121"/>
      <c r="C2" s="2121"/>
      <c r="D2" s="2121"/>
      <c r="E2" s="2121"/>
      <c r="F2" s="2121"/>
      <c r="G2" s="2121"/>
      <c r="H2" s="2121"/>
      <c r="I2" s="2121"/>
      <c r="J2" s="2121"/>
      <c r="K2" s="2121"/>
      <c r="L2" s="2121"/>
      <c r="M2" s="2121"/>
      <c r="N2" s="2121"/>
      <c r="O2" s="2121"/>
      <c r="P2" s="2121"/>
      <c r="Q2" s="2121"/>
      <c r="R2" s="2121"/>
    </row>
    <row r="3" spans="1:18" ht="12.75">
      <c r="A3" s="2122" t="s">
        <v>1392</v>
      </c>
      <c r="B3" s="2122"/>
      <c r="C3" s="2122"/>
      <c r="D3" s="2122"/>
      <c r="E3" s="2122"/>
      <c r="F3" s="2122"/>
      <c r="G3" s="2122"/>
      <c r="H3" s="2122"/>
      <c r="I3" s="2122"/>
      <c r="J3" s="2122"/>
      <c r="K3" s="2122"/>
      <c r="L3" s="2122"/>
      <c r="M3" s="2122"/>
      <c r="N3" s="2122"/>
      <c r="O3" s="2122"/>
      <c r="P3" s="2122"/>
      <c r="Q3" s="2122"/>
      <c r="R3" s="2122"/>
    </row>
    <row r="4" spans="1:18">
      <c r="A4" s="2123" t="s">
        <v>1533</v>
      </c>
      <c r="B4" s="2123"/>
      <c r="C4" s="2123"/>
      <c r="D4" s="2123"/>
      <c r="E4" s="2123"/>
      <c r="F4" s="2123"/>
      <c r="G4" s="2123"/>
      <c r="H4" s="2123"/>
      <c r="I4" s="2123"/>
      <c r="J4" s="2123"/>
      <c r="K4" s="2123"/>
      <c r="L4" s="2123"/>
      <c r="M4" s="2123"/>
      <c r="N4" s="2123"/>
      <c r="O4" s="2123"/>
      <c r="P4" s="2123"/>
      <c r="Q4" s="2123"/>
      <c r="R4" s="212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Rochelle CCSD 231</v>
      </c>
      <c r="E7" s="391"/>
      <c r="G7" s="252"/>
      <c r="H7" s="387"/>
      <c r="I7" s="387"/>
      <c r="J7" s="387"/>
      <c r="K7" s="387"/>
      <c r="L7" s="329"/>
      <c r="M7" s="329"/>
      <c r="N7" s="329"/>
      <c r="O7" s="329"/>
      <c r="P7" s="329"/>
    </row>
    <row r="8" spans="1:18" ht="12.75">
      <c r="A8" s="329"/>
      <c r="B8" s="329"/>
      <c r="C8" s="389" t="s">
        <v>1125</v>
      </c>
      <c r="D8" s="392">
        <f>COVER!A13</f>
        <v>47071231004</v>
      </c>
      <c r="E8" s="393"/>
      <c r="G8" s="329"/>
      <c r="H8" s="329"/>
      <c r="I8" s="329"/>
      <c r="J8" s="329"/>
      <c r="K8" s="329"/>
      <c r="L8" s="329"/>
      <c r="M8" s="329"/>
      <c r="N8" s="329"/>
      <c r="O8" s="329"/>
      <c r="P8" s="329"/>
    </row>
    <row r="9" spans="1:18" ht="12.75">
      <c r="A9" s="329"/>
      <c r="B9" s="329"/>
      <c r="C9" s="389" t="s">
        <v>713</v>
      </c>
      <c r="D9" s="394" t="str">
        <f>COVER!A15</f>
        <v>Ogle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10494114</v>
      </c>
      <c r="I12" s="404"/>
      <c r="J12" s="404"/>
      <c r="K12" s="405">
        <f>TRUNC((H12/H13*100000),5)/100000</f>
        <v>0.68427179180000008</v>
      </c>
      <c r="L12" s="406"/>
      <c r="M12" s="360" t="s">
        <v>1144</v>
      </c>
      <c r="N12" s="360"/>
      <c r="O12" s="407">
        <v>0.35</v>
      </c>
      <c r="P12" s="218"/>
      <c r="Q12" s="218"/>
    </row>
    <row r="13" spans="1:18" s="408" customFormat="1" ht="12.75">
      <c r="A13" s="218"/>
      <c r="B13" s="401"/>
      <c r="C13" s="2119" t="s">
        <v>1303</v>
      </c>
      <c r="D13" s="2120"/>
      <c r="E13" s="218"/>
      <c r="F13" s="409" t="s">
        <v>793</v>
      </c>
      <c r="G13" s="402"/>
      <c r="H13" s="403">
        <f>SUM('Acct Summary 7-8'!C8+'Acct Summary 7-8'!D8+'Acct Summary 7-8'!F8+'Acct Summary 7-8'!I8)+H14</f>
        <v>15336178</v>
      </c>
      <c r="I13" s="404"/>
      <c r="J13" s="404"/>
      <c r="K13" s="410"/>
      <c r="L13" s="218"/>
      <c r="M13" s="360" t="s">
        <v>1145</v>
      </c>
      <c r="N13" s="360"/>
      <c r="O13" s="411">
        <f>(O11*O12)</f>
        <v>1.4</v>
      </c>
      <c r="P13" s="218"/>
      <c r="Q13" s="218"/>
      <c r="R13" s="412"/>
    </row>
    <row r="14" spans="1:18" s="408" customFormat="1" ht="12.75">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1390</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c r="A17" s="218"/>
      <c r="B17" s="401"/>
      <c r="C17" s="218" t="s">
        <v>797</v>
      </c>
      <c r="D17" s="218"/>
      <c r="E17" s="218"/>
      <c r="F17" s="218" t="s">
        <v>444</v>
      </c>
      <c r="G17" s="402"/>
      <c r="H17" s="403">
        <f>SUM('Acct Summary 7-8'!C17+'Acct Summary 7-8'!D17+'Acct Summary 7-8'!F17)</f>
        <v>15669302</v>
      </c>
      <c r="I17" s="404"/>
      <c r="J17" s="416"/>
      <c r="K17" s="405">
        <f>TRUNC((H17/H18*100000),5)/100000</f>
        <v>1.0217214483999999</v>
      </c>
      <c r="L17" s="406"/>
      <c r="M17" s="417" t="s">
        <v>1171</v>
      </c>
      <c r="O17" s="418" t="str">
        <f>IF(AND(O16="2", J20 &gt; 2),"1",IF(AND(O16 = "1", J20 &gt; 2),"2",IF(AND(O16="1", J20 &gt;1),"1","0")))</f>
        <v>0</v>
      </c>
      <c r="P17" s="218"/>
    </row>
    <row r="18" spans="1:18" s="408" customFormat="1" ht="11.25">
      <c r="A18" s="218"/>
      <c r="B18" s="401"/>
      <c r="C18" s="2119" t="s">
        <v>1296</v>
      </c>
      <c r="D18" s="2120"/>
      <c r="E18" s="218"/>
      <c r="F18" s="419" t="s">
        <v>794</v>
      </c>
      <c r="G18" s="402"/>
      <c r="H18" s="403">
        <f>SUM('Acct Summary 7-8'!C8+'Acct Summary 7-8'!D8+'Acct Summary 7-8'!F8+'Acct Summary 7-8'!I8)+H19</f>
        <v>15336178</v>
      </c>
      <c r="I18" s="404"/>
      <c r="J18" s="404"/>
      <c r="K18" s="410"/>
      <c r="L18" s="218"/>
      <c r="M18" s="360" t="s">
        <v>1144</v>
      </c>
      <c r="N18" s="360"/>
      <c r="O18" s="410">
        <v>0.35</v>
      </c>
      <c r="P18" s="218"/>
    </row>
    <row r="19" spans="1:18" s="408" customFormat="1" ht="11.25">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1390</v>
      </c>
      <c r="D20" s="218"/>
      <c r="E20" s="218"/>
      <c r="F20" s="218"/>
      <c r="G20" s="402"/>
      <c r="H20" s="420"/>
      <c r="I20" s="404"/>
      <c r="J20" s="421">
        <f>IF(K17&lt;=1,"0",TRUNC(((K12-0.1)/(K17-1)*100),5)/100)</f>
        <v>26.898380799999998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16" t="s">
        <v>1391</v>
      </c>
      <c r="D24" s="2116"/>
      <c r="E24" s="218"/>
      <c r="F24" s="218" t="s">
        <v>445</v>
      </c>
      <c r="G24" s="402"/>
      <c r="H24" s="403">
        <f>SUM('Assets-Liab 5-6'!C4+'Assets-Liab 5-6'!D4+'Assets-Liab 5-6'!F4+'Assets-Liab 5-6'!I4+'Assets-Liab 5-6'!C5+'Assets-Liab 5-6'!D5+'Assets-Liab 5-6'!F5+'Assets-Liab 5-6'!I5)</f>
        <v>10490982</v>
      </c>
      <c r="I24" s="422"/>
      <c r="J24" s="422"/>
      <c r="K24" s="423">
        <f>TRUNC(((H24/H25*100000)/100000),2)</f>
        <v>241.02</v>
      </c>
      <c r="L24" s="424"/>
      <c r="M24" s="360" t="s">
        <v>1144</v>
      </c>
      <c r="N24" s="360"/>
      <c r="O24" s="411">
        <v>0.1</v>
      </c>
      <c r="P24" s="218"/>
    </row>
    <row r="25" spans="1:18" s="408" customFormat="1" ht="12.75">
      <c r="A25" s="218"/>
      <c r="B25" s="401"/>
      <c r="C25" s="218" t="s">
        <v>798</v>
      </c>
      <c r="D25" s="218"/>
      <c r="E25" s="218"/>
      <c r="F25" s="218" t="s">
        <v>446</v>
      </c>
      <c r="G25" s="402"/>
      <c r="H25" s="423">
        <f>ROUND((H17/360),5)</f>
        <v>43525.838889999999</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5678441.1848499998</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c r="A32" s="218"/>
      <c r="B32" s="401"/>
      <c r="C32" s="218" t="s">
        <v>847</v>
      </c>
      <c r="D32" s="218"/>
      <c r="E32" s="218"/>
      <c r="F32" s="218"/>
      <c r="G32" s="402"/>
      <c r="H32" s="403">
        <f>'FP Info 3'!H37</f>
        <v>9700405</v>
      </c>
      <c r="I32" s="420"/>
      <c r="J32" s="420"/>
      <c r="K32" s="423">
        <f>TRUNC(100-((((H32/H33*100))*100)/100),2)</f>
        <v>50.54</v>
      </c>
      <c r="L32" s="406"/>
      <c r="M32" s="360" t="s">
        <v>1144</v>
      </c>
      <c r="N32" s="360"/>
      <c r="O32" s="434">
        <v>0.1</v>
      </c>
    </row>
    <row r="33" spans="1:17" s="408" customFormat="1" ht="11.25">
      <c r="A33" s="218"/>
      <c r="B33" s="401"/>
      <c r="C33" s="218" t="s">
        <v>799</v>
      </c>
      <c r="D33" s="218"/>
      <c r="E33" s="218"/>
      <c r="F33" s="218"/>
      <c r="G33" s="402"/>
      <c r="H33" s="403">
        <f>IF('FP Info 3'!H31="Enter X in a or b"," ",'FP Info 3'!H31)</f>
        <v>19615141.014000002</v>
      </c>
      <c r="I33" s="420"/>
      <c r="J33" s="420"/>
      <c r="K33" s="403"/>
      <c r="L33" s="218"/>
      <c r="M33" s="435" t="s">
        <v>1145</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3.55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1946</v>
      </c>
      <c r="N37" s="414"/>
      <c r="O37" s="442" t="str">
        <f>IF(O35&gt;3.53,"RECOGNITION",IF(O35&gt;3.07,"REVIEW ",IF(O35&gt;2.61,"WARNING","WATCH")))</f>
        <v>RECOGNITION</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1485</v>
      </c>
      <c r="I40" s="408"/>
      <c r="J40" s="408"/>
      <c r="K40" s="410"/>
      <c r="L40" s="408"/>
      <c r="M40" s="408"/>
      <c r="N40" s="408"/>
      <c r="O40" s="218"/>
      <c r="P40" s="216"/>
      <c r="Q40" s="216"/>
    </row>
    <row r="41" spans="1:17">
      <c r="G41" s="448"/>
      <c r="H41" s="218" t="s">
        <v>1486</v>
      </c>
      <c r="M41" s="216"/>
      <c r="O41" s="216"/>
      <c r="P41" s="216"/>
      <c r="Q41" s="216"/>
    </row>
    <row r="42" spans="1:17">
      <c r="A42" s="385" t="s">
        <v>1487</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110" zoomScaleNormal="110" workbookViewId="0">
      <pane ySplit="2" topLeftCell="A27" activePane="bottomLeft" state="frozen"/>
      <selection activeCell="X29" sqref="X29"/>
      <selection pane="bottomLeft" activeCell="M41" sqref="M4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24"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26" t="s">
        <v>973</v>
      </c>
      <c r="B3" s="2127"/>
      <c r="C3" s="1491"/>
      <c r="D3" s="1492"/>
      <c r="E3" s="1492"/>
      <c r="F3" s="1492"/>
      <c r="G3" s="1492"/>
      <c r="H3" s="1492"/>
      <c r="I3" s="1492"/>
      <c r="J3" s="1492"/>
      <c r="K3" s="1492"/>
      <c r="L3" s="1492"/>
      <c r="M3" s="1493"/>
      <c r="N3" s="1494"/>
    </row>
    <row r="4" spans="1:14" ht="13.5" customHeight="1">
      <c r="A4" s="463" t="s">
        <v>1624</v>
      </c>
      <c r="B4" s="464"/>
      <c r="C4" s="465">
        <v>2687504</v>
      </c>
      <c r="D4" s="466">
        <v>5136058</v>
      </c>
      <c r="E4" s="466">
        <v>723179</v>
      </c>
      <c r="F4" s="466">
        <v>803652</v>
      </c>
      <c r="G4" s="466">
        <v>449999</v>
      </c>
      <c r="H4" s="466"/>
      <c r="I4" s="466">
        <v>1863768</v>
      </c>
      <c r="J4" s="467">
        <v>379037</v>
      </c>
      <c r="K4" s="466">
        <v>169841</v>
      </c>
      <c r="L4" s="466">
        <v>34266</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v>3132</v>
      </c>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7" t="s">
        <v>644</v>
      </c>
      <c r="B13" s="1640"/>
      <c r="C13" s="1668">
        <f>SUM(C4:C12)</f>
        <v>2690636</v>
      </c>
      <c r="D13" s="1668">
        <f t="shared" ref="D13:L13" si="0">SUM(D4:D12)</f>
        <v>5136058</v>
      </c>
      <c r="E13" s="1668">
        <f t="shared" si="0"/>
        <v>723179</v>
      </c>
      <c r="F13" s="1668">
        <f t="shared" si="0"/>
        <v>803652</v>
      </c>
      <c r="G13" s="1668">
        <f t="shared" si="0"/>
        <v>449999</v>
      </c>
      <c r="H13" s="1668">
        <f t="shared" si="0"/>
        <v>0</v>
      </c>
      <c r="I13" s="1668">
        <f t="shared" si="0"/>
        <v>1863768</v>
      </c>
      <c r="J13" s="1668">
        <f t="shared" si="0"/>
        <v>379037</v>
      </c>
      <c r="K13" s="1668">
        <f t="shared" si="0"/>
        <v>169841</v>
      </c>
      <c r="L13" s="1668">
        <f t="shared" si="0"/>
        <v>34266</v>
      </c>
      <c r="M13" s="468"/>
      <c r="N13" s="469"/>
    </row>
    <row r="14" spans="1:14" ht="18" customHeight="1" thickTop="1">
      <c r="A14" s="2128" t="s">
        <v>147</v>
      </c>
      <c r="B14" s="2129"/>
      <c r="C14" s="1495"/>
      <c r="D14" s="1496"/>
      <c r="E14" s="1496"/>
      <c r="F14" s="1496"/>
      <c r="G14" s="1496"/>
      <c r="H14" s="1496"/>
      <c r="I14" s="1496"/>
      <c r="J14" s="1496"/>
      <c r="K14" s="1496"/>
      <c r="L14" s="1496"/>
      <c r="M14" s="1497"/>
      <c r="N14" s="1498"/>
    </row>
    <row r="15" spans="1:14" s="485" customFormat="1" ht="12.95" customHeight="1">
      <c r="A15" s="482" t="s">
        <v>1380</v>
      </c>
      <c r="B15" s="483">
        <v>210</v>
      </c>
      <c r="C15" s="477"/>
      <c r="D15" s="477"/>
      <c r="E15" s="477"/>
      <c r="F15" s="477"/>
      <c r="G15" s="477"/>
      <c r="H15" s="477"/>
      <c r="I15" s="477"/>
      <c r="J15" s="477"/>
      <c r="K15" s="477"/>
      <c r="L15" s="477"/>
      <c r="M15" s="478"/>
      <c r="N15" s="484"/>
    </row>
    <row r="16" spans="1:14" s="485" customFormat="1" ht="12.95" customHeight="1">
      <c r="A16" s="482" t="s">
        <v>1381</v>
      </c>
      <c r="B16" s="483">
        <v>220</v>
      </c>
      <c r="C16" s="477"/>
      <c r="D16" s="477"/>
      <c r="E16" s="477"/>
      <c r="F16" s="477"/>
      <c r="G16" s="477"/>
      <c r="H16" s="477"/>
      <c r="I16" s="477"/>
      <c r="J16" s="477"/>
      <c r="K16" s="477"/>
      <c r="L16" s="477"/>
      <c r="M16" s="467">
        <v>1930229</v>
      </c>
      <c r="N16" s="484"/>
    </row>
    <row r="17" spans="1:14" s="485" customFormat="1" ht="12.95" customHeight="1">
      <c r="A17" s="482" t="s">
        <v>1382</v>
      </c>
      <c r="B17" s="483">
        <v>230</v>
      </c>
      <c r="C17" s="477"/>
      <c r="D17" s="477"/>
      <c r="E17" s="477"/>
      <c r="F17" s="477"/>
      <c r="G17" s="477"/>
      <c r="H17" s="477"/>
      <c r="I17" s="477"/>
      <c r="J17" s="477"/>
      <c r="K17" s="477"/>
      <c r="L17" s="477"/>
      <c r="M17" s="467">
        <v>25557761</v>
      </c>
      <c r="N17" s="484"/>
    </row>
    <row r="18" spans="1:14" s="485" customFormat="1" ht="12.95" customHeight="1">
      <c r="A18" s="482" t="s">
        <v>1383</v>
      </c>
      <c r="B18" s="483">
        <v>240</v>
      </c>
      <c r="C18" s="477"/>
      <c r="D18" s="477"/>
      <c r="E18" s="477"/>
      <c r="F18" s="477"/>
      <c r="G18" s="477"/>
      <c r="H18" s="477"/>
      <c r="I18" s="477"/>
      <c r="J18" s="477"/>
      <c r="K18" s="477"/>
      <c r="L18" s="477"/>
      <c r="M18" s="467">
        <v>942030</v>
      </c>
      <c r="N18" s="484"/>
    </row>
    <row r="19" spans="1:14" s="485" customFormat="1" ht="12.95" customHeight="1">
      <c r="A19" s="482" t="s">
        <v>1384</v>
      </c>
      <c r="B19" s="483">
        <v>250</v>
      </c>
      <c r="C19" s="477"/>
      <c r="D19" s="477"/>
      <c r="E19" s="477"/>
      <c r="F19" s="477"/>
      <c r="G19" s="477"/>
      <c r="H19" s="477"/>
      <c r="I19" s="477"/>
      <c r="J19" s="477"/>
      <c r="K19" s="477"/>
      <c r="L19" s="477"/>
      <c r="M19" s="467">
        <f>489518+187373+11025</f>
        <v>687916</v>
      </c>
      <c r="N19" s="484"/>
    </row>
    <row r="20" spans="1:14" s="485" customFormat="1" ht="12.95" customHeight="1">
      <c r="A20" s="482" t="s">
        <v>1385</v>
      </c>
      <c r="B20" s="483">
        <v>260</v>
      </c>
      <c r="C20" s="477"/>
      <c r="D20" s="477"/>
      <c r="E20" s="477"/>
      <c r="F20" s="477"/>
      <c r="G20" s="477"/>
      <c r="H20" s="477"/>
      <c r="I20" s="477"/>
      <c r="J20" s="477"/>
      <c r="K20" s="477"/>
      <c r="L20" s="477"/>
      <c r="M20" s="467"/>
      <c r="N20" s="484"/>
    </row>
    <row r="21" spans="1:14" s="485" customFormat="1" ht="12.95" customHeight="1">
      <c r="A21" s="482" t="s">
        <v>1386</v>
      </c>
      <c r="B21" s="483">
        <v>340</v>
      </c>
      <c r="C21" s="477"/>
      <c r="D21" s="477"/>
      <c r="E21" s="477"/>
      <c r="F21" s="477"/>
      <c r="G21" s="477"/>
      <c r="H21" s="477"/>
      <c r="I21" s="477"/>
      <c r="J21" s="477"/>
      <c r="K21" s="477"/>
      <c r="L21" s="477"/>
      <c r="M21" s="486"/>
      <c r="N21" s="467">
        <v>723179</v>
      </c>
    </row>
    <row r="22" spans="1:14" s="485" customFormat="1" ht="12.95" customHeight="1">
      <c r="A22" s="482" t="s">
        <v>1387</v>
      </c>
      <c r="B22" s="483">
        <v>350</v>
      </c>
      <c r="C22" s="477"/>
      <c r="D22" s="477"/>
      <c r="E22" s="477"/>
      <c r="F22" s="477"/>
      <c r="G22" s="477"/>
      <c r="H22" s="477"/>
      <c r="I22" s="477"/>
      <c r="J22" s="477"/>
      <c r="K22" s="477"/>
      <c r="L22" s="477"/>
      <c r="M22" s="486"/>
      <c r="N22" s="487">
        <f>'Short-Term Long-Term Debt 24'!J49</f>
        <v>8977226</v>
      </c>
    </row>
    <row r="23" spans="1:14" ht="13.5" customHeight="1" thickBot="1">
      <c r="A23" s="1667" t="s">
        <v>643</v>
      </c>
      <c r="B23" s="1672"/>
      <c r="C23" s="468"/>
      <c r="D23" s="468"/>
      <c r="E23" s="468"/>
      <c r="F23" s="468"/>
      <c r="G23" s="468"/>
      <c r="H23" s="468"/>
      <c r="I23" s="468"/>
      <c r="J23" s="468"/>
      <c r="K23" s="468"/>
      <c r="L23" s="468"/>
      <c r="M23" s="1619">
        <f>SUM(M15:M22)</f>
        <v>29117936</v>
      </c>
      <c r="N23" s="1619">
        <f>SUM(N21:N22)</f>
        <v>9700405</v>
      </c>
    </row>
    <row r="24" spans="1:14" ht="18" customHeight="1" thickTop="1">
      <c r="A24" s="2130" t="s">
        <v>598</v>
      </c>
      <c r="B24" s="2131"/>
      <c r="C24" s="1500"/>
      <c r="D24" s="1497"/>
      <c r="E24" s="1497"/>
      <c r="F24" s="1497"/>
      <c r="G24" s="1497"/>
      <c r="H24" s="1497"/>
      <c r="I24" s="1497"/>
      <c r="J24" s="1497"/>
      <c r="K24" s="1497"/>
      <c r="L24" s="1497"/>
      <c r="M24" s="1496"/>
      <c r="N24" s="1501"/>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v>1428</v>
      </c>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34266</v>
      </c>
      <c r="M33" s="468"/>
      <c r="N33" s="469"/>
    </row>
    <row r="34" spans="1:14" ht="13.5" customHeight="1" thickBot="1">
      <c r="A34" s="1669" t="s">
        <v>654</v>
      </c>
      <c r="B34" s="1670"/>
      <c r="C34" s="1671">
        <f>SUM(C25:C33)</f>
        <v>0</v>
      </c>
      <c r="D34" s="1671">
        <f t="shared" ref="D34:K34" si="1">SUM(D25:D33)</f>
        <v>0</v>
      </c>
      <c r="E34" s="1671">
        <f t="shared" si="1"/>
        <v>0</v>
      </c>
      <c r="F34" s="1671">
        <f t="shared" si="1"/>
        <v>0</v>
      </c>
      <c r="G34" s="1671">
        <f t="shared" si="1"/>
        <v>1428</v>
      </c>
      <c r="H34" s="1671">
        <f t="shared" si="1"/>
        <v>0</v>
      </c>
      <c r="I34" s="1671">
        <f t="shared" si="1"/>
        <v>0</v>
      </c>
      <c r="J34" s="1671">
        <f t="shared" si="1"/>
        <v>0</v>
      </c>
      <c r="K34" s="1671">
        <f t="shared" si="1"/>
        <v>0</v>
      </c>
      <c r="L34" s="1652">
        <f>SUM(L33)</f>
        <v>34266</v>
      </c>
      <c r="M34" s="468"/>
      <c r="N34" s="480"/>
    </row>
    <row r="35" spans="1:14" ht="18" customHeight="1" thickTop="1">
      <c r="A35" s="2132" t="s">
        <v>529</v>
      </c>
      <c r="B35" s="2133"/>
      <c r="C35" s="1502"/>
      <c r="D35" s="1503"/>
      <c r="E35" s="1503"/>
      <c r="F35" s="1503"/>
      <c r="G35" s="1503"/>
      <c r="H35" s="1503"/>
      <c r="I35" s="1503"/>
      <c r="J35" s="1503"/>
      <c r="K35" s="1503"/>
      <c r="L35" s="1503"/>
      <c r="M35" s="1497"/>
      <c r="N35" s="1501"/>
    </row>
    <row r="36" spans="1:14">
      <c r="A36" s="494" t="s">
        <v>1</v>
      </c>
      <c r="B36" s="470">
        <v>511</v>
      </c>
      <c r="C36" s="477"/>
      <c r="D36" s="477"/>
      <c r="E36" s="477"/>
      <c r="F36" s="477"/>
      <c r="G36" s="477"/>
      <c r="H36" s="477"/>
      <c r="I36" s="477"/>
      <c r="J36" s="477"/>
      <c r="K36" s="477"/>
      <c r="L36" s="468"/>
      <c r="M36" s="468"/>
      <c r="N36" s="495">
        <f>'Short-Term Long-Term Debt 24'!I49</f>
        <v>9700405</v>
      </c>
    </row>
    <row r="37" spans="1:14" ht="13.5" thickBot="1">
      <c r="A37" s="1667" t="s">
        <v>653</v>
      </c>
      <c r="B37" s="1672"/>
      <c r="C37" s="477"/>
      <c r="D37" s="477"/>
      <c r="E37" s="477"/>
      <c r="F37" s="477"/>
      <c r="G37" s="477"/>
      <c r="H37" s="477"/>
      <c r="I37" s="477"/>
      <c r="J37" s="477"/>
      <c r="K37" s="477"/>
      <c r="L37" s="480"/>
      <c r="M37" s="468"/>
      <c r="N37" s="1619">
        <f>SUM(N36:N36)</f>
        <v>9700405</v>
      </c>
    </row>
    <row r="38" spans="1:14" s="329" customFormat="1" ht="13.5" customHeight="1" thickTop="1">
      <c r="A38" s="496" t="s">
        <v>420</v>
      </c>
      <c r="B38" s="483">
        <v>714</v>
      </c>
      <c r="C38" s="466"/>
      <c r="D38" s="466">
        <v>21669</v>
      </c>
      <c r="E38" s="466"/>
      <c r="F38" s="466"/>
      <c r="G38" s="466"/>
      <c r="H38" s="466"/>
      <c r="I38" s="466"/>
      <c r="J38" s="467"/>
      <c r="K38" s="466"/>
      <c r="L38" s="481"/>
      <c r="M38" s="497"/>
      <c r="N38" s="497"/>
    </row>
    <row r="39" spans="1:14" s="329" customFormat="1" ht="13.5" customHeight="1">
      <c r="A39" s="496" t="s">
        <v>342</v>
      </c>
      <c r="B39" s="483">
        <v>730</v>
      </c>
      <c r="C39" s="466">
        <v>2690636</v>
      </c>
      <c r="D39" s="466">
        <v>5114389</v>
      </c>
      <c r="E39" s="466">
        <v>723179</v>
      </c>
      <c r="F39" s="466">
        <v>803652</v>
      </c>
      <c r="G39" s="466">
        <v>448571</v>
      </c>
      <c r="H39" s="466"/>
      <c r="I39" s="466">
        <v>1863768</v>
      </c>
      <c r="J39" s="467">
        <v>379037</v>
      </c>
      <c r="K39" s="466">
        <v>169841</v>
      </c>
      <c r="L39" s="466"/>
      <c r="M39" s="497"/>
      <c r="N39" s="497"/>
    </row>
    <row r="40" spans="1:14" s="329" customFormat="1" ht="13.5" customHeight="1">
      <c r="A40" s="498" t="s">
        <v>148</v>
      </c>
      <c r="B40" s="499"/>
      <c r="C40" s="500"/>
      <c r="D40" s="500"/>
      <c r="E40" s="500"/>
      <c r="F40" s="500"/>
      <c r="G40" s="500"/>
      <c r="H40" s="500"/>
      <c r="I40" s="500"/>
      <c r="J40" s="500"/>
      <c r="K40" s="500"/>
      <c r="L40" s="500"/>
      <c r="M40" s="467">
        <v>29117936</v>
      </c>
      <c r="N40" s="497"/>
    </row>
    <row r="41" spans="1:14" ht="13.5" customHeight="1" thickBot="1">
      <c r="A41" s="1667" t="s">
        <v>655</v>
      </c>
      <c r="B41" s="1637"/>
      <c r="C41" s="1619">
        <f>(SUM(C34,C37,C38,C39))</f>
        <v>2690636</v>
      </c>
      <c r="D41" s="1619">
        <f t="shared" ref="D41:L41" si="2">SUM(D34,D37,D38:D39)</f>
        <v>5136058</v>
      </c>
      <c r="E41" s="1619">
        <f t="shared" si="2"/>
        <v>723179</v>
      </c>
      <c r="F41" s="1619">
        <f t="shared" si="2"/>
        <v>803652</v>
      </c>
      <c r="G41" s="1619">
        <f t="shared" si="2"/>
        <v>449999</v>
      </c>
      <c r="H41" s="1619">
        <f t="shared" si="2"/>
        <v>0</v>
      </c>
      <c r="I41" s="1619">
        <f t="shared" si="2"/>
        <v>1863768</v>
      </c>
      <c r="J41" s="1619">
        <f t="shared" si="2"/>
        <v>379037</v>
      </c>
      <c r="K41" s="1619">
        <f t="shared" si="2"/>
        <v>169841</v>
      </c>
      <c r="L41" s="1619">
        <f t="shared" si="2"/>
        <v>34266</v>
      </c>
      <c r="M41" s="1619">
        <f>SUM(M40)</f>
        <v>29117936</v>
      </c>
      <c r="N41" s="1619">
        <f>SUM(N37)</f>
        <v>9700405</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X29" sqref="X29"/>
      <selection pane="bottomLeft" activeCell="C10" sqref="C10"/>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c r="A1" s="2142"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4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54" t="s">
        <v>1175</v>
      </c>
      <c r="B3" s="2155"/>
      <c r="C3" s="1505"/>
      <c r="D3" s="1506"/>
      <c r="E3" s="1506"/>
      <c r="F3" s="1506"/>
      <c r="G3" s="1506"/>
      <c r="H3" s="1506"/>
      <c r="I3" s="1506"/>
      <c r="J3" s="1506"/>
      <c r="K3" s="1507"/>
      <c r="L3" s="506"/>
    </row>
    <row r="4" spans="1:13" ht="15.75" customHeight="1">
      <c r="A4" s="1859" t="s">
        <v>1478</v>
      </c>
      <c r="B4" s="1860">
        <v>1000</v>
      </c>
      <c r="C4" s="1673">
        <f>'Revenues 9-14'!C109</f>
        <v>5812963</v>
      </c>
      <c r="D4" s="1673">
        <f>'Revenues 9-14'!D109</f>
        <v>1358935</v>
      </c>
      <c r="E4" s="1673">
        <f>'Revenues 9-14'!E109</f>
        <v>1310908</v>
      </c>
      <c r="F4" s="1673">
        <f>'Revenues 9-14'!F109</f>
        <v>392672</v>
      </c>
      <c r="G4" s="1673">
        <f>'Revenues 9-14'!G109</f>
        <v>348678</v>
      </c>
      <c r="H4" s="1673">
        <f>'Revenues 9-14'!H109</f>
        <v>0</v>
      </c>
      <c r="I4" s="1673">
        <f>'Revenues 9-14'!I109</f>
        <v>163509</v>
      </c>
      <c r="J4" s="1673">
        <f>'Revenues 9-14'!J109</f>
        <v>597522</v>
      </c>
      <c r="K4" s="1673">
        <f>'Revenues 9-14'!K109</f>
        <v>43998</v>
      </c>
      <c r="L4" s="347"/>
    </row>
    <row r="5" spans="1:13" ht="15.75" customHeight="1">
      <c r="A5" s="1508" t="s">
        <v>1479</v>
      </c>
      <c r="B5" s="1509">
        <v>2000</v>
      </c>
      <c r="C5" s="1674">
        <f>'Revenues 9-14'!C114</f>
        <v>0</v>
      </c>
      <c r="D5" s="1674">
        <f>'Revenues 9-14'!D114</f>
        <v>0</v>
      </c>
      <c r="E5" s="508"/>
      <c r="F5" s="1674">
        <f>'Revenues 9-14'!F114</f>
        <v>0</v>
      </c>
      <c r="G5" s="1674">
        <f>'Revenues 9-14'!G114</f>
        <v>0</v>
      </c>
      <c r="H5" s="509" t="s">
        <v>1169</v>
      </c>
      <c r="I5" s="510" t="s">
        <v>1169</v>
      </c>
      <c r="J5" s="511" t="s">
        <v>1169</v>
      </c>
      <c r="K5" s="512" t="s">
        <v>1169</v>
      </c>
      <c r="L5" s="347"/>
    </row>
    <row r="6" spans="1:13" ht="15.75" customHeight="1">
      <c r="A6" s="1508" t="s">
        <v>1480</v>
      </c>
      <c r="B6" s="1510">
        <v>3000</v>
      </c>
      <c r="C6" s="1674">
        <f>'Revenues 9-14'!C170</f>
        <v>5503775</v>
      </c>
      <c r="D6" s="1674">
        <f>'Revenues 9-14'!D170</f>
        <v>0</v>
      </c>
      <c r="E6" s="1674">
        <f>'Revenues 9-14'!E170</f>
        <v>0</v>
      </c>
      <c r="F6" s="1674">
        <f>'Revenues 9-14'!F170</f>
        <v>545874</v>
      </c>
      <c r="G6" s="1674">
        <f>'Revenues 9-14'!G170</f>
        <v>0</v>
      </c>
      <c r="H6" s="1674">
        <f>'Revenues 9-14'!H170</f>
        <v>0</v>
      </c>
      <c r="I6" s="1674">
        <f>'Revenues 9-14'!I170</f>
        <v>0</v>
      </c>
      <c r="J6" s="1674">
        <f>'Revenues 9-14'!J170</f>
        <v>0</v>
      </c>
      <c r="K6" s="1674">
        <f>'Revenues 9-14'!K170</f>
        <v>0</v>
      </c>
      <c r="L6" s="347"/>
      <c r="M6" s="513"/>
    </row>
    <row r="7" spans="1:13" ht="15.75" customHeight="1">
      <c r="A7" s="1508" t="s">
        <v>1481</v>
      </c>
      <c r="B7" s="1510">
        <v>4000</v>
      </c>
      <c r="C7" s="1674">
        <f>'Revenues 9-14'!C267</f>
        <v>1558450</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7"/>
      <c r="M7" s="513"/>
    </row>
    <row r="8" spans="1:13" ht="13.5" thickBot="1">
      <c r="A8" s="1667" t="s">
        <v>1172</v>
      </c>
      <c r="B8" s="1640"/>
      <c r="C8" s="1619">
        <f>SUM(C4:C7)</f>
        <v>12875188</v>
      </c>
      <c r="D8" s="1619">
        <f t="shared" ref="D8:K8" si="0">SUM(D4:D7)</f>
        <v>1358935</v>
      </c>
      <c r="E8" s="1619">
        <f t="shared" si="0"/>
        <v>1310908</v>
      </c>
      <c r="F8" s="1619">
        <f t="shared" si="0"/>
        <v>938546</v>
      </c>
      <c r="G8" s="1619">
        <f t="shared" si="0"/>
        <v>348678</v>
      </c>
      <c r="H8" s="1619">
        <f t="shared" si="0"/>
        <v>0</v>
      </c>
      <c r="I8" s="1619">
        <f t="shared" si="0"/>
        <v>163509</v>
      </c>
      <c r="J8" s="1619">
        <f t="shared" si="0"/>
        <v>597522</v>
      </c>
      <c r="K8" s="1619">
        <f t="shared" si="0"/>
        <v>43998</v>
      </c>
      <c r="L8" s="347"/>
    </row>
    <row r="9" spans="1:13" ht="15.75" thickTop="1">
      <c r="A9" s="514" t="s">
        <v>1626</v>
      </c>
      <c r="B9" s="515">
        <v>3998</v>
      </c>
      <c r="C9" s="481">
        <v>6052645</v>
      </c>
      <c r="D9" s="516"/>
      <c r="E9" s="481"/>
      <c r="F9" s="481"/>
      <c r="G9" s="517"/>
      <c r="H9" s="481"/>
      <c r="I9" s="509" t="s">
        <v>1169</v>
      </c>
      <c r="J9" s="478"/>
      <c r="K9" s="481"/>
      <c r="L9" s="347"/>
    </row>
    <row r="10" spans="1:13" s="519" customFormat="1" ht="13.5" thickBot="1">
      <c r="A10" s="1667" t="s">
        <v>1173</v>
      </c>
      <c r="B10" s="1640"/>
      <c r="C10" s="1619">
        <f>SUM(C8:C9)</f>
        <v>18927833</v>
      </c>
      <c r="D10" s="1619">
        <f t="shared" ref="D10:K10" si="1">SUM(D8:D9)</f>
        <v>1358935</v>
      </c>
      <c r="E10" s="1619">
        <f t="shared" si="1"/>
        <v>1310908</v>
      </c>
      <c r="F10" s="1619">
        <f t="shared" si="1"/>
        <v>938546</v>
      </c>
      <c r="G10" s="1619">
        <f t="shared" si="1"/>
        <v>348678</v>
      </c>
      <c r="H10" s="1619">
        <f t="shared" si="1"/>
        <v>0</v>
      </c>
      <c r="I10" s="1619">
        <f t="shared" si="1"/>
        <v>163509</v>
      </c>
      <c r="J10" s="1619">
        <f t="shared" si="1"/>
        <v>597522</v>
      </c>
      <c r="K10" s="1619">
        <f t="shared" si="1"/>
        <v>43998</v>
      </c>
      <c r="L10" s="518"/>
    </row>
    <row r="11" spans="1:13" s="519" customFormat="1" ht="16.7" customHeight="1" thickTop="1">
      <c r="A11" s="2128" t="s">
        <v>1176</v>
      </c>
      <c r="B11" s="2129"/>
      <c r="C11" s="1502"/>
      <c r="D11" s="1503"/>
      <c r="E11" s="1503"/>
      <c r="F11" s="1503"/>
      <c r="G11" s="1503"/>
      <c r="H11" s="1503"/>
      <c r="I11" s="1503"/>
      <c r="J11" s="1503"/>
      <c r="K11" s="1504"/>
      <c r="L11" s="518"/>
    </row>
    <row r="12" spans="1:13" ht="15.75" customHeight="1">
      <c r="A12" s="1508" t="s">
        <v>456</v>
      </c>
      <c r="B12" s="1510">
        <v>1000</v>
      </c>
      <c r="C12" s="1673">
        <f>'Expenditures 15-22'!K33</f>
        <v>9250869</v>
      </c>
      <c r="D12" s="520" t="s">
        <v>1169</v>
      </c>
      <c r="E12" s="468" t="s">
        <v>1169</v>
      </c>
      <c r="F12" s="468" t="s">
        <v>1169</v>
      </c>
      <c r="G12" s="1673">
        <f>'Expenditures 15-22'!K229</f>
        <v>220633</v>
      </c>
      <c r="H12" s="521"/>
      <c r="I12" s="468" t="s">
        <v>1169</v>
      </c>
      <c r="J12" s="468" t="s">
        <v>1169</v>
      </c>
      <c r="K12" s="521" t="s">
        <v>1169</v>
      </c>
      <c r="L12" s="347"/>
    </row>
    <row r="13" spans="1:13" ht="15.75" customHeight="1">
      <c r="A13" s="1508" t="s">
        <v>457</v>
      </c>
      <c r="B13" s="1510">
        <v>2000</v>
      </c>
      <c r="C13" s="1674">
        <f>'Expenditures 15-22'!K74</f>
        <v>3065949</v>
      </c>
      <c r="D13" s="1674">
        <f>'Expenditures 15-22'!K129</f>
        <v>1401002</v>
      </c>
      <c r="E13" s="469" t="s">
        <v>1169</v>
      </c>
      <c r="F13" s="1674">
        <f>'Expenditures 15-22'!K184</f>
        <v>271265</v>
      </c>
      <c r="G13" s="1674">
        <f>'Expenditures 15-22'!K279</f>
        <v>167615</v>
      </c>
      <c r="H13" s="1674">
        <f>'Expenditures 15-22'!K303</f>
        <v>0</v>
      </c>
      <c r="I13" s="468" t="s">
        <v>1169</v>
      </c>
      <c r="J13" s="1674">
        <f>'Expenditures 15-22'!K330</f>
        <v>684919</v>
      </c>
      <c r="K13" s="1678">
        <f>'Expenditures 15-22'!K352</f>
        <v>821113</v>
      </c>
      <c r="L13" s="347"/>
    </row>
    <row r="14" spans="1:13" ht="15.75" customHeight="1">
      <c r="A14" s="1508" t="s">
        <v>449</v>
      </c>
      <c r="B14" s="1510">
        <v>3000</v>
      </c>
      <c r="C14" s="1674">
        <f>'Expenditures 15-22'!K75</f>
        <v>2382</v>
      </c>
      <c r="D14" s="1674">
        <f>'Expenditures 15-22'!K130</f>
        <v>0</v>
      </c>
      <c r="E14" s="520" t="s">
        <v>1169</v>
      </c>
      <c r="F14" s="1674">
        <f>'Expenditures 15-22'!K185</f>
        <v>0</v>
      </c>
      <c r="G14" s="1674">
        <f>'Expenditures 15-22'!K280</f>
        <v>0</v>
      </c>
      <c r="H14" s="512"/>
      <c r="I14" s="468" t="s">
        <v>1169</v>
      </c>
      <c r="J14" s="468" t="s">
        <v>1169</v>
      </c>
      <c r="K14" s="512" t="s">
        <v>1169</v>
      </c>
      <c r="L14" s="347"/>
    </row>
    <row r="15" spans="1:13" ht="15.75" customHeight="1">
      <c r="A15" s="1508" t="s">
        <v>107</v>
      </c>
      <c r="B15" s="1510">
        <v>4000</v>
      </c>
      <c r="C15" s="1674">
        <f>'Expenditures 15-22'!K102</f>
        <v>792926</v>
      </c>
      <c r="D15" s="1674">
        <f>'Expenditures 15-22'!K139</f>
        <v>0</v>
      </c>
      <c r="E15" s="1674">
        <f>'Expenditures 15-22'!K160</f>
        <v>0</v>
      </c>
      <c r="F15" s="1674">
        <f>'Expenditures 15-22'!K196</f>
        <v>884909</v>
      </c>
      <c r="G15" s="1674">
        <f>'Expenditures 15-22'!K285</f>
        <v>35105</v>
      </c>
      <c r="H15" s="1674">
        <f>'Expenditures 15-22'!K310</f>
        <v>0</v>
      </c>
      <c r="I15" s="468" t="s">
        <v>1169</v>
      </c>
      <c r="J15" s="1766">
        <f>'Expenditures 15-22'!K334</f>
        <v>0</v>
      </c>
      <c r="K15" s="1674">
        <f>'Expenditures 15-22'!K357</f>
        <v>0</v>
      </c>
      <c r="L15" s="347"/>
    </row>
    <row r="16" spans="1:13" ht="15.75" customHeight="1">
      <c r="A16" s="1508" t="s">
        <v>450</v>
      </c>
      <c r="B16" s="1510">
        <v>5000</v>
      </c>
      <c r="C16" s="1674">
        <f>'Expenditures 15-22'!K112</f>
        <v>0</v>
      </c>
      <c r="D16" s="1674">
        <f>'Expenditures 15-22'!K149</f>
        <v>0</v>
      </c>
      <c r="E16" s="1674">
        <f>'Expenditures 15-22'!K172</f>
        <v>1459252</v>
      </c>
      <c r="F16" s="1674">
        <f>'Expenditures 15-22'!K208</f>
        <v>0</v>
      </c>
      <c r="G16" s="1674">
        <f>'Expenditures 15-22'!K293</f>
        <v>0</v>
      </c>
      <c r="H16" s="523"/>
      <c r="I16" s="468" t="s">
        <v>1169</v>
      </c>
      <c r="J16" s="1679">
        <f>'Expenditures 15-22'!K340</f>
        <v>0</v>
      </c>
      <c r="K16" s="1674">
        <f>'Expenditures 15-22'!K365</f>
        <v>0</v>
      </c>
      <c r="L16" s="347"/>
    </row>
    <row r="17" spans="1:12" ht="13.5" thickBot="1">
      <c r="A17" s="1639" t="s">
        <v>48</v>
      </c>
      <c r="B17" s="1640"/>
      <c r="C17" s="1619">
        <f t="shared" ref="C17:H17" si="2">SUM(C12:C16)</f>
        <v>13112126</v>
      </c>
      <c r="D17" s="1619">
        <f t="shared" si="2"/>
        <v>1401002</v>
      </c>
      <c r="E17" s="1619">
        <f t="shared" si="2"/>
        <v>1459252</v>
      </c>
      <c r="F17" s="1619">
        <f t="shared" si="2"/>
        <v>1156174</v>
      </c>
      <c r="G17" s="1619">
        <f t="shared" si="2"/>
        <v>423353</v>
      </c>
      <c r="H17" s="1619">
        <f t="shared" si="2"/>
        <v>0</v>
      </c>
      <c r="I17" s="468"/>
      <c r="J17" s="1619">
        <f>SUM(J12:J16)</f>
        <v>684919</v>
      </c>
      <c r="K17" s="1619">
        <f>SUM(K12:K16)</f>
        <v>821113</v>
      </c>
      <c r="L17" s="347"/>
    </row>
    <row r="18" spans="1:12" ht="15" customHeight="1" thickTop="1">
      <c r="A18" s="1675" t="s">
        <v>1627</v>
      </c>
      <c r="B18" s="1676">
        <v>4180</v>
      </c>
      <c r="C18" s="1673">
        <f t="shared" ref="C18:H18" si="3">C9</f>
        <v>6052645</v>
      </c>
      <c r="D18" s="1673">
        <f t="shared" si="3"/>
        <v>0</v>
      </c>
      <c r="E18" s="1673">
        <f t="shared" si="3"/>
        <v>0</v>
      </c>
      <c r="F18" s="1673">
        <f t="shared" si="3"/>
        <v>0</v>
      </c>
      <c r="G18" s="1673">
        <f t="shared" si="3"/>
        <v>0</v>
      </c>
      <c r="H18" s="1673">
        <f t="shared" si="3"/>
        <v>0</v>
      </c>
      <c r="I18" s="468"/>
      <c r="J18" s="1673">
        <f>J9</f>
        <v>0</v>
      </c>
      <c r="K18" s="1673">
        <f>K9</f>
        <v>0</v>
      </c>
      <c r="L18" s="347"/>
    </row>
    <row r="19" spans="1:12" ht="13.5" thickBot="1">
      <c r="A19" s="1639" t="s">
        <v>505</v>
      </c>
      <c r="B19" s="1640"/>
      <c r="C19" s="1619">
        <f t="shared" ref="C19:H19" si="4">SUM(C17:C18)</f>
        <v>19164771</v>
      </c>
      <c r="D19" s="1619">
        <f t="shared" si="4"/>
        <v>1401002</v>
      </c>
      <c r="E19" s="1619">
        <f t="shared" si="4"/>
        <v>1459252</v>
      </c>
      <c r="F19" s="1619">
        <f t="shared" si="4"/>
        <v>1156174</v>
      </c>
      <c r="G19" s="1619">
        <f t="shared" si="4"/>
        <v>423353</v>
      </c>
      <c r="H19" s="1619">
        <f t="shared" si="4"/>
        <v>0</v>
      </c>
      <c r="I19" s="468"/>
      <c r="J19" s="1619">
        <f>SUM(J17:J18)</f>
        <v>684919</v>
      </c>
      <c r="K19" s="1619">
        <f>SUM(K17:K18)</f>
        <v>821113</v>
      </c>
      <c r="L19" s="347"/>
    </row>
    <row r="20" spans="1:12" ht="16.5" thickTop="1" thickBot="1">
      <c r="A20" s="2144" t="s">
        <v>1628</v>
      </c>
      <c r="B20" s="2145"/>
      <c r="C20" s="1677">
        <f>C8-C17</f>
        <v>-236938</v>
      </c>
      <c r="D20" s="1677">
        <f t="shared" ref="D20:K20" si="5">D8-D17</f>
        <v>-42067</v>
      </c>
      <c r="E20" s="1677">
        <f t="shared" si="5"/>
        <v>-148344</v>
      </c>
      <c r="F20" s="1677">
        <f t="shared" si="5"/>
        <v>-217628</v>
      </c>
      <c r="G20" s="1677">
        <f t="shared" si="5"/>
        <v>-74675</v>
      </c>
      <c r="H20" s="1677">
        <f t="shared" si="5"/>
        <v>0</v>
      </c>
      <c r="I20" s="1677">
        <f t="shared" si="5"/>
        <v>163509</v>
      </c>
      <c r="J20" s="1677">
        <f t="shared" si="5"/>
        <v>-87397</v>
      </c>
      <c r="K20" s="1677">
        <f t="shared" si="5"/>
        <v>-777115</v>
      </c>
      <c r="L20" s="347"/>
    </row>
    <row r="21" spans="1:12" ht="16.7" customHeight="1" thickTop="1">
      <c r="A21" s="2156" t="s">
        <v>595</v>
      </c>
      <c r="B21" s="2157"/>
      <c r="C21" s="1502"/>
      <c r="D21" s="1503"/>
      <c r="E21" s="1503"/>
      <c r="F21" s="1503"/>
      <c r="G21" s="1503"/>
      <c r="H21" s="1503"/>
      <c r="I21" s="1503"/>
      <c r="J21" s="1503"/>
      <c r="K21" s="1504"/>
      <c r="L21" s="524"/>
    </row>
    <row r="22" spans="1:12" ht="15.75" customHeight="1" collapsed="1">
      <c r="A22" s="2152" t="s">
        <v>596</v>
      </c>
      <c r="B22" s="2153"/>
      <c r="C22" s="477"/>
      <c r="D22" s="477"/>
      <c r="E22" s="477"/>
      <c r="F22" s="477"/>
      <c r="G22" s="477"/>
      <c r="H22" s="477"/>
      <c r="I22" s="477"/>
      <c r="J22" s="477"/>
      <c r="K22" s="477"/>
      <c r="L22" s="347"/>
    </row>
    <row r="23" spans="1:12" s="485" customFormat="1" ht="15.75" customHeight="1">
      <c r="A23" s="2148" t="s">
        <v>293</v>
      </c>
      <c r="B23" s="2149"/>
      <c r="C23" s="480"/>
      <c r="D23" s="477"/>
      <c r="E23" s="477"/>
      <c r="F23" s="477"/>
      <c r="G23" s="477"/>
      <c r="H23" s="477"/>
      <c r="I23" s="477"/>
      <c r="J23" s="477"/>
      <c r="K23" s="477"/>
      <c r="L23" s="524"/>
    </row>
    <row r="24" spans="1:12" s="485" customFormat="1" ht="13.5" customHeight="1">
      <c r="A24" s="1421" t="s">
        <v>1629</v>
      </c>
      <c r="B24" s="525">
        <v>7110</v>
      </c>
      <c r="C24" s="467"/>
      <c r="D24" s="477"/>
      <c r="E24" s="477"/>
      <c r="F24" s="477"/>
      <c r="G24" s="477"/>
      <c r="H24" s="477"/>
      <c r="I24" s="477"/>
      <c r="J24" s="477"/>
      <c r="K24" s="477"/>
      <c r="L24" s="524"/>
    </row>
    <row r="25" spans="1:12" s="485" customFormat="1" ht="13.5" customHeight="1">
      <c r="A25" s="1421" t="s">
        <v>1630</v>
      </c>
      <c r="B25" s="525">
        <v>7110</v>
      </c>
      <c r="C25" s="467"/>
      <c r="D25" s="467"/>
      <c r="E25" s="467"/>
      <c r="F25" s="467">
        <v>1002317</v>
      </c>
      <c r="G25" s="467"/>
      <c r="H25" s="467"/>
      <c r="I25" s="477"/>
      <c r="J25" s="467"/>
      <c r="K25" s="467"/>
      <c r="L25" s="524"/>
    </row>
    <row r="26" spans="1:12" s="485" customFormat="1" ht="13.5" customHeight="1">
      <c r="A26" s="1421" t="s">
        <v>184</v>
      </c>
      <c r="B26" s="483">
        <v>7120</v>
      </c>
      <c r="C26" s="467">
        <v>28965</v>
      </c>
      <c r="D26" s="467"/>
      <c r="E26" s="467"/>
      <c r="F26" s="467"/>
      <c r="G26" s="467"/>
      <c r="H26" s="467"/>
      <c r="I26" s="477"/>
      <c r="J26" s="467"/>
      <c r="K26" s="467"/>
      <c r="L26" s="524"/>
    </row>
    <row r="27" spans="1:12" s="485" customFormat="1" ht="13.5" customHeight="1">
      <c r="A27" s="1421" t="s">
        <v>185</v>
      </c>
      <c r="B27" s="483">
        <v>7130</v>
      </c>
      <c r="C27" s="467"/>
      <c r="D27" s="467"/>
      <c r="E27" s="526"/>
      <c r="F27" s="467"/>
      <c r="G27" s="480"/>
      <c r="H27" s="480"/>
      <c r="I27" s="480"/>
      <c r="J27" s="480"/>
      <c r="K27" s="480"/>
      <c r="L27" s="524"/>
    </row>
    <row r="28" spans="1:12" s="485" customFormat="1" ht="13.5" customHeight="1">
      <c r="A28" s="1421" t="s">
        <v>1377</v>
      </c>
      <c r="B28" s="483">
        <v>7140</v>
      </c>
      <c r="C28" s="467"/>
      <c r="D28" s="467"/>
      <c r="E28" s="467"/>
      <c r="F28" s="467"/>
      <c r="G28" s="467"/>
      <c r="H28" s="467"/>
      <c r="I28" s="467"/>
      <c r="J28" s="467"/>
      <c r="K28" s="467"/>
      <c r="L28" s="524"/>
    </row>
    <row r="29" spans="1:12" s="485" customFormat="1" ht="13.5" customHeight="1">
      <c r="A29" s="1421" t="s">
        <v>294</v>
      </c>
      <c r="B29" s="483">
        <v>7150</v>
      </c>
      <c r="C29" s="475"/>
      <c r="D29" s="467"/>
      <c r="E29" s="475"/>
      <c r="F29" s="475"/>
      <c r="G29" s="475"/>
      <c r="H29" s="475"/>
      <c r="I29" s="475"/>
      <c r="J29" s="475"/>
      <c r="K29" s="475"/>
      <c r="L29" s="524"/>
    </row>
    <row r="30" spans="1:12" s="485" customFormat="1" ht="26.25">
      <c r="A30" s="1421" t="s">
        <v>1756</v>
      </c>
      <c r="B30" s="527">
        <v>7160</v>
      </c>
      <c r="C30" s="477"/>
      <c r="D30" s="467"/>
      <c r="E30" s="477"/>
      <c r="F30" s="477"/>
      <c r="G30" s="477"/>
      <c r="H30" s="477"/>
      <c r="I30" s="477"/>
      <c r="J30" s="477"/>
      <c r="K30" s="477"/>
      <c r="L30" s="524"/>
    </row>
    <row r="31" spans="1:12" s="485" customFormat="1" ht="26.25">
      <c r="A31" s="1421" t="s">
        <v>1760</v>
      </c>
      <c r="B31" s="527">
        <v>7170</v>
      </c>
      <c r="C31" s="477"/>
      <c r="D31" s="477"/>
      <c r="E31" s="474"/>
      <c r="F31" s="477"/>
      <c r="G31" s="477"/>
      <c r="H31" s="477"/>
      <c r="I31" s="477"/>
      <c r="J31" s="477"/>
      <c r="K31" s="477"/>
      <c r="L31" s="524"/>
    </row>
    <row r="32" spans="1:12" s="485" customFormat="1" ht="15.75" customHeight="1">
      <c r="A32" s="2150" t="s">
        <v>981</v>
      </c>
      <c r="B32" s="2151"/>
      <c r="C32" s="477"/>
      <c r="D32" s="477"/>
      <c r="E32" s="475"/>
      <c r="F32" s="477"/>
      <c r="G32" s="477"/>
      <c r="H32" s="477"/>
      <c r="I32" s="477"/>
      <c r="J32" s="477"/>
      <c r="K32" s="477"/>
      <c r="L32" s="524"/>
    </row>
    <row r="33" spans="1:12" s="485" customFormat="1">
      <c r="A33" s="1421" t="s">
        <v>412</v>
      </c>
      <c r="B33" s="525">
        <v>7210</v>
      </c>
      <c r="C33" s="467"/>
      <c r="D33" s="467"/>
      <c r="E33" s="467"/>
      <c r="F33" s="467"/>
      <c r="G33" s="477"/>
      <c r="H33" s="467"/>
      <c r="I33" s="467"/>
      <c r="J33" s="467"/>
      <c r="K33" s="467"/>
      <c r="L33" s="524"/>
    </row>
    <row r="34" spans="1:12" s="485" customFormat="1">
      <c r="A34" s="1421" t="s">
        <v>1001</v>
      </c>
      <c r="B34" s="525">
        <v>7220</v>
      </c>
      <c r="C34" s="467"/>
      <c r="D34" s="467"/>
      <c r="E34" s="467"/>
      <c r="F34" s="467"/>
      <c r="G34" s="477"/>
      <c r="H34" s="478"/>
      <c r="I34" s="478"/>
      <c r="J34" s="478"/>
      <c r="K34" s="478"/>
      <c r="L34" s="524"/>
    </row>
    <row r="35" spans="1:12" s="485" customFormat="1">
      <c r="A35" s="1421" t="s">
        <v>990</v>
      </c>
      <c r="B35" s="525">
        <v>7230</v>
      </c>
      <c r="C35" s="467"/>
      <c r="D35" s="467"/>
      <c r="E35" s="467"/>
      <c r="F35" s="467"/>
      <c r="G35" s="480"/>
      <c r="H35" s="467"/>
      <c r="I35" s="467"/>
      <c r="J35" s="467"/>
      <c r="K35" s="467"/>
      <c r="L35" s="524"/>
    </row>
    <row r="36" spans="1:12" s="485" customFormat="1" ht="15">
      <c r="A36" s="1421" t="s">
        <v>1631</v>
      </c>
      <c r="B36" s="525">
        <v>7300</v>
      </c>
      <c r="C36" s="467"/>
      <c r="D36" s="467"/>
      <c r="E36" s="467"/>
      <c r="F36" s="467"/>
      <c r="G36" s="467"/>
      <c r="H36" s="467"/>
      <c r="I36" s="475"/>
      <c r="J36" s="467"/>
      <c r="K36" s="467"/>
      <c r="L36" s="524"/>
    </row>
    <row r="37" spans="1:12" s="485" customFormat="1">
      <c r="A37" s="1421" t="s">
        <v>441</v>
      </c>
      <c r="B37" s="525">
        <v>7400</v>
      </c>
      <c r="C37" s="475"/>
      <c r="D37" s="475"/>
      <c r="E37" s="1674">
        <f>SUM(C54:D57,H54:H57)</f>
        <v>0</v>
      </c>
      <c r="F37" s="475"/>
      <c r="G37" s="475"/>
      <c r="H37" s="475"/>
      <c r="I37" s="477"/>
      <c r="J37" s="475"/>
      <c r="K37" s="475"/>
      <c r="L37" s="524"/>
    </row>
    <row r="38" spans="1:12" s="485" customFormat="1">
      <c r="A38" s="1421" t="s">
        <v>442</v>
      </c>
      <c r="B38" s="525">
        <v>7500</v>
      </c>
      <c r="C38" s="477"/>
      <c r="D38" s="477"/>
      <c r="E38" s="1674">
        <f>SUM(C58:D61,H58:H61)</f>
        <v>0</v>
      </c>
      <c r="F38" s="477"/>
      <c r="G38" s="477"/>
      <c r="H38" s="477"/>
      <c r="I38" s="477"/>
      <c r="J38" s="477"/>
      <c r="K38" s="477"/>
      <c r="L38" s="524"/>
    </row>
    <row r="39" spans="1:12" s="485" customFormat="1">
      <c r="A39" s="1421" t="s">
        <v>443</v>
      </c>
      <c r="B39" s="525">
        <v>7600</v>
      </c>
      <c r="C39" s="477"/>
      <c r="D39" s="477"/>
      <c r="E39" s="1674">
        <f>SUM(C62:D65)</f>
        <v>0</v>
      </c>
      <c r="F39" s="477"/>
      <c r="G39" s="477"/>
      <c r="H39" s="477"/>
      <c r="I39" s="477"/>
      <c r="J39" s="477"/>
      <c r="K39" s="477"/>
      <c r="L39" s="524"/>
    </row>
    <row r="40" spans="1:12" s="485" customFormat="1" ht="13.5" customHeight="1">
      <c r="A40" s="1421" t="s">
        <v>642</v>
      </c>
      <c r="B40" s="483">
        <v>7700</v>
      </c>
      <c r="C40" s="477"/>
      <c r="D40" s="477"/>
      <c r="E40" s="1674">
        <f>SUM(C66:D69)</f>
        <v>0</v>
      </c>
      <c r="F40" s="477"/>
      <c r="G40" s="477"/>
      <c r="H40" s="480"/>
      <c r="I40" s="477"/>
      <c r="J40" s="477"/>
      <c r="K40" s="477"/>
      <c r="L40" s="524"/>
    </row>
    <row r="41" spans="1:12" s="485" customFormat="1" ht="13.5" customHeight="1">
      <c r="A41" s="1421" t="s">
        <v>640</v>
      </c>
      <c r="B41" s="483">
        <v>7800</v>
      </c>
      <c r="C41" s="480"/>
      <c r="D41" s="480"/>
      <c r="E41" s="526"/>
      <c r="F41" s="480"/>
      <c r="G41" s="480"/>
      <c r="H41" s="1674">
        <f>SUM(C70:D73)</f>
        <v>0</v>
      </c>
      <c r="I41" s="477"/>
      <c r="J41" s="477"/>
      <c r="K41" s="480"/>
      <c r="L41" s="524"/>
    </row>
    <row r="42" spans="1:12" s="485" customFormat="1" ht="13.5" customHeight="1">
      <c r="A42" s="1421" t="s">
        <v>641</v>
      </c>
      <c r="B42" s="483">
        <v>7900</v>
      </c>
      <c r="C42" s="467"/>
      <c r="D42" s="467"/>
      <c r="E42" s="467"/>
      <c r="F42" s="467"/>
      <c r="G42" s="467"/>
      <c r="H42" s="467"/>
      <c r="I42" s="480"/>
      <c r="J42" s="480"/>
      <c r="K42" s="467"/>
      <c r="L42" s="524"/>
    </row>
    <row r="43" spans="1:12" s="485" customFormat="1" ht="13.5" customHeight="1">
      <c r="A43" s="1421" t="s">
        <v>373</v>
      </c>
      <c r="B43" s="483">
        <v>7990</v>
      </c>
      <c r="C43" s="467"/>
      <c r="D43" s="467"/>
      <c r="E43" s="467"/>
      <c r="F43" s="467"/>
      <c r="G43" s="467"/>
      <c r="H43" s="467"/>
      <c r="I43" s="467"/>
      <c r="J43" s="467"/>
      <c r="K43" s="467"/>
      <c r="L43" s="524"/>
    </row>
    <row r="44" spans="1:12" s="485" customFormat="1" ht="13.5" customHeight="1" thickBot="1">
      <c r="A44" s="2158" t="s">
        <v>374</v>
      </c>
      <c r="B44" s="2159"/>
      <c r="C44" s="1634">
        <f>SUM(C24:C43)</f>
        <v>28965</v>
      </c>
      <c r="D44" s="1634">
        <f t="shared" ref="D44:K44" si="6">SUM(D24:D43)</f>
        <v>0</v>
      </c>
      <c r="E44" s="1634">
        <f t="shared" si="6"/>
        <v>0</v>
      </c>
      <c r="F44" s="1634">
        <f t="shared" si="6"/>
        <v>1002317</v>
      </c>
      <c r="G44" s="1634">
        <f t="shared" si="6"/>
        <v>0</v>
      </c>
      <c r="H44" s="1634">
        <f t="shared" si="6"/>
        <v>0</v>
      </c>
      <c r="I44" s="1634">
        <f t="shared" si="6"/>
        <v>0</v>
      </c>
      <c r="J44" s="1634">
        <f t="shared" si="6"/>
        <v>0</v>
      </c>
      <c r="K44" s="1634">
        <f t="shared" si="6"/>
        <v>0</v>
      </c>
      <c r="L44" s="524"/>
    </row>
    <row r="45" spans="1:12" ht="15.75" customHeight="1" thickTop="1">
      <c r="A45" s="2152" t="s">
        <v>108</v>
      </c>
      <c r="B45" s="2153"/>
      <c r="C45" s="528"/>
      <c r="D45" s="528"/>
      <c r="E45" s="528"/>
      <c r="F45" s="528"/>
      <c r="G45" s="528"/>
      <c r="H45" s="528"/>
      <c r="I45" s="528"/>
      <c r="J45" s="528"/>
      <c r="K45" s="528"/>
      <c r="L45" s="347"/>
    </row>
    <row r="46" spans="1:12" s="485" customFormat="1" ht="15.75" customHeight="1">
      <c r="A46" s="2160" t="s">
        <v>109</v>
      </c>
      <c r="B46" s="2161"/>
      <c r="C46" s="477"/>
      <c r="D46" s="477"/>
      <c r="E46" s="477"/>
      <c r="F46" s="477"/>
      <c r="G46" s="477"/>
      <c r="H46" s="477"/>
      <c r="I46" s="480"/>
      <c r="J46" s="477"/>
      <c r="K46" s="477"/>
      <c r="L46" s="529"/>
    </row>
    <row r="47" spans="1:12" s="485" customFormat="1" ht="15">
      <c r="A47" s="1422" t="s">
        <v>1632</v>
      </c>
      <c r="B47" s="483">
        <v>8110</v>
      </c>
      <c r="C47" s="477"/>
      <c r="D47" s="477"/>
      <c r="E47" s="477"/>
      <c r="F47" s="477"/>
      <c r="G47" s="477"/>
      <c r="H47" s="477"/>
      <c r="I47" s="1674">
        <f>SUM(C24,C25:H25,J25:K25)</f>
        <v>1002317</v>
      </c>
      <c r="J47" s="477"/>
      <c r="K47" s="477"/>
      <c r="L47" s="529"/>
    </row>
    <row r="48" spans="1:12" s="485" customFormat="1" ht="15">
      <c r="A48" s="1422" t="s">
        <v>1633</v>
      </c>
      <c r="B48" s="483">
        <v>8120</v>
      </c>
      <c r="C48" s="480"/>
      <c r="D48" s="480"/>
      <c r="E48" s="477"/>
      <c r="F48" s="480"/>
      <c r="G48" s="477"/>
      <c r="H48" s="477"/>
      <c r="I48" s="1674">
        <f>SUM(C26:H26,J26,K26)</f>
        <v>28965</v>
      </c>
      <c r="J48" s="477"/>
      <c r="K48" s="477"/>
      <c r="L48" s="529"/>
    </row>
    <row r="49" spans="1:12" s="485" customFormat="1">
      <c r="A49" s="1422" t="s">
        <v>185</v>
      </c>
      <c r="B49" s="483">
        <v>8130</v>
      </c>
      <c r="C49" s="467"/>
      <c r="D49" s="467"/>
      <c r="E49" s="480"/>
      <c r="F49" s="467"/>
      <c r="G49" s="480"/>
      <c r="H49" s="480"/>
      <c r="I49" s="477"/>
      <c r="J49" s="480"/>
      <c r="K49" s="477"/>
      <c r="L49" s="524"/>
    </row>
    <row r="50" spans="1:12" s="485" customFormat="1">
      <c r="A50" s="1422" t="s">
        <v>1377</v>
      </c>
      <c r="B50" s="483">
        <v>8140</v>
      </c>
      <c r="C50" s="467"/>
      <c r="D50" s="467"/>
      <c r="E50" s="467"/>
      <c r="F50" s="467"/>
      <c r="G50" s="467"/>
      <c r="H50" s="467"/>
      <c r="I50" s="477"/>
      <c r="J50" s="467"/>
      <c r="K50" s="477"/>
      <c r="L50" s="524"/>
    </row>
    <row r="51" spans="1:12" s="485" customFormat="1">
      <c r="A51" s="1422" t="s">
        <v>294</v>
      </c>
      <c r="B51" s="483">
        <v>8150</v>
      </c>
      <c r="C51" s="475"/>
      <c r="D51" s="475"/>
      <c r="E51" s="475"/>
      <c r="F51" s="475"/>
      <c r="G51" s="475"/>
      <c r="H51" s="1674">
        <f>SUM(D29)</f>
        <v>0</v>
      </c>
      <c r="I51" s="477"/>
      <c r="J51" s="475"/>
      <c r="K51" s="480"/>
      <c r="L51" s="524"/>
    </row>
    <row r="52" spans="1:12" s="485" customFormat="1" ht="26.25">
      <c r="A52" s="1422" t="s">
        <v>1759</v>
      </c>
      <c r="B52" s="483">
        <v>8160</v>
      </c>
      <c r="C52" s="477"/>
      <c r="D52" s="477"/>
      <c r="E52" s="477"/>
      <c r="F52" s="477"/>
      <c r="G52" s="477"/>
      <c r="H52" s="477"/>
      <c r="I52" s="477"/>
      <c r="J52" s="477"/>
      <c r="K52" s="1674">
        <f>D30</f>
        <v>0</v>
      </c>
      <c r="L52" s="524"/>
    </row>
    <row r="53" spans="1:12" s="485" customFormat="1" ht="26.25">
      <c r="A53" s="1422" t="s">
        <v>1758</v>
      </c>
      <c r="B53" s="483">
        <v>8170</v>
      </c>
      <c r="C53" s="480"/>
      <c r="D53" s="480"/>
      <c r="E53" s="477"/>
      <c r="F53" s="477"/>
      <c r="G53" s="477"/>
      <c r="H53" s="480"/>
      <c r="I53" s="477"/>
      <c r="J53" s="477"/>
      <c r="K53" s="1674">
        <f>E31</f>
        <v>0</v>
      </c>
      <c r="L53" s="524"/>
    </row>
    <row r="54" spans="1:12" s="485" customFormat="1" ht="13.5" thickBot="1">
      <c r="A54" s="1422" t="s">
        <v>692</v>
      </c>
      <c r="B54" s="483">
        <v>8410</v>
      </c>
      <c r="C54" s="530"/>
      <c r="D54" s="530"/>
      <c r="E54" s="477"/>
      <c r="F54" s="477"/>
      <c r="G54" s="477"/>
      <c r="H54" s="530"/>
      <c r="I54" s="477"/>
      <c r="J54" s="477"/>
      <c r="K54" s="475"/>
      <c r="L54" s="524"/>
    </row>
    <row r="55" spans="1:12" s="485" customFormat="1" ht="14.25" thickTop="1" thickBot="1">
      <c r="A55" s="1423" t="s">
        <v>693</v>
      </c>
      <c r="B55" s="483">
        <v>8420</v>
      </c>
      <c r="C55" s="531"/>
      <c r="D55" s="531"/>
      <c r="E55" s="477"/>
      <c r="F55" s="477"/>
      <c r="G55" s="477"/>
      <c r="H55" s="530"/>
      <c r="I55" s="477"/>
      <c r="J55" s="477"/>
      <c r="K55" s="477"/>
      <c r="L55" s="524"/>
    </row>
    <row r="56" spans="1:12" s="485" customFormat="1" ht="14.25" thickTop="1" thickBot="1">
      <c r="A56" s="1422" t="s">
        <v>581</v>
      </c>
      <c r="B56" s="483">
        <v>8430</v>
      </c>
      <c r="C56" s="531"/>
      <c r="D56" s="531"/>
      <c r="E56" s="477"/>
      <c r="F56" s="477"/>
      <c r="G56" s="477"/>
      <c r="H56" s="530"/>
      <c r="I56" s="477"/>
      <c r="J56" s="477"/>
      <c r="K56" s="477"/>
      <c r="L56" s="524"/>
    </row>
    <row r="57" spans="1:12" s="485" customFormat="1" ht="14.25" thickTop="1" thickBot="1">
      <c r="A57" s="1423" t="s">
        <v>578</v>
      </c>
      <c r="B57" s="483">
        <v>8440</v>
      </c>
      <c r="C57" s="531"/>
      <c r="D57" s="531"/>
      <c r="E57" s="477"/>
      <c r="F57" s="477"/>
      <c r="G57" s="477"/>
      <c r="H57" s="530"/>
      <c r="I57" s="477"/>
      <c r="J57" s="477"/>
      <c r="K57" s="477"/>
      <c r="L57" s="524"/>
    </row>
    <row r="58" spans="1:12" s="485" customFormat="1" ht="14.25" thickTop="1" thickBot="1">
      <c r="A58" s="1422" t="s">
        <v>579</v>
      </c>
      <c r="B58" s="483">
        <v>8510</v>
      </c>
      <c r="C58" s="531"/>
      <c r="D58" s="531"/>
      <c r="E58" s="477"/>
      <c r="F58" s="477"/>
      <c r="G58" s="477"/>
      <c r="H58" s="530"/>
      <c r="I58" s="477"/>
      <c r="J58" s="477"/>
      <c r="K58" s="477"/>
      <c r="L58" s="524"/>
    </row>
    <row r="59" spans="1:12" s="485" customFormat="1" ht="14.25" thickTop="1" thickBot="1">
      <c r="A59" s="1424" t="s">
        <v>694</v>
      </c>
      <c r="B59" s="483">
        <v>8520</v>
      </c>
      <c r="C59" s="531"/>
      <c r="D59" s="531"/>
      <c r="E59" s="477"/>
      <c r="F59" s="477"/>
      <c r="G59" s="477"/>
      <c r="H59" s="530"/>
      <c r="I59" s="477"/>
      <c r="J59" s="477"/>
      <c r="K59" s="477"/>
      <c r="L59" s="524"/>
    </row>
    <row r="60" spans="1:12" s="485" customFormat="1" ht="14.25" thickTop="1" thickBot="1">
      <c r="A60" s="1422" t="s">
        <v>580</v>
      </c>
      <c r="B60" s="483">
        <v>8530</v>
      </c>
      <c r="C60" s="531"/>
      <c r="D60" s="531"/>
      <c r="E60" s="477"/>
      <c r="F60" s="477"/>
      <c r="G60" s="477"/>
      <c r="H60" s="530"/>
      <c r="I60" s="477"/>
      <c r="J60" s="477"/>
      <c r="K60" s="477"/>
      <c r="L60" s="524"/>
    </row>
    <row r="61" spans="1:12" s="485" customFormat="1" ht="14.25" thickTop="1" thickBot="1">
      <c r="A61" s="1423" t="s">
        <v>743</v>
      </c>
      <c r="B61" s="483">
        <v>8540</v>
      </c>
      <c r="C61" s="531"/>
      <c r="D61" s="531"/>
      <c r="E61" s="477"/>
      <c r="F61" s="477"/>
      <c r="G61" s="477"/>
      <c r="H61" s="530"/>
      <c r="I61" s="477"/>
      <c r="J61" s="477"/>
      <c r="K61" s="477"/>
      <c r="L61" s="524"/>
    </row>
    <row r="62" spans="1:12" s="485" customFormat="1" ht="13.5" customHeight="1" thickTop="1" thickBot="1">
      <c r="A62" s="1422" t="s">
        <v>744</v>
      </c>
      <c r="B62" s="483">
        <v>8610</v>
      </c>
      <c r="C62" s="531"/>
      <c r="D62" s="531"/>
      <c r="E62" s="477"/>
      <c r="F62" s="477"/>
      <c r="G62" s="477"/>
      <c r="H62" s="477"/>
      <c r="I62" s="477"/>
      <c r="J62" s="477"/>
      <c r="K62" s="477"/>
      <c r="L62" s="524"/>
    </row>
    <row r="63" spans="1:12" s="485" customFormat="1" ht="14.25" thickTop="1" thickBot="1">
      <c r="A63" s="1423" t="s">
        <v>695</v>
      </c>
      <c r="B63" s="483">
        <v>8620</v>
      </c>
      <c r="C63" s="531"/>
      <c r="D63" s="531"/>
      <c r="E63" s="477"/>
      <c r="F63" s="477"/>
      <c r="G63" s="477"/>
      <c r="H63" s="477"/>
      <c r="I63" s="477"/>
      <c r="J63" s="477"/>
      <c r="K63" s="477"/>
      <c r="L63" s="524"/>
    </row>
    <row r="64" spans="1:12" s="485" customFormat="1" ht="13.5" customHeight="1" thickTop="1" thickBot="1">
      <c r="A64" s="1422" t="s">
        <v>745</v>
      </c>
      <c r="B64" s="483">
        <v>8630</v>
      </c>
      <c r="C64" s="531"/>
      <c r="D64" s="531"/>
      <c r="E64" s="477"/>
      <c r="F64" s="477"/>
      <c r="G64" s="477"/>
      <c r="H64" s="477"/>
      <c r="I64" s="477"/>
      <c r="J64" s="477"/>
      <c r="K64" s="477"/>
      <c r="L64" s="524"/>
    </row>
    <row r="65" spans="1:12" s="485" customFormat="1" ht="14.25" thickTop="1" thickBot="1">
      <c r="A65" s="1423" t="s">
        <v>746</v>
      </c>
      <c r="B65" s="483">
        <v>8640</v>
      </c>
      <c r="C65" s="531"/>
      <c r="D65" s="531"/>
      <c r="E65" s="477"/>
      <c r="F65" s="477"/>
      <c r="G65" s="477"/>
      <c r="H65" s="477"/>
      <c r="I65" s="477"/>
      <c r="J65" s="477"/>
      <c r="K65" s="477"/>
      <c r="L65" s="524"/>
    </row>
    <row r="66" spans="1:12" s="485" customFormat="1" ht="14.25" thickTop="1" thickBot="1">
      <c r="A66" s="1422" t="s">
        <v>747</v>
      </c>
      <c r="B66" s="483">
        <v>8710</v>
      </c>
      <c r="C66" s="531"/>
      <c r="D66" s="531"/>
      <c r="E66" s="477"/>
      <c r="F66" s="477"/>
      <c r="G66" s="477"/>
      <c r="H66" s="477"/>
      <c r="I66" s="477"/>
      <c r="J66" s="477"/>
      <c r="K66" s="477"/>
      <c r="L66" s="524"/>
    </row>
    <row r="67" spans="1:12" s="485" customFormat="1" ht="14.25" thickTop="1" thickBot="1">
      <c r="A67" s="1423" t="s">
        <v>696</v>
      </c>
      <c r="B67" s="483">
        <v>8720</v>
      </c>
      <c r="C67" s="531"/>
      <c r="D67" s="531"/>
      <c r="E67" s="477"/>
      <c r="F67" s="477"/>
      <c r="G67" s="477"/>
      <c r="H67" s="477"/>
      <c r="I67" s="477"/>
      <c r="J67" s="477"/>
      <c r="K67" s="477"/>
      <c r="L67" s="524"/>
    </row>
    <row r="68" spans="1:12" s="485" customFormat="1" ht="14.25" thickTop="1" thickBot="1">
      <c r="A68" s="1424" t="s">
        <v>748</v>
      </c>
      <c r="B68" s="483">
        <v>8730</v>
      </c>
      <c r="C68" s="531"/>
      <c r="D68" s="531"/>
      <c r="E68" s="477"/>
      <c r="F68" s="477"/>
      <c r="G68" s="477"/>
      <c r="H68" s="477"/>
      <c r="I68" s="477"/>
      <c r="J68" s="477"/>
      <c r="K68" s="477"/>
      <c r="L68" s="524"/>
    </row>
    <row r="69" spans="1:12" s="485" customFormat="1" ht="14.25" thickTop="1" thickBot="1">
      <c r="A69" s="1423" t="s">
        <v>749</v>
      </c>
      <c r="B69" s="483">
        <v>8740</v>
      </c>
      <c r="C69" s="531"/>
      <c r="D69" s="531"/>
      <c r="E69" s="477"/>
      <c r="F69" s="477"/>
      <c r="G69" s="477"/>
      <c r="H69" s="477"/>
      <c r="I69" s="477"/>
      <c r="J69" s="477"/>
      <c r="K69" s="477"/>
      <c r="L69" s="524"/>
    </row>
    <row r="70" spans="1:12" s="485" customFormat="1" ht="14.25" thickTop="1" thickBot="1">
      <c r="A70" s="1422" t="s">
        <v>750</v>
      </c>
      <c r="B70" s="483">
        <v>8810</v>
      </c>
      <c r="C70" s="531"/>
      <c r="D70" s="531"/>
      <c r="E70" s="477"/>
      <c r="F70" s="477"/>
      <c r="G70" s="477"/>
      <c r="H70" s="477"/>
      <c r="I70" s="477"/>
      <c r="J70" s="477"/>
      <c r="K70" s="477"/>
      <c r="L70" s="524"/>
    </row>
    <row r="71" spans="1:12" s="485" customFormat="1" ht="14.25" thickTop="1" thickBot="1">
      <c r="A71" s="1422" t="s">
        <v>754</v>
      </c>
      <c r="B71" s="483">
        <v>8820</v>
      </c>
      <c r="C71" s="531"/>
      <c r="D71" s="531"/>
      <c r="E71" s="477"/>
      <c r="F71" s="477"/>
      <c r="G71" s="477"/>
      <c r="H71" s="477"/>
      <c r="I71" s="477"/>
      <c r="J71" s="477"/>
      <c r="K71" s="477"/>
      <c r="L71" s="524"/>
    </row>
    <row r="72" spans="1:12" s="485" customFormat="1" ht="14.25" thickTop="1" thickBot="1">
      <c r="A72" s="1422" t="s">
        <v>751</v>
      </c>
      <c r="B72" s="483">
        <v>8830</v>
      </c>
      <c r="C72" s="531"/>
      <c r="D72" s="531"/>
      <c r="E72" s="477"/>
      <c r="F72" s="477"/>
      <c r="G72" s="477"/>
      <c r="H72" s="477"/>
      <c r="I72" s="477"/>
      <c r="J72" s="477"/>
      <c r="K72" s="477"/>
      <c r="L72" s="524"/>
    </row>
    <row r="73" spans="1:12" s="485" customFormat="1" ht="14.25" thickTop="1" thickBot="1">
      <c r="A73" s="1422" t="s">
        <v>752</v>
      </c>
      <c r="B73" s="483">
        <v>8840</v>
      </c>
      <c r="C73" s="531"/>
      <c r="D73" s="531"/>
      <c r="E73" s="477"/>
      <c r="F73" s="477"/>
      <c r="G73" s="477"/>
      <c r="H73" s="477"/>
      <c r="I73" s="477"/>
      <c r="J73" s="477"/>
      <c r="K73" s="480"/>
      <c r="L73" s="524"/>
    </row>
    <row r="74" spans="1:12" s="485" customFormat="1" ht="14.25" thickTop="1" thickBot="1">
      <c r="A74" s="1422" t="s">
        <v>375</v>
      </c>
      <c r="B74" s="483">
        <v>8910</v>
      </c>
      <c r="C74" s="531"/>
      <c r="D74" s="531"/>
      <c r="E74" s="480"/>
      <c r="F74" s="530"/>
      <c r="G74" s="530"/>
      <c r="H74" s="530"/>
      <c r="I74" s="480"/>
      <c r="J74" s="480"/>
      <c r="K74" s="530"/>
      <c r="L74" s="524"/>
    </row>
    <row r="75" spans="1:12" s="485" customFormat="1" ht="14.25" thickTop="1" thickBot="1">
      <c r="A75" s="1425" t="s">
        <v>439</v>
      </c>
      <c r="B75" s="483">
        <v>8990</v>
      </c>
      <c r="C75" s="531"/>
      <c r="D75" s="531"/>
      <c r="E75" s="530"/>
      <c r="F75" s="532"/>
      <c r="G75" s="532"/>
      <c r="H75" s="532"/>
      <c r="I75" s="530"/>
      <c r="J75" s="530"/>
      <c r="K75" s="532"/>
      <c r="L75" s="524"/>
    </row>
    <row r="76" spans="1:12" s="485" customFormat="1" ht="14.25" thickTop="1" thickBot="1">
      <c r="A76" s="2134" t="s">
        <v>440</v>
      </c>
      <c r="B76" s="2135"/>
      <c r="C76" s="1634">
        <f t="shared" ref="C76:K76" si="7">SUM(C47:C75)</f>
        <v>0</v>
      </c>
      <c r="D76" s="1634">
        <f t="shared" si="7"/>
        <v>0</v>
      </c>
      <c r="E76" s="1634">
        <f t="shared" si="7"/>
        <v>0</v>
      </c>
      <c r="F76" s="1634">
        <f t="shared" si="7"/>
        <v>0</v>
      </c>
      <c r="G76" s="1634">
        <f t="shared" si="7"/>
        <v>0</v>
      </c>
      <c r="H76" s="1634">
        <f t="shared" si="7"/>
        <v>0</v>
      </c>
      <c r="I76" s="1634">
        <f t="shared" si="7"/>
        <v>1031282</v>
      </c>
      <c r="J76" s="1634">
        <f t="shared" si="7"/>
        <v>0</v>
      </c>
      <c r="K76" s="1634">
        <f t="shared" si="7"/>
        <v>0</v>
      </c>
      <c r="L76" s="524"/>
    </row>
    <row r="77" spans="1:12" ht="14.25" thickTop="1" thickBot="1">
      <c r="A77" s="2136" t="s">
        <v>1177</v>
      </c>
      <c r="B77" s="2137"/>
      <c r="C77" s="1634">
        <f t="shared" ref="C77:K77" si="8">C44-C76</f>
        <v>28965</v>
      </c>
      <c r="D77" s="1634">
        <f t="shared" si="8"/>
        <v>0</v>
      </c>
      <c r="E77" s="1634">
        <f t="shared" si="8"/>
        <v>0</v>
      </c>
      <c r="F77" s="1634">
        <f t="shared" si="8"/>
        <v>1002317</v>
      </c>
      <c r="G77" s="1634">
        <f t="shared" si="8"/>
        <v>0</v>
      </c>
      <c r="H77" s="1634">
        <f t="shared" si="8"/>
        <v>0</v>
      </c>
      <c r="I77" s="1634">
        <f t="shared" si="8"/>
        <v>-1031282</v>
      </c>
      <c r="J77" s="1634">
        <f t="shared" si="8"/>
        <v>0</v>
      </c>
      <c r="K77" s="1634">
        <f t="shared" si="8"/>
        <v>0</v>
      </c>
      <c r="L77" s="347"/>
    </row>
    <row r="78" spans="1:12" ht="21.75" customHeight="1" thickTop="1" thickBot="1">
      <c r="A78" s="2140" t="s">
        <v>597</v>
      </c>
      <c r="B78" s="2141"/>
      <c r="C78" s="1633">
        <f t="shared" ref="C78:K78" si="9">C20+C77</f>
        <v>-207973</v>
      </c>
      <c r="D78" s="1633">
        <f t="shared" si="9"/>
        <v>-42067</v>
      </c>
      <c r="E78" s="1633">
        <f t="shared" si="9"/>
        <v>-148344</v>
      </c>
      <c r="F78" s="1633">
        <f t="shared" si="9"/>
        <v>784689</v>
      </c>
      <c r="G78" s="1633">
        <f t="shared" si="9"/>
        <v>-74675</v>
      </c>
      <c r="H78" s="1633">
        <f t="shared" si="9"/>
        <v>0</v>
      </c>
      <c r="I78" s="1633">
        <f t="shared" si="9"/>
        <v>-867773</v>
      </c>
      <c r="J78" s="1633">
        <f t="shared" si="9"/>
        <v>-87397</v>
      </c>
      <c r="K78" s="1633">
        <f t="shared" si="9"/>
        <v>-777115</v>
      </c>
      <c r="L78" s="533"/>
    </row>
    <row r="79" spans="1:12" ht="13.5" thickTop="1">
      <c r="A79" s="1426" t="s">
        <v>1909</v>
      </c>
      <c r="B79" s="534"/>
      <c r="C79" s="478">
        <v>2898609</v>
      </c>
      <c r="D79" s="535">
        <v>5178125</v>
      </c>
      <c r="E79" s="535">
        <v>871523</v>
      </c>
      <c r="F79" s="535">
        <v>18963</v>
      </c>
      <c r="G79" s="535">
        <v>523246</v>
      </c>
      <c r="H79" s="535"/>
      <c r="I79" s="535">
        <v>2731541</v>
      </c>
      <c r="J79" s="535">
        <v>466434</v>
      </c>
      <c r="K79" s="535">
        <v>946956</v>
      </c>
      <c r="L79" s="347"/>
    </row>
    <row r="80" spans="1:12">
      <c r="A80" s="2146" t="s">
        <v>1757</v>
      </c>
      <c r="B80" s="2147"/>
      <c r="C80" s="467"/>
      <c r="D80" s="467"/>
      <c r="E80" s="467"/>
      <c r="F80" s="467"/>
      <c r="G80" s="467"/>
      <c r="H80" s="467"/>
      <c r="I80" s="467"/>
      <c r="J80" s="467"/>
      <c r="K80" s="467"/>
      <c r="L80" s="347"/>
    </row>
    <row r="81" spans="1:12" ht="13.5" thickBot="1">
      <c r="A81" s="2138" t="s">
        <v>1910</v>
      </c>
      <c r="B81" s="2139"/>
      <c r="C81" s="1619">
        <f>(SUM(C78:C80))</f>
        <v>2690636</v>
      </c>
      <c r="D81" s="1619">
        <f>SUM(D78:D80)</f>
        <v>5136058</v>
      </c>
      <c r="E81" s="1619">
        <f t="shared" ref="E81:K81" si="10">SUM(E78:E80)</f>
        <v>723179</v>
      </c>
      <c r="F81" s="1619">
        <f t="shared" si="10"/>
        <v>803652</v>
      </c>
      <c r="G81" s="1619">
        <f t="shared" si="10"/>
        <v>448571</v>
      </c>
      <c r="H81" s="1619">
        <f t="shared" si="10"/>
        <v>0</v>
      </c>
      <c r="I81" s="1619">
        <f t="shared" si="10"/>
        <v>1863768</v>
      </c>
      <c r="J81" s="1619">
        <f t="shared" si="10"/>
        <v>379037</v>
      </c>
      <c r="K81" s="1619">
        <f t="shared" si="10"/>
        <v>169841</v>
      </c>
      <c r="L81" s="347"/>
    </row>
    <row r="82" spans="1:12" ht="0.75" customHeight="1" thickTop="1" thickBot="1">
      <c r="A82" s="536" t="s">
        <v>343</v>
      </c>
      <c r="B82" s="537"/>
      <c r="C82" s="538">
        <f>(C81-C79)</f>
        <v>-207973</v>
      </c>
      <c r="D82" s="538">
        <f t="shared" ref="D82:K82" si="11">(D81-D79)</f>
        <v>-42067</v>
      </c>
      <c r="E82" s="538">
        <f t="shared" si="11"/>
        <v>-148344</v>
      </c>
      <c r="F82" s="538">
        <f t="shared" si="11"/>
        <v>784689</v>
      </c>
      <c r="G82" s="538">
        <f t="shared" si="11"/>
        <v>-74675</v>
      </c>
      <c r="H82" s="538">
        <f t="shared" si="11"/>
        <v>0</v>
      </c>
      <c r="I82" s="538">
        <f t="shared" si="11"/>
        <v>-867773</v>
      </c>
      <c r="J82" s="538">
        <f t="shared" si="11"/>
        <v>-87397</v>
      </c>
      <c r="K82" s="538">
        <f t="shared" si="11"/>
        <v>-777115</v>
      </c>
    </row>
    <row r="83" spans="1:12" ht="14.25" hidden="1" thickTop="1" thickBot="1">
      <c r="A83" s="539" t="s">
        <v>344</v>
      </c>
      <c r="B83" s="464"/>
      <c r="C83" s="540">
        <f>C82/C81</f>
        <v>-7.7295107922439155E-2</v>
      </c>
      <c r="D83" s="540">
        <f t="shared" ref="D83:K83" si="12">D82/D81</f>
        <v>-8.1905227705761884E-3</v>
      </c>
      <c r="E83" s="540">
        <f t="shared" si="12"/>
        <v>-0.20512763783240387</v>
      </c>
      <c r="F83" s="540">
        <f t="shared" si="12"/>
        <v>0.97640396589568623</v>
      </c>
      <c r="G83" s="540">
        <f t="shared" si="12"/>
        <v>-0.1664730889870277</v>
      </c>
      <c r="H83" s="540" t="e">
        <f t="shared" si="12"/>
        <v>#DIV/0!</v>
      </c>
      <c r="I83" s="540">
        <f t="shared" si="12"/>
        <v>-0.46560140532512628</v>
      </c>
      <c r="J83" s="540">
        <f t="shared" si="12"/>
        <v>-0.23057643449056425</v>
      </c>
      <c r="K83" s="540">
        <f t="shared" si="12"/>
        <v>-4.5755441854440333</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activeCell="X29" sqref="X29"/>
      <selection pane="bottomLeft" activeCell="C5" sqref="C5"/>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42" t="s">
        <v>1764</v>
      </c>
      <c r="B1" s="452"/>
      <c r="C1" s="453" t="s">
        <v>425</v>
      </c>
      <c r="D1" s="453" t="s">
        <v>426</v>
      </c>
      <c r="E1" s="453" t="s">
        <v>427</v>
      </c>
      <c r="F1" s="453" t="s">
        <v>428</v>
      </c>
      <c r="G1" s="453" t="s">
        <v>429</v>
      </c>
      <c r="H1" s="453" t="s">
        <v>430</v>
      </c>
      <c r="I1" s="453" t="s">
        <v>431</v>
      </c>
      <c r="J1" s="453" t="s">
        <v>432</v>
      </c>
      <c r="K1" s="453" t="s">
        <v>756</v>
      </c>
    </row>
    <row r="2" spans="1:12" ht="36">
      <c r="A2" s="2143"/>
      <c r="B2" s="541" t="s">
        <v>378</v>
      </c>
      <c r="C2" s="542" t="s">
        <v>1155</v>
      </c>
      <c r="D2" s="542" t="s">
        <v>870</v>
      </c>
      <c r="E2" s="542" t="s">
        <v>438</v>
      </c>
      <c r="F2" s="542" t="s">
        <v>155</v>
      </c>
      <c r="G2" s="542" t="s">
        <v>989</v>
      </c>
      <c r="H2" s="542" t="s">
        <v>437</v>
      </c>
      <c r="I2" s="542" t="s">
        <v>407</v>
      </c>
      <c r="J2" s="542" t="s">
        <v>436</v>
      </c>
      <c r="K2" s="542"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3"/>
      <c r="D4" s="543"/>
      <c r="E4" s="543"/>
      <c r="F4" s="544"/>
      <c r="G4" s="545"/>
      <c r="H4" s="546"/>
      <c r="I4" s="546"/>
      <c r="J4" s="546"/>
      <c r="K4" s="546"/>
    </row>
    <row r="5" spans="1:12" ht="15">
      <c r="A5" s="493" t="s">
        <v>1634</v>
      </c>
      <c r="B5" s="547"/>
      <c r="C5" s="481">
        <v>4729480</v>
      </c>
      <c r="D5" s="481">
        <v>1264681</v>
      </c>
      <c r="E5" s="466">
        <v>1087892</v>
      </c>
      <c r="F5" s="548">
        <v>322897</v>
      </c>
      <c r="G5" s="466">
        <v>133903</v>
      </c>
      <c r="H5" s="466"/>
      <c r="I5" s="466">
        <v>134544</v>
      </c>
      <c r="J5" s="467">
        <v>592810</v>
      </c>
      <c r="K5" s="466">
        <v>41122</v>
      </c>
    </row>
    <row r="6" spans="1:12" ht="15">
      <c r="A6" s="463" t="s">
        <v>1635</v>
      </c>
      <c r="B6" s="470">
        <v>1130</v>
      </c>
      <c r="C6" s="466"/>
      <c r="D6" s="466"/>
      <c r="E6" s="475"/>
      <c r="F6" s="475"/>
      <c r="G6" s="468"/>
      <c r="H6" s="468"/>
      <c r="I6" s="468"/>
      <c r="J6" s="468"/>
      <c r="K6" s="468"/>
    </row>
    <row r="7" spans="1:12">
      <c r="A7" s="463" t="s">
        <v>110</v>
      </c>
      <c r="B7" s="549">
        <v>1140</v>
      </c>
      <c r="C7" s="466">
        <v>53814</v>
      </c>
      <c r="D7" s="466"/>
      <c r="E7" s="468"/>
      <c r="F7" s="467"/>
      <c r="G7" s="467"/>
      <c r="H7" s="467"/>
      <c r="I7" s="468"/>
      <c r="J7" s="468"/>
      <c r="K7" s="468"/>
    </row>
    <row r="8" spans="1:12">
      <c r="A8" s="463" t="s">
        <v>413</v>
      </c>
      <c r="B8" s="470">
        <v>1150</v>
      </c>
      <c r="C8" s="475"/>
      <c r="D8" s="475"/>
      <c r="E8" s="477"/>
      <c r="F8" s="477"/>
      <c r="G8" s="481">
        <v>149799</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v>134544</v>
      </c>
      <c r="F11" s="466"/>
      <c r="G11" s="466"/>
      <c r="H11" s="466"/>
      <c r="I11" s="466"/>
      <c r="J11" s="467"/>
      <c r="K11" s="466"/>
      <c r="L11" s="552"/>
    </row>
    <row r="12" spans="1:12" ht="12.95" customHeight="1" thickBot="1">
      <c r="A12" s="1636" t="s">
        <v>29</v>
      </c>
      <c r="B12" s="1637"/>
      <c r="C12" s="1638">
        <f t="shared" ref="C12:K12" si="0">SUM(C5:C11)</f>
        <v>4783294</v>
      </c>
      <c r="D12" s="1638">
        <f t="shared" si="0"/>
        <v>1264681</v>
      </c>
      <c r="E12" s="1638">
        <f t="shared" si="0"/>
        <v>1222436</v>
      </c>
      <c r="F12" s="1638">
        <f t="shared" si="0"/>
        <v>322897</v>
      </c>
      <c r="G12" s="1638">
        <f t="shared" si="0"/>
        <v>283702</v>
      </c>
      <c r="H12" s="1638">
        <f t="shared" si="0"/>
        <v>0</v>
      </c>
      <c r="I12" s="1638">
        <f t="shared" si="0"/>
        <v>134544</v>
      </c>
      <c r="J12" s="1638">
        <f t="shared" si="0"/>
        <v>592810</v>
      </c>
      <c r="K12" s="1619">
        <f t="shared" si="0"/>
        <v>41122</v>
      </c>
    </row>
    <row r="13" spans="1:12" ht="15.75" customHeight="1" thickTop="1">
      <c r="A13" s="1524" t="s">
        <v>451</v>
      </c>
      <c r="B13" s="1525">
        <v>1200</v>
      </c>
      <c r="C13" s="553"/>
      <c r="D13" s="553"/>
      <c r="E13" s="553"/>
      <c r="F13" s="553"/>
      <c r="G13" s="553"/>
      <c r="H13" s="553"/>
      <c r="I13" s="553"/>
      <c r="J13" s="553"/>
      <c r="K13" s="468"/>
    </row>
    <row r="14" spans="1:12">
      <c r="A14" s="463" t="s">
        <v>3</v>
      </c>
      <c r="B14" s="470">
        <v>1210</v>
      </c>
      <c r="C14" s="551">
        <v>5735</v>
      </c>
      <c r="D14" s="466"/>
      <c r="E14" s="466"/>
      <c r="F14" s="466"/>
      <c r="G14" s="466"/>
      <c r="H14" s="466"/>
      <c r="I14" s="466"/>
      <c r="J14" s="467"/>
      <c r="K14" s="466"/>
    </row>
    <row r="15" spans="1:12" ht="12.95" customHeight="1">
      <c r="A15" s="463" t="s">
        <v>95</v>
      </c>
      <c r="B15" s="470">
        <v>1220</v>
      </c>
      <c r="C15" s="551"/>
      <c r="D15" s="466"/>
      <c r="E15" s="466"/>
      <c r="F15" s="466"/>
      <c r="G15" s="466"/>
      <c r="H15" s="466"/>
      <c r="I15" s="466"/>
      <c r="J15" s="467"/>
      <c r="K15" s="466"/>
    </row>
    <row r="16" spans="1:12" ht="15" customHeight="1">
      <c r="A16" s="463" t="s">
        <v>1636</v>
      </c>
      <c r="B16" s="549">
        <v>1230</v>
      </c>
      <c r="C16" s="551">
        <v>642273</v>
      </c>
      <c r="D16" s="466"/>
      <c r="E16" s="466"/>
      <c r="F16" s="466"/>
      <c r="G16" s="466">
        <v>57420</v>
      </c>
      <c r="H16" s="466"/>
      <c r="I16" s="466"/>
      <c r="J16" s="467"/>
      <c r="K16" s="466"/>
    </row>
    <row r="17" spans="1:11" ht="12.95" customHeight="1">
      <c r="A17" s="463" t="s">
        <v>807</v>
      </c>
      <c r="B17" s="470">
        <v>1290</v>
      </c>
      <c r="C17" s="551"/>
      <c r="D17" s="466"/>
      <c r="E17" s="466"/>
      <c r="F17" s="466"/>
      <c r="G17" s="466"/>
      <c r="H17" s="466"/>
      <c r="I17" s="466"/>
      <c r="J17" s="467"/>
      <c r="K17" s="466"/>
    </row>
    <row r="18" spans="1:11" ht="12.95" customHeight="1" thickBot="1">
      <c r="A18" s="1639" t="s">
        <v>537</v>
      </c>
      <c r="B18" s="1640"/>
      <c r="C18" s="1641">
        <f>SUM(C14:C17)</f>
        <v>648008</v>
      </c>
      <c r="D18" s="1641">
        <f t="shared" ref="D18:K18" si="1">SUM(D14:D17)</f>
        <v>0</v>
      </c>
      <c r="E18" s="1641">
        <f t="shared" si="1"/>
        <v>0</v>
      </c>
      <c r="F18" s="1641">
        <f t="shared" si="1"/>
        <v>0</v>
      </c>
      <c r="G18" s="1641">
        <f t="shared" si="1"/>
        <v>57420</v>
      </c>
      <c r="H18" s="1641">
        <f t="shared" si="1"/>
        <v>0</v>
      </c>
      <c r="I18" s="1641">
        <f t="shared" si="1"/>
        <v>0</v>
      </c>
      <c r="J18" s="1641">
        <f t="shared" si="1"/>
        <v>0</v>
      </c>
      <c r="K18" s="1642">
        <f t="shared" si="1"/>
        <v>0</v>
      </c>
    </row>
    <row r="19" spans="1:11" ht="15.75" customHeight="1" thickTop="1">
      <c r="A19" s="1524" t="s">
        <v>452</v>
      </c>
      <c r="B19" s="1525">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95" customHeight="1">
      <c r="A21" s="463" t="s">
        <v>832</v>
      </c>
      <c r="B21" s="470">
        <v>1312</v>
      </c>
      <c r="C21" s="551"/>
      <c r="D21" s="468"/>
      <c r="E21" s="468"/>
      <c r="F21" s="468"/>
      <c r="G21" s="468"/>
      <c r="H21" s="468"/>
      <c r="I21" s="468"/>
      <c r="J21" s="468"/>
      <c r="K21" s="468"/>
    </row>
    <row r="22" spans="1:11" ht="12.95" customHeight="1">
      <c r="A22" s="463" t="s">
        <v>1074</v>
      </c>
      <c r="B22" s="470">
        <v>1313</v>
      </c>
      <c r="C22" s="551"/>
      <c r="D22" s="468"/>
      <c r="E22" s="468"/>
      <c r="F22" s="468"/>
      <c r="G22" s="468"/>
      <c r="H22" s="468"/>
      <c r="I22" s="468"/>
      <c r="J22" s="468"/>
      <c r="K22" s="468"/>
    </row>
    <row r="23" spans="1:11" ht="12.95" customHeight="1">
      <c r="A23" s="463" t="s">
        <v>1075</v>
      </c>
      <c r="B23" s="470">
        <v>1314</v>
      </c>
      <c r="C23" s="489"/>
      <c r="D23" s="468"/>
      <c r="E23" s="468"/>
      <c r="F23" s="468"/>
      <c r="G23" s="468"/>
      <c r="H23" s="468"/>
      <c r="I23" s="468"/>
      <c r="J23" s="468"/>
      <c r="K23" s="468"/>
    </row>
    <row r="24" spans="1:11" ht="12.95" customHeight="1">
      <c r="A24" s="463" t="s">
        <v>1027</v>
      </c>
      <c r="B24" s="470">
        <v>1321</v>
      </c>
      <c r="C24" s="551"/>
      <c r="D24" s="468"/>
      <c r="E24" s="468"/>
      <c r="F24" s="468"/>
      <c r="G24" s="468"/>
      <c r="H24" s="468"/>
      <c r="I24" s="468"/>
      <c r="J24" s="468"/>
      <c r="K24" s="468"/>
    </row>
    <row r="25" spans="1:11" ht="12.95" customHeight="1">
      <c r="A25" s="463" t="s">
        <v>833</v>
      </c>
      <c r="B25" s="470">
        <v>1322</v>
      </c>
      <c r="C25" s="551"/>
      <c r="D25" s="468"/>
      <c r="E25" s="468"/>
      <c r="F25" s="468"/>
      <c r="G25" s="468"/>
      <c r="H25" s="468"/>
      <c r="I25" s="468"/>
      <c r="J25" s="468"/>
      <c r="K25" s="468"/>
    </row>
    <row r="26" spans="1:11" ht="12.95" customHeight="1">
      <c r="A26" s="463" t="s">
        <v>1101</v>
      </c>
      <c r="B26" s="470">
        <v>1323</v>
      </c>
      <c r="C26" s="551"/>
      <c r="D26" s="468"/>
      <c r="E26" s="468"/>
      <c r="F26" s="468"/>
      <c r="G26" s="468"/>
      <c r="H26" s="468"/>
      <c r="I26" s="468"/>
      <c r="J26" s="468"/>
      <c r="K26" s="468"/>
    </row>
    <row r="27" spans="1:11" ht="12.95" customHeight="1">
      <c r="A27" s="463" t="s">
        <v>1023</v>
      </c>
      <c r="B27" s="470">
        <v>1324</v>
      </c>
      <c r="C27" s="489"/>
      <c r="D27" s="468"/>
      <c r="E27" s="468"/>
      <c r="F27" s="468"/>
      <c r="G27" s="468"/>
      <c r="H27" s="468"/>
      <c r="I27" s="468"/>
      <c r="J27" s="468"/>
      <c r="K27" s="468"/>
    </row>
    <row r="28" spans="1:11" ht="12.95" customHeight="1">
      <c r="A28" s="463" t="s">
        <v>1024</v>
      </c>
      <c r="B28" s="470">
        <v>1331</v>
      </c>
      <c r="C28" s="551"/>
      <c r="D28" s="468"/>
      <c r="E28" s="468"/>
      <c r="F28" s="468"/>
      <c r="G28" s="468"/>
      <c r="H28" s="468"/>
      <c r="I28" s="468"/>
      <c r="J28" s="468"/>
      <c r="K28" s="468"/>
    </row>
    <row r="29" spans="1:11" ht="12.95" customHeight="1">
      <c r="A29" s="463" t="s">
        <v>834</v>
      </c>
      <c r="B29" s="470">
        <v>1332</v>
      </c>
      <c r="C29" s="551"/>
      <c r="D29" s="468"/>
      <c r="E29" s="468"/>
      <c r="F29" s="468"/>
      <c r="G29" s="468"/>
      <c r="H29" s="468"/>
      <c r="I29" s="468"/>
      <c r="J29" s="468"/>
      <c r="K29" s="468"/>
    </row>
    <row r="30" spans="1:11" ht="12.95" customHeight="1">
      <c r="A30" s="463" t="s">
        <v>1026</v>
      </c>
      <c r="B30" s="470">
        <v>1333</v>
      </c>
      <c r="C30" s="551"/>
      <c r="D30" s="468"/>
      <c r="E30" s="468"/>
      <c r="F30" s="468"/>
      <c r="G30" s="468"/>
      <c r="H30" s="468"/>
      <c r="I30" s="468"/>
      <c r="J30" s="468"/>
      <c r="K30" s="468"/>
    </row>
    <row r="31" spans="1:11" ht="12.95" customHeight="1">
      <c r="A31" s="463" t="s">
        <v>1025</v>
      </c>
      <c r="B31" s="470">
        <v>1334</v>
      </c>
      <c r="C31" s="489"/>
      <c r="D31" s="468"/>
      <c r="E31" s="468"/>
      <c r="F31" s="468"/>
      <c r="G31" s="468"/>
      <c r="H31" s="468"/>
      <c r="I31" s="468"/>
      <c r="J31" s="468"/>
      <c r="K31" s="468"/>
    </row>
    <row r="32" spans="1:11" ht="12.95" customHeight="1">
      <c r="A32" s="463" t="s">
        <v>494</v>
      </c>
      <c r="B32" s="470">
        <v>1341</v>
      </c>
      <c r="C32" s="551"/>
      <c r="D32" s="468"/>
      <c r="E32" s="468"/>
      <c r="F32" s="468"/>
      <c r="G32" s="468"/>
      <c r="H32" s="468"/>
      <c r="I32" s="468"/>
      <c r="J32" s="468"/>
      <c r="K32" s="468"/>
    </row>
    <row r="33" spans="1:11" ht="12.95" customHeight="1">
      <c r="A33" s="463" t="s">
        <v>835</v>
      </c>
      <c r="B33" s="470">
        <v>1342</v>
      </c>
      <c r="C33" s="551">
        <v>94809</v>
      </c>
      <c r="D33" s="468"/>
      <c r="E33" s="468"/>
      <c r="F33" s="468"/>
      <c r="G33" s="468"/>
      <c r="H33" s="468"/>
      <c r="I33" s="468"/>
      <c r="J33" s="468"/>
      <c r="K33" s="468"/>
    </row>
    <row r="34" spans="1:11" ht="12.95" customHeight="1">
      <c r="A34" s="463" t="s">
        <v>495</v>
      </c>
      <c r="B34" s="470">
        <v>1343</v>
      </c>
      <c r="C34" s="551"/>
      <c r="D34" s="468"/>
      <c r="E34" s="468"/>
      <c r="F34" s="468"/>
      <c r="G34" s="468"/>
      <c r="H34" s="468"/>
      <c r="I34" s="468"/>
      <c r="J34" s="468"/>
      <c r="K34" s="468"/>
    </row>
    <row r="35" spans="1:11" ht="12.95" customHeight="1">
      <c r="A35" s="463" t="s">
        <v>493</v>
      </c>
      <c r="B35" s="470">
        <v>1344</v>
      </c>
      <c r="C35" s="489"/>
      <c r="D35" s="468"/>
      <c r="E35" s="468"/>
      <c r="F35" s="468"/>
      <c r="G35" s="468"/>
      <c r="H35" s="468"/>
      <c r="I35" s="468"/>
      <c r="J35" s="468"/>
      <c r="K35" s="468"/>
    </row>
    <row r="36" spans="1:11" ht="12.95" customHeight="1">
      <c r="A36" s="463" t="s">
        <v>831</v>
      </c>
      <c r="B36" s="470">
        <v>1351</v>
      </c>
      <c r="C36" s="551"/>
      <c r="D36" s="468"/>
      <c r="E36" s="468"/>
      <c r="F36" s="468"/>
      <c r="G36" s="468"/>
      <c r="H36" s="468"/>
      <c r="I36" s="468"/>
      <c r="J36" s="468"/>
      <c r="K36" s="468"/>
    </row>
    <row r="37" spans="1:11" ht="12.95" customHeight="1">
      <c r="A37" s="463" t="s">
        <v>836</v>
      </c>
      <c r="B37" s="470">
        <v>1352</v>
      </c>
      <c r="C37" s="551"/>
      <c r="D37" s="468"/>
      <c r="E37" s="468"/>
      <c r="F37" s="468"/>
      <c r="G37" s="468"/>
      <c r="H37" s="468"/>
      <c r="I37" s="468"/>
      <c r="J37" s="468"/>
      <c r="K37" s="468"/>
    </row>
    <row r="38" spans="1:11" ht="12.95" customHeight="1">
      <c r="A38" s="463" t="s">
        <v>593</v>
      </c>
      <c r="B38" s="470">
        <v>1353</v>
      </c>
      <c r="C38" s="551"/>
      <c r="D38" s="468"/>
      <c r="E38" s="468"/>
      <c r="F38" s="468"/>
      <c r="G38" s="468"/>
      <c r="H38" s="468"/>
      <c r="I38" s="468"/>
      <c r="J38" s="468"/>
      <c r="K38" s="468"/>
    </row>
    <row r="39" spans="1:11" ht="12.95" customHeight="1">
      <c r="A39" s="1427" t="s">
        <v>594</v>
      </c>
      <c r="B39" s="556">
        <v>1354</v>
      </c>
      <c r="C39" s="489"/>
      <c r="D39" s="468"/>
      <c r="E39" s="468"/>
      <c r="F39" s="468"/>
      <c r="G39" s="468"/>
      <c r="H39" s="468"/>
      <c r="I39" s="468"/>
      <c r="J39" s="468"/>
      <c r="K39" s="468"/>
    </row>
    <row r="40" spans="1:11" ht="12.95" customHeight="1" thickBot="1">
      <c r="A40" s="1639" t="s">
        <v>538</v>
      </c>
      <c r="B40" s="1640"/>
      <c r="C40" s="1619">
        <f>SUM(C20:C39)</f>
        <v>94809</v>
      </c>
      <c r="D40" s="468"/>
      <c r="E40" s="468"/>
      <c r="F40" s="468"/>
      <c r="G40" s="468"/>
      <c r="H40" s="468"/>
      <c r="I40" s="468"/>
      <c r="J40" s="468"/>
      <c r="K40" s="468"/>
    </row>
    <row r="41" spans="1:11" ht="15.75" customHeight="1" thickTop="1">
      <c r="A41" s="1524" t="s">
        <v>274</v>
      </c>
      <c r="B41" s="1525">
        <v>1400</v>
      </c>
      <c r="C41" s="468"/>
      <c r="D41" s="468"/>
      <c r="E41" s="468"/>
      <c r="F41" s="521"/>
      <c r="G41" s="468"/>
      <c r="H41" s="468"/>
      <c r="I41" s="468"/>
      <c r="J41" s="468"/>
      <c r="K41" s="468"/>
    </row>
    <row r="42" spans="1:11" ht="12.95" customHeight="1">
      <c r="A42" s="463" t="s">
        <v>1076</v>
      </c>
      <c r="B42" s="470">
        <v>1411</v>
      </c>
      <c r="C42" s="468"/>
      <c r="D42" s="468"/>
      <c r="E42" s="468"/>
      <c r="F42" s="481"/>
      <c r="G42" s="468"/>
      <c r="H42" s="468"/>
      <c r="I42" s="468"/>
      <c r="J42" s="468"/>
      <c r="K42" s="468"/>
    </row>
    <row r="43" spans="1:11" ht="12.95" customHeight="1">
      <c r="A43" s="463" t="s">
        <v>837</v>
      </c>
      <c r="B43" s="470">
        <v>1412</v>
      </c>
      <c r="C43" s="468"/>
      <c r="D43" s="468"/>
      <c r="E43" s="468"/>
      <c r="F43" s="466"/>
      <c r="G43" s="468"/>
      <c r="H43" s="468"/>
      <c r="I43" s="468"/>
      <c r="J43" s="468"/>
      <c r="K43" s="468"/>
    </row>
    <row r="44" spans="1:11" ht="12.95" customHeight="1">
      <c r="A44" s="463" t="s">
        <v>384</v>
      </c>
      <c r="B44" s="470">
        <v>1413</v>
      </c>
      <c r="C44" s="468"/>
      <c r="D44" s="468"/>
      <c r="E44" s="468"/>
      <c r="F44" s="466"/>
      <c r="G44" s="468"/>
      <c r="H44" s="468"/>
      <c r="I44" s="468"/>
      <c r="J44" s="468"/>
      <c r="K44" s="468"/>
    </row>
    <row r="45" spans="1:11" ht="12.95" customHeight="1">
      <c r="A45" s="463" t="s">
        <v>240</v>
      </c>
      <c r="B45" s="470">
        <v>1415</v>
      </c>
      <c r="C45" s="468"/>
      <c r="D45" s="468"/>
      <c r="E45" s="468"/>
      <c r="F45" s="466"/>
      <c r="G45" s="468"/>
      <c r="H45" s="468"/>
      <c r="I45" s="468"/>
      <c r="J45" s="468"/>
      <c r="K45" s="468"/>
    </row>
    <row r="46" spans="1:11" ht="12.95" customHeight="1">
      <c r="A46" s="463" t="s">
        <v>1174</v>
      </c>
      <c r="B46" s="470">
        <v>1416</v>
      </c>
      <c r="C46" s="468"/>
      <c r="D46" s="468"/>
      <c r="E46" s="468"/>
      <c r="F46" s="467"/>
      <c r="G46" s="468"/>
      <c r="H46" s="468"/>
      <c r="I46" s="468"/>
      <c r="J46" s="468"/>
      <c r="K46" s="468"/>
    </row>
    <row r="47" spans="1:11" ht="12.95" customHeight="1">
      <c r="A47" s="463" t="s">
        <v>57</v>
      </c>
      <c r="B47" s="470">
        <v>1421</v>
      </c>
      <c r="C47" s="468"/>
      <c r="D47" s="468"/>
      <c r="E47" s="468"/>
      <c r="F47" s="466"/>
      <c r="G47" s="468"/>
      <c r="H47" s="468"/>
      <c r="I47" s="468"/>
      <c r="J47" s="468"/>
      <c r="K47" s="468"/>
    </row>
    <row r="48" spans="1:11" ht="12.95" customHeight="1">
      <c r="A48" s="463" t="s">
        <v>838</v>
      </c>
      <c r="B48" s="470">
        <v>1422</v>
      </c>
      <c r="C48" s="468"/>
      <c r="D48" s="468"/>
      <c r="E48" s="468"/>
      <c r="F48" s="466"/>
      <c r="G48" s="468"/>
      <c r="H48" s="468"/>
      <c r="I48" s="468"/>
      <c r="J48" s="468"/>
      <c r="K48" s="468"/>
    </row>
    <row r="49" spans="1:11" ht="12.95" customHeight="1">
      <c r="A49" s="463" t="s">
        <v>58</v>
      </c>
      <c r="B49" s="470">
        <v>1423</v>
      </c>
      <c r="C49" s="468"/>
      <c r="D49" s="468"/>
      <c r="E49" s="468"/>
      <c r="F49" s="466"/>
      <c r="G49" s="468"/>
      <c r="H49" s="468"/>
      <c r="I49" s="468"/>
      <c r="J49" s="468"/>
      <c r="K49" s="468"/>
    </row>
    <row r="50" spans="1:11" ht="12.95" customHeight="1">
      <c r="A50" s="463" t="s">
        <v>59</v>
      </c>
      <c r="B50" s="470">
        <v>1424</v>
      </c>
      <c r="C50" s="468"/>
      <c r="D50" s="468"/>
      <c r="E50" s="468"/>
      <c r="F50" s="467"/>
      <c r="G50" s="468"/>
      <c r="H50" s="468"/>
      <c r="I50" s="468"/>
      <c r="J50" s="468"/>
      <c r="K50" s="468"/>
    </row>
    <row r="51" spans="1:11" ht="12.95" customHeight="1">
      <c r="A51" s="1428" t="s">
        <v>60</v>
      </c>
      <c r="B51" s="557">
        <v>1431</v>
      </c>
      <c r="C51" s="468"/>
      <c r="D51" s="468"/>
      <c r="E51" s="468"/>
      <c r="F51" s="466"/>
      <c r="G51" s="468"/>
      <c r="H51" s="468"/>
      <c r="I51" s="468"/>
      <c r="J51" s="468"/>
      <c r="K51" s="468"/>
    </row>
    <row r="52" spans="1:11" ht="12.95" customHeight="1">
      <c r="A52" s="1428" t="s">
        <v>1106</v>
      </c>
      <c r="B52" s="557">
        <v>1432</v>
      </c>
      <c r="C52" s="468"/>
      <c r="D52" s="468"/>
      <c r="E52" s="468"/>
      <c r="F52" s="466"/>
      <c r="G52" s="468"/>
      <c r="H52" s="468"/>
      <c r="I52" s="468"/>
      <c r="J52" s="468"/>
      <c r="K52" s="468"/>
    </row>
    <row r="53" spans="1:11" ht="12.95" customHeight="1">
      <c r="A53" s="1428" t="s">
        <v>61</v>
      </c>
      <c r="B53" s="557">
        <v>1433</v>
      </c>
      <c r="C53" s="468"/>
      <c r="D53" s="468"/>
      <c r="E53" s="468"/>
      <c r="F53" s="466"/>
      <c r="G53" s="468"/>
      <c r="H53" s="468"/>
      <c r="I53" s="468"/>
      <c r="J53" s="468"/>
      <c r="K53" s="468"/>
    </row>
    <row r="54" spans="1:11" ht="12.95" customHeight="1">
      <c r="A54" s="1428" t="s">
        <v>62</v>
      </c>
      <c r="B54" s="557">
        <v>1434</v>
      </c>
      <c r="C54" s="468"/>
      <c r="D54" s="468"/>
      <c r="E54" s="468"/>
      <c r="F54" s="467"/>
      <c r="G54" s="468"/>
      <c r="H54" s="468"/>
      <c r="I54" s="468"/>
      <c r="J54" s="468"/>
      <c r="K54" s="468"/>
    </row>
    <row r="55" spans="1:11" ht="12.95" customHeight="1">
      <c r="A55" s="1428" t="s">
        <v>63</v>
      </c>
      <c r="B55" s="557">
        <v>1441</v>
      </c>
      <c r="C55" s="468"/>
      <c r="D55" s="468"/>
      <c r="E55" s="468"/>
      <c r="F55" s="466"/>
      <c r="G55" s="468"/>
      <c r="H55" s="468"/>
      <c r="I55" s="468"/>
      <c r="J55" s="468"/>
      <c r="K55" s="468"/>
    </row>
    <row r="56" spans="1:11" ht="12.95" customHeight="1">
      <c r="A56" s="1428" t="s">
        <v>1107</v>
      </c>
      <c r="B56" s="557">
        <v>1442</v>
      </c>
      <c r="C56" s="468"/>
      <c r="D56" s="468"/>
      <c r="E56" s="468"/>
      <c r="F56" s="466"/>
      <c r="G56" s="468"/>
      <c r="H56" s="468"/>
      <c r="I56" s="468"/>
      <c r="J56" s="468"/>
      <c r="K56" s="468"/>
    </row>
    <row r="57" spans="1:11" ht="12.95" customHeight="1">
      <c r="A57" s="1428" t="s">
        <v>489</v>
      </c>
      <c r="B57" s="557">
        <v>1443</v>
      </c>
      <c r="C57" s="468"/>
      <c r="D57" s="468"/>
      <c r="E57" s="468"/>
      <c r="F57" s="466"/>
      <c r="G57" s="468"/>
      <c r="H57" s="468"/>
      <c r="I57" s="468"/>
      <c r="J57" s="468"/>
      <c r="K57" s="468"/>
    </row>
    <row r="58" spans="1:11" ht="12.95" customHeight="1">
      <c r="A58" s="1428" t="s">
        <v>65</v>
      </c>
      <c r="B58" s="557">
        <v>1444</v>
      </c>
      <c r="C58" s="468"/>
      <c r="D58" s="468"/>
      <c r="E58" s="468"/>
      <c r="F58" s="466"/>
      <c r="G58" s="468"/>
      <c r="H58" s="468"/>
      <c r="I58" s="468"/>
      <c r="J58" s="468"/>
      <c r="K58" s="468"/>
    </row>
    <row r="59" spans="1:11" ht="12.95" customHeight="1">
      <c r="A59" s="1428" t="s">
        <v>878</v>
      </c>
      <c r="B59" s="557">
        <v>1451</v>
      </c>
      <c r="C59" s="468"/>
      <c r="D59" s="468"/>
      <c r="E59" s="468"/>
      <c r="F59" s="466"/>
      <c r="G59" s="468"/>
      <c r="H59" s="468"/>
      <c r="I59" s="468"/>
      <c r="J59" s="468"/>
      <c r="K59" s="468"/>
    </row>
    <row r="60" spans="1:11" ht="12.95" customHeight="1">
      <c r="A60" s="1428" t="s">
        <v>1108</v>
      </c>
      <c r="B60" s="557">
        <v>1452</v>
      </c>
      <c r="C60" s="468"/>
      <c r="D60" s="468"/>
      <c r="E60" s="468"/>
      <c r="F60" s="466"/>
      <c r="G60" s="468"/>
      <c r="H60" s="468"/>
      <c r="I60" s="468"/>
      <c r="J60" s="468"/>
      <c r="K60" s="468"/>
    </row>
    <row r="61" spans="1:11" ht="12.95" customHeight="1">
      <c r="A61" s="563" t="s">
        <v>879</v>
      </c>
      <c r="B61" s="557">
        <v>1453</v>
      </c>
      <c r="C61" s="468"/>
      <c r="D61" s="468"/>
      <c r="E61" s="468"/>
      <c r="F61" s="466"/>
      <c r="G61" s="468"/>
      <c r="H61" s="468"/>
      <c r="I61" s="468"/>
      <c r="J61" s="468"/>
      <c r="K61" s="468"/>
    </row>
    <row r="62" spans="1:11" ht="12.95" customHeight="1">
      <c r="A62" s="1429" t="s">
        <v>880</v>
      </c>
      <c r="B62" s="558">
        <v>1454</v>
      </c>
      <c r="C62" s="468"/>
      <c r="D62" s="468"/>
      <c r="E62" s="468"/>
      <c r="F62" s="467"/>
      <c r="G62" s="468"/>
      <c r="H62" s="468"/>
      <c r="I62" s="468"/>
      <c r="J62" s="468"/>
      <c r="K62" s="468"/>
    </row>
    <row r="63" spans="1:11" ht="12.95" customHeight="1" thickBot="1">
      <c r="A63" s="1639" t="s">
        <v>485</v>
      </c>
      <c r="B63" s="1640"/>
      <c r="C63" s="468"/>
      <c r="D63" s="468"/>
      <c r="E63" s="468"/>
      <c r="F63" s="1619">
        <f>SUM(F42:F62)</f>
        <v>0</v>
      </c>
      <c r="G63" s="468"/>
      <c r="H63" s="468"/>
      <c r="I63" s="468"/>
      <c r="J63" s="468"/>
      <c r="K63" s="468"/>
    </row>
    <row r="64" spans="1:11" ht="15.75" customHeight="1" thickTop="1">
      <c r="A64" s="1524" t="s">
        <v>454</v>
      </c>
      <c r="B64" s="1525">
        <v>1500</v>
      </c>
      <c r="C64" s="468"/>
      <c r="D64" s="468"/>
      <c r="E64" s="468"/>
      <c r="F64" s="468"/>
      <c r="G64" s="468"/>
      <c r="H64" s="468"/>
      <c r="I64" s="468"/>
      <c r="J64" s="468"/>
      <c r="K64" s="468"/>
    </row>
    <row r="65" spans="1:11" ht="12.95" customHeight="1">
      <c r="A65" s="463" t="s">
        <v>547</v>
      </c>
      <c r="B65" s="470">
        <v>1510</v>
      </c>
      <c r="C65" s="466">
        <v>34398</v>
      </c>
      <c r="D65" s="466">
        <v>74297</v>
      </c>
      <c r="E65" s="466">
        <v>10289</v>
      </c>
      <c r="F65" s="467">
        <v>3573</v>
      </c>
      <c r="G65" s="466">
        <v>7556</v>
      </c>
      <c r="H65" s="466"/>
      <c r="I65" s="466">
        <v>28965</v>
      </c>
      <c r="J65" s="467">
        <v>4712</v>
      </c>
      <c r="K65" s="466">
        <v>2876</v>
      </c>
    </row>
    <row r="66" spans="1:11" ht="12.95" customHeight="1">
      <c r="A66" s="463" t="s">
        <v>679</v>
      </c>
      <c r="B66" s="470">
        <v>1520</v>
      </c>
      <c r="C66" s="466"/>
      <c r="D66" s="466"/>
      <c r="E66" s="466"/>
      <c r="F66" s="466"/>
      <c r="G66" s="466"/>
      <c r="H66" s="466"/>
      <c r="I66" s="466"/>
      <c r="J66" s="467"/>
      <c r="K66" s="466"/>
    </row>
    <row r="67" spans="1:11" ht="12.95" customHeight="1" thickBot="1">
      <c r="A67" s="1639" t="s">
        <v>486</v>
      </c>
      <c r="B67" s="1640"/>
      <c r="C67" s="1619">
        <f>SUM(C65:C66)</f>
        <v>34398</v>
      </c>
      <c r="D67" s="1619">
        <f t="shared" ref="D67:K67" si="2">SUM(D65:D66)</f>
        <v>74297</v>
      </c>
      <c r="E67" s="1619">
        <f t="shared" si="2"/>
        <v>10289</v>
      </c>
      <c r="F67" s="1619">
        <f t="shared" si="2"/>
        <v>3573</v>
      </c>
      <c r="G67" s="1619">
        <f t="shared" si="2"/>
        <v>7556</v>
      </c>
      <c r="H67" s="1619">
        <f t="shared" si="2"/>
        <v>0</v>
      </c>
      <c r="I67" s="1619">
        <f t="shared" si="2"/>
        <v>28965</v>
      </c>
      <c r="J67" s="1619">
        <f t="shared" si="2"/>
        <v>4712</v>
      </c>
      <c r="K67" s="1619">
        <f t="shared" si="2"/>
        <v>2876</v>
      </c>
    </row>
    <row r="68" spans="1:11" ht="15.75" customHeight="1" thickTop="1">
      <c r="A68" s="1524" t="s">
        <v>455</v>
      </c>
      <c r="B68" s="1526">
        <v>1600</v>
      </c>
      <c r="C68" s="553"/>
      <c r="D68" s="468"/>
      <c r="E68" s="468"/>
      <c r="F68" s="468"/>
      <c r="G68" s="468"/>
      <c r="H68" s="468"/>
      <c r="I68" s="468"/>
      <c r="J68" s="468"/>
      <c r="K68" s="468"/>
    </row>
    <row r="69" spans="1:11" ht="12.95" customHeight="1">
      <c r="A69" s="463" t="s">
        <v>666</v>
      </c>
      <c r="B69" s="470">
        <v>1611</v>
      </c>
      <c r="C69" s="466">
        <v>2103</v>
      </c>
      <c r="D69" s="468"/>
      <c r="E69" s="468"/>
      <c r="F69" s="468"/>
      <c r="G69" s="468"/>
      <c r="H69" s="468"/>
      <c r="I69" s="468"/>
      <c r="J69" s="468"/>
      <c r="K69" s="468"/>
    </row>
    <row r="70" spans="1:11" ht="12.95" customHeight="1">
      <c r="A70" s="463" t="s">
        <v>997</v>
      </c>
      <c r="B70" s="470">
        <v>1612</v>
      </c>
      <c r="C70" s="551"/>
      <c r="D70" s="468"/>
      <c r="E70" s="468"/>
      <c r="F70" s="468"/>
      <c r="G70" s="468"/>
      <c r="H70" s="468"/>
      <c r="I70" s="468"/>
      <c r="J70" s="468"/>
      <c r="K70" s="468"/>
    </row>
    <row r="71" spans="1:11" ht="12.95" customHeight="1">
      <c r="A71" s="463" t="s">
        <v>273</v>
      </c>
      <c r="B71" s="470">
        <v>1613</v>
      </c>
      <c r="C71" s="551"/>
      <c r="D71" s="468"/>
      <c r="E71" s="468"/>
      <c r="F71" s="468"/>
      <c r="G71" s="468"/>
      <c r="H71" s="468"/>
      <c r="I71" s="468"/>
      <c r="J71" s="468"/>
      <c r="K71" s="468"/>
    </row>
    <row r="72" spans="1:11" ht="12.95" customHeight="1">
      <c r="A72" s="463" t="s">
        <v>24</v>
      </c>
      <c r="B72" s="470">
        <v>1614</v>
      </c>
      <c r="C72" s="551"/>
      <c r="D72" s="468"/>
      <c r="E72" s="468"/>
      <c r="F72" s="468"/>
      <c r="G72" s="468"/>
      <c r="H72" s="468"/>
      <c r="I72" s="468"/>
      <c r="J72" s="468"/>
      <c r="K72" s="468"/>
    </row>
    <row r="73" spans="1:11" ht="12.95" customHeight="1">
      <c r="A73" s="463" t="s">
        <v>998</v>
      </c>
      <c r="B73" s="470">
        <v>1620</v>
      </c>
      <c r="C73" s="551">
        <v>831</v>
      </c>
      <c r="D73" s="468"/>
      <c r="E73" s="468"/>
      <c r="F73" s="468"/>
      <c r="G73" s="468"/>
      <c r="H73" s="468"/>
      <c r="I73" s="468"/>
      <c r="J73" s="468"/>
      <c r="K73" s="468"/>
    </row>
    <row r="74" spans="1:11" ht="12.95" customHeight="1">
      <c r="A74" s="463" t="s">
        <v>25</v>
      </c>
      <c r="B74" s="470">
        <v>1690</v>
      </c>
      <c r="C74" s="551">
        <v>16698</v>
      </c>
      <c r="D74" s="468"/>
      <c r="E74" s="468"/>
      <c r="F74" s="468"/>
      <c r="G74" s="468"/>
      <c r="H74" s="468"/>
      <c r="I74" s="468"/>
      <c r="J74" s="468"/>
      <c r="K74" s="468"/>
    </row>
    <row r="75" spans="1:11" ht="12.95" customHeight="1" thickBot="1">
      <c r="A75" s="1639" t="s">
        <v>548</v>
      </c>
      <c r="B75" s="1640"/>
      <c r="C75" s="1619">
        <f>SUM(C69:C74)</f>
        <v>19632</v>
      </c>
      <c r="D75" s="468"/>
      <c r="E75" s="468"/>
      <c r="F75" s="468"/>
      <c r="G75" s="468"/>
      <c r="H75" s="468"/>
      <c r="I75" s="468"/>
      <c r="J75" s="468"/>
      <c r="K75" s="468"/>
    </row>
    <row r="76" spans="1:11" ht="15.75" customHeight="1" thickTop="1">
      <c r="A76" s="1524" t="s">
        <v>881</v>
      </c>
      <c r="B76" s="1526">
        <v>1700</v>
      </c>
      <c r="C76" s="553"/>
      <c r="D76" s="468"/>
      <c r="E76" s="468"/>
      <c r="F76" s="468"/>
      <c r="G76" s="468"/>
      <c r="H76" s="468"/>
      <c r="I76" s="468"/>
      <c r="J76" s="468"/>
      <c r="K76" s="468"/>
    </row>
    <row r="77" spans="1:11" ht="12.95" customHeight="1">
      <c r="A77" s="463" t="s">
        <v>549</v>
      </c>
      <c r="B77" s="470">
        <v>1711</v>
      </c>
      <c r="C77" s="516">
        <v>4316</v>
      </c>
      <c r="D77" s="466"/>
      <c r="E77" s="468"/>
      <c r="F77" s="468"/>
      <c r="G77" s="468"/>
      <c r="H77" s="468"/>
      <c r="I77" s="468"/>
      <c r="J77" s="468"/>
      <c r="K77" s="468"/>
    </row>
    <row r="78" spans="1:11" ht="12.95" customHeight="1">
      <c r="A78" s="463" t="s">
        <v>76</v>
      </c>
      <c r="B78" s="470">
        <v>1719</v>
      </c>
      <c r="C78" s="551"/>
      <c r="D78" s="466"/>
      <c r="E78" s="468"/>
      <c r="F78" s="468"/>
      <c r="G78" s="468"/>
      <c r="H78" s="468"/>
      <c r="I78" s="468"/>
      <c r="J78" s="468"/>
      <c r="K78" s="468"/>
    </row>
    <row r="79" spans="1:11" ht="12.95" customHeight="1">
      <c r="A79" s="463" t="s">
        <v>550</v>
      </c>
      <c r="B79" s="470">
        <v>1720</v>
      </c>
      <c r="C79" s="551">
        <v>10897</v>
      </c>
      <c r="D79" s="466"/>
      <c r="E79" s="468"/>
      <c r="F79" s="468"/>
      <c r="G79" s="468"/>
      <c r="H79" s="468"/>
      <c r="I79" s="468"/>
      <c r="J79" s="468"/>
      <c r="K79" s="468"/>
    </row>
    <row r="80" spans="1:11" ht="12.95" customHeight="1">
      <c r="A80" s="463" t="s">
        <v>551</v>
      </c>
      <c r="B80" s="470">
        <v>1730</v>
      </c>
      <c r="C80" s="551"/>
      <c r="D80" s="466"/>
      <c r="E80" s="468"/>
      <c r="F80" s="468"/>
      <c r="G80" s="468"/>
      <c r="H80" s="468"/>
      <c r="I80" s="468"/>
      <c r="J80" s="468"/>
      <c r="K80" s="468"/>
    </row>
    <row r="81" spans="1:11" ht="12.95" customHeight="1">
      <c r="A81" s="463" t="s">
        <v>26</v>
      </c>
      <c r="B81" s="470">
        <v>1790</v>
      </c>
      <c r="C81" s="551"/>
      <c r="D81" s="466"/>
      <c r="E81" s="468"/>
      <c r="F81" s="468"/>
      <c r="G81" s="468"/>
      <c r="H81" s="468"/>
      <c r="I81" s="468"/>
      <c r="J81" s="468"/>
      <c r="K81" s="468"/>
    </row>
    <row r="82" spans="1:11" ht="12.95" customHeight="1" thickBot="1">
      <c r="A82" s="1639" t="s">
        <v>241</v>
      </c>
      <c r="B82" s="1640"/>
      <c r="C82" s="1638">
        <f>SUM(C77:C81)</f>
        <v>15213</v>
      </c>
      <c r="D82" s="1619">
        <f>SUM(D77:D81)</f>
        <v>0</v>
      </c>
      <c r="E82" s="468"/>
      <c r="F82" s="468"/>
      <c r="G82" s="468"/>
      <c r="H82" s="468"/>
      <c r="I82" s="468"/>
      <c r="J82" s="468"/>
      <c r="K82" s="468"/>
    </row>
    <row r="83" spans="1:11" ht="15.75" customHeight="1" thickTop="1">
      <c r="A83" s="1524" t="s">
        <v>242</v>
      </c>
      <c r="B83" s="1526">
        <v>1800</v>
      </c>
      <c r="C83" s="553"/>
      <c r="D83" s="468"/>
      <c r="E83" s="468"/>
      <c r="F83" s="468"/>
      <c r="G83" s="468"/>
      <c r="H83" s="468"/>
      <c r="I83" s="468"/>
      <c r="J83" s="468"/>
      <c r="K83" s="468"/>
    </row>
    <row r="84" spans="1:11" ht="12.95" customHeight="1">
      <c r="A84" s="463" t="s">
        <v>552</v>
      </c>
      <c r="B84" s="470">
        <v>1811</v>
      </c>
      <c r="C84" s="466">
        <v>42742</v>
      </c>
      <c r="D84" s="468"/>
      <c r="E84" s="468"/>
      <c r="F84" s="468"/>
      <c r="G84" s="468"/>
      <c r="H84" s="468"/>
      <c r="I84" s="468"/>
      <c r="J84" s="468"/>
      <c r="K84" s="468"/>
    </row>
    <row r="85" spans="1:11" ht="12.95" customHeight="1">
      <c r="A85" s="463" t="s">
        <v>553</v>
      </c>
      <c r="B85" s="470">
        <v>1812</v>
      </c>
      <c r="C85" s="551"/>
      <c r="D85" s="468"/>
      <c r="E85" s="468"/>
      <c r="F85" s="468"/>
      <c r="G85" s="468"/>
      <c r="H85" s="468"/>
      <c r="I85" s="468"/>
      <c r="J85" s="468"/>
      <c r="K85" s="468"/>
    </row>
    <row r="86" spans="1:11" ht="12.95" customHeight="1">
      <c r="A86" s="463" t="s">
        <v>999</v>
      </c>
      <c r="B86" s="470">
        <v>1813</v>
      </c>
      <c r="C86" s="551"/>
      <c r="D86" s="468"/>
      <c r="E86" s="468"/>
      <c r="F86" s="468"/>
      <c r="G86" s="468"/>
      <c r="H86" s="468"/>
      <c r="I86" s="468"/>
      <c r="J86" s="468"/>
      <c r="K86" s="468"/>
    </row>
    <row r="87" spans="1:11" ht="12.95" customHeight="1">
      <c r="A87" s="463" t="s">
        <v>77</v>
      </c>
      <c r="B87" s="470">
        <v>1819</v>
      </c>
      <c r="C87" s="551"/>
      <c r="D87" s="468"/>
      <c r="E87" s="468"/>
      <c r="F87" s="468"/>
      <c r="G87" s="468"/>
      <c r="H87" s="468"/>
      <c r="I87" s="468"/>
      <c r="J87" s="468"/>
      <c r="K87" s="468"/>
    </row>
    <row r="88" spans="1:11" ht="12.95" customHeight="1">
      <c r="A88" s="463" t="s">
        <v>554</v>
      </c>
      <c r="B88" s="470">
        <v>1821</v>
      </c>
      <c r="C88" s="551"/>
      <c r="D88" s="468"/>
      <c r="E88" s="468"/>
      <c r="F88" s="468"/>
      <c r="G88" s="468"/>
      <c r="H88" s="468"/>
      <c r="I88" s="468"/>
      <c r="J88" s="468"/>
      <c r="K88" s="468"/>
    </row>
    <row r="89" spans="1:11" ht="12.95" customHeight="1">
      <c r="A89" s="463" t="s">
        <v>714</v>
      </c>
      <c r="B89" s="470">
        <v>1822</v>
      </c>
      <c r="C89" s="551"/>
      <c r="D89" s="468"/>
      <c r="E89" s="468"/>
      <c r="F89" s="468"/>
      <c r="G89" s="468"/>
      <c r="H89" s="468"/>
      <c r="I89" s="468"/>
      <c r="J89" s="468"/>
      <c r="K89" s="468"/>
    </row>
    <row r="90" spans="1:11" ht="12.95" customHeight="1">
      <c r="A90" s="463" t="s">
        <v>139</v>
      </c>
      <c r="B90" s="470">
        <v>1823</v>
      </c>
      <c r="C90" s="551"/>
      <c r="D90" s="468"/>
      <c r="E90" s="468"/>
      <c r="F90" s="468"/>
      <c r="G90" s="468"/>
      <c r="H90" s="468"/>
      <c r="I90" s="468"/>
      <c r="J90" s="468"/>
      <c r="K90" s="468"/>
    </row>
    <row r="91" spans="1:11" ht="12.95" customHeight="1">
      <c r="A91" s="463" t="s">
        <v>27</v>
      </c>
      <c r="B91" s="470">
        <v>1829</v>
      </c>
      <c r="C91" s="551"/>
      <c r="D91" s="468"/>
      <c r="E91" s="468"/>
      <c r="F91" s="468"/>
      <c r="G91" s="468"/>
      <c r="H91" s="468"/>
      <c r="I91" s="468"/>
      <c r="J91" s="468"/>
      <c r="K91" s="468"/>
    </row>
    <row r="92" spans="1:11" ht="12.95" customHeight="1">
      <c r="A92" s="463" t="s">
        <v>762</v>
      </c>
      <c r="B92" s="470">
        <v>1890</v>
      </c>
      <c r="C92" s="551"/>
      <c r="D92" s="468"/>
      <c r="E92" s="468"/>
      <c r="F92" s="468"/>
      <c r="G92" s="468"/>
      <c r="H92" s="468"/>
      <c r="I92" s="468"/>
      <c r="J92" s="468"/>
      <c r="K92" s="468"/>
    </row>
    <row r="93" spans="1:11" ht="12.95" customHeight="1" thickBot="1">
      <c r="A93" s="1639" t="s">
        <v>243</v>
      </c>
      <c r="B93" s="1640"/>
      <c r="C93" s="1619">
        <f>SUM(C84:C92)</f>
        <v>42742</v>
      </c>
      <c r="D93" s="468"/>
      <c r="E93" s="468"/>
      <c r="F93" s="468"/>
      <c r="G93" s="468"/>
      <c r="H93" s="468"/>
      <c r="I93" s="468"/>
      <c r="J93" s="468"/>
      <c r="K93" s="468"/>
    </row>
    <row r="94" spans="1:11" ht="15.75" customHeight="1" thickTop="1">
      <c r="A94" s="1524" t="s">
        <v>1137</v>
      </c>
      <c r="B94" s="1526">
        <v>1900</v>
      </c>
      <c r="C94" s="553"/>
      <c r="D94" s="521"/>
      <c r="E94" s="468"/>
      <c r="F94" s="468"/>
      <c r="G94" s="468"/>
      <c r="H94" s="468"/>
      <c r="I94" s="468"/>
      <c r="J94" s="468"/>
      <c r="K94" s="468"/>
    </row>
    <row r="95" spans="1:11" ht="12.95" customHeight="1">
      <c r="A95" s="463" t="s">
        <v>1064</v>
      </c>
      <c r="B95" s="470">
        <v>1910</v>
      </c>
      <c r="C95" s="466"/>
      <c r="D95" s="551">
        <v>5220</v>
      </c>
      <c r="E95" s="521"/>
      <c r="F95" s="521"/>
      <c r="G95" s="521"/>
      <c r="H95" s="521"/>
      <c r="I95" s="521"/>
      <c r="J95" s="521"/>
      <c r="K95" s="521"/>
    </row>
    <row r="96" spans="1:11" ht="12.95" customHeight="1">
      <c r="A96" s="463" t="s">
        <v>391</v>
      </c>
      <c r="B96" s="470">
        <v>1920</v>
      </c>
      <c r="C96" s="551">
        <v>38749</v>
      </c>
      <c r="D96" s="551">
        <v>1834</v>
      </c>
      <c r="E96" s="479"/>
      <c r="F96" s="478"/>
      <c r="G96" s="478"/>
      <c r="H96" s="478"/>
      <c r="I96" s="478"/>
      <c r="J96" s="478"/>
      <c r="K96" s="478"/>
    </row>
    <row r="97" spans="1:12" ht="12.95" customHeight="1">
      <c r="A97" s="1427" t="s">
        <v>244</v>
      </c>
      <c r="B97" s="559">
        <v>1930</v>
      </c>
      <c r="C97" s="489"/>
      <c r="D97" s="467">
        <v>1434</v>
      </c>
      <c r="E97" s="474"/>
      <c r="F97" s="467"/>
      <c r="G97" s="467"/>
      <c r="H97" s="467"/>
      <c r="I97" s="467"/>
      <c r="J97" s="467"/>
      <c r="K97" s="467"/>
    </row>
    <row r="98" spans="1:12" ht="12.95" customHeight="1">
      <c r="A98" s="463" t="s">
        <v>189</v>
      </c>
      <c r="B98" s="470">
        <v>1940</v>
      </c>
      <c r="C98" s="489">
        <v>50</v>
      </c>
      <c r="D98" s="466"/>
      <c r="E98" s="512"/>
      <c r="F98" s="466"/>
      <c r="G98" s="512"/>
      <c r="H98" s="512"/>
      <c r="I98" s="510"/>
      <c r="J98" s="512"/>
      <c r="K98" s="512"/>
    </row>
    <row r="99" spans="1:12" ht="12.95" customHeight="1">
      <c r="A99" s="463" t="s">
        <v>821</v>
      </c>
      <c r="B99" s="470">
        <v>1950</v>
      </c>
      <c r="C99" s="489">
        <v>4084</v>
      </c>
      <c r="D99" s="466"/>
      <c r="E99" s="466"/>
      <c r="F99" s="466"/>
      <c r="G99" s="466"/>
      <c r="H99" s="466"/>
      <c r="I99" s="468"/>
      <c r="J99" s="467"/>
      <c r="K99" s="466"/>
    </row>
    <row r="100" spans="1:12" ht="12.95" customHeight="1">
      <c r="A100" s="463" t="s">
        <v>245</v>
      </c>
      <c r="B100" s="470">
        <v>1960</v>
      </c>
      <c r="C100" s="489"/>
      <c r="D100" s="489"/>
      <c r="E100" s="489">
        <v>74458</v>
      </c>
      <c r="F100" s="489"/>
      <c r="G100" s="489"/>
      <c r="H100" s="489"/>
      <c r="I100" s="467"/>
      <c r="J100" s="489"/>
      <c r="K100" s="467"/>
    </row>
    <row r="101" spans="1:12" ht="12.95" customHeight="1">
      <c r="A101" s="463" t="s">
        <v>246</v>
      </c>
      <c r="B101" s="470">
        <v>1970</v>
      </c>
      <c r="C101" s="489"/>
      <c r="D101" s="526"/>
      <c r="E101" s="480"/>
      <c r="F101" s="526"/>
      <c r="G101" s="475"/>
      <c r="H101" s="526"/>
      <c r="I101" s="468"/>
      <c r="J101" s="475"/>
      <c r="K101" s="475"/>
    </row>
    <row r="102" spans="1:12" ht="12.95" customHeight="1">
      <c r="A102" s="463" t="s">
        <v>247</v>
      </c>
      <c r="B102" s="470">
        <v>1980</v>
      </c>
      <c r="C102" s="489"/>
      <c r="D102" s="489"/>
      <c r="E102" s="489"/>
      <c r="F102" s="489"/>
      <c r="G102" s="489"/>
      <c r="H102" s="489"/>
      <c r="I102" s="467"/>
      <c r="J102" s="489"/>
      <c r="K102" s="467"/>
    </row>
    <row r="103" spans="1:12" ht="12.95" customHeight="1">
      <c r="A103" s="463" t="s">
        <v>345</v>
      </c>
      <c r="B103" s="470">
        <v>1983</v>
      </c>
      <c r="C103" s="468"/>
      <c r="D103" s="468"/>
      <c r="E103" s="560">
        <v>3725</v>
      </c>
      <c r="F103" s="468"/>
      <c r="G103" s="468"/>
      <c r="H103" s="489"/>
      <c r="I103" s="468"/>
      <c r="J103" s="510"/>
      <c r="K103" s="510"/>
    </row>
    <row r="104" spans="1:12" ht="12.95" customHeight="1">
      <c r="A104" s="463" t="s">
        <v>830</v>
      </c>
      <c r="B104" s="470">
        <v>1991</v>
      </c>
      <c r="C104" s="489">
        <v>42106</v>
      </c>
      <c r="D104" s="466"/>
      <c r="E104" s="481"/>
      <c r="F104" s="467"/>
      <c r="G104" s="467"/>
      <c r="H104" s="466"/>
      <c r="I104" s="468"/>
      <c r="J104" s="468"/>
      <c r="K104" s="468"/>
    </row>
    <row r="105" spans="1:12" ht="12.95" customHeight="1">
      <c r="A105" s="463" t="s">
        <v>822</v>
      </c>
      <c r="B105" s="470">
        <v>1992</v>
      </c>
      <c r="C105" s="466"/>
      <c r="D105" s="561"/>
      <c r="E105" s="468"/>
      <c r="F105" s="468"/>
      <c r="G105" s="468"/>
      <c r="H105" s="510"/>
      <c r="I105" s="468"/>
      <c r="J105" s="468"/>
      <c r="K105" s="468"/>
    </row>
    <row r="106" spans="1:12" ht="12.95" customHeight="1">
      <c r="A106" s="463" t="s">
        <v>1409</v>
      </c>
      <c r="B106" s="470">
        <v>1993</v>
      </c>
      <c r="C106" s="466"/>
      <c r="D106" s="489"/>
      <c r="E106" s="467"/>
      <c r="F106" s="467"/>
      <c r="G106" s="467"/>
      <c r="H106" s="467"/>
      <c r="I106" s="521"/>
      <c r="J106" s="467"/>
      <c r="K106" s="467"/>
    </row>
    <row r="107" spans="1:12" ht="12.95" customHeight="1">
      <c r="A107" s="463" t="s">
        <v>78</v>
      </c>
      <c r="B107" s="470">
        <v>1999</v>
      </c>
      <c r="C107" s="551">
        <v>89878</v>
      </c>
      <c r="D107" s="466">
        <v>11469</v>
      </c>
      <c r="E107" s="466"/>
      <c r="F107" s="466">
        <v>66202</v>
      </c>
      <c r="G107" s="466"/>
      <c r="H107" s="466"/>
      <c r="I107" s="466"/>
      <c r="J107" s="467"/>
      <c r="K107" s="466"/>
    </row>
    <row r="108" spans="1:12" ht="12.95" customHeight="1" thickBot="1">
      <c r="A108" s="1639" t="s">
        <v>487</v>
      </c>
      <c r="B108" s="1643"/>
      <c r="C108" s="1638">
        <f>SUM(C95:C107)</f>
        <v>174867</v>
      </c>
      <c r="D108" s="1638">
        <f t="shared" ref="D108:K108" si="3">SUM(D95:D107)</f>
        <v>19957</v>
      </c>
      <c r="E108" s="1638">
        <f t="shared" si="3"/>
        <v>78183</v>
      </c>
      <c r="F108" s="1638">
        <f t="shared" si="3"/>
        <v>66202</v>
      </c>
      <c r="G108" s="1638">
        <f t="shared" si="3"/>
        <v>0</v>
      </c>
      <c r="H108" s="1638">
        <f t="shared" si="3"/>
        <v>0</v>
      </c>
      <c r="I108" s="1638">
        <f t="shared" si="3"/>
        <v>0</v>
      </c>
      <c r="J108" s="1638">
        <f t="shared" si="3"/>
        <v>0</v>
      </c>
      <c r="K108" s="1619">
        <f t="shared" si="3"/>
        <v>0</v>
      </c>
    </row>
    <row r="109" spans="1:12" ht="14.25" thickTop="1" thickBot="1">
      <c r="A109" s="1644" t="s">
        <v>248</v>
      </c>
      <c r="B109" s="1645" t="s">
        <v>570</v>
      </c>
      <c r="C109" s="1646">
        <f t="shared" ref="C109:K109" si="4">SUM(C12,C18,C40,C63,C67,C75,C82,C93,C108,)</f>
        <v>5812963</v>
      </c>
      <c r="D109" s="1646">
        <f t="shared" si="4"/>
        <v>1358935</v>
      </c>
      <c r="E109" s="1646">
        <f t="shared" si="4"/>
        <v>1310908</v>
      </c>
      <c r="F109" s="1646">
        <f t="shared" si="4"/>
        <v>392672</v>
      </c>
      <c r="G109" s="1646">
        <f t="shared" si="4"/>
        <v>348678</v>
      </c>
      <c r="H109" s="1646">
        <f t="shared" si="4"/>
        <v>0</v>
      </c>
      <c r="I109" s="1646">
        <f t="shared" si="4"/>
        <v>163509</v>
      </c>
      <c r="J109" s="1646">
        <f t="shared" si="4"/>
        <v>597522</v>
      </c>
      <c r="K109" s="1633">
        <f t="shared" si="4"/>
        <v>43998</v>
      </c>
    </row>
    <row r="110" spans="1:12" ht="30" customHeight="1" thickTop="1">
      <c r="A110" s="1517" t="s">
        <v>346</v>
      </c>
      <c r="B110" s="1518"/>
      <c r="C110" s="1503"/>
      <c r="D110" s="1503"/>
      <c r="E110" s="1503"/>
      <c r="F110" s="1503"/>
      <c r="G110" s="1503"/>
      <c r="H110" s="1503"/>
      <c r="I110" s="1503"/>
      <c r="J110" s="1503"/>
      <c r="K110" s="1504"/>
    </row>
    <row r="111" spans="1:12" ht="12.95" customHeight="1">
      <c r="A111" s="493" t="s">
        <v>823</v>
      </c>
      <c r="B111" s="491">
        <v>2100</v>
      </c>
      <c r="C111" s="516"/>
      <c r="D111" s="481"/>
      <c r="E111" s="561"/>
      <c r="F111" s="481"/>
      <c r="G111" s="481"/>
      <c r="H111" s="561"/>
      <c r="I111" s="468"/>
      <c r="J111" s="468"/>
      <c r="K111" s="468"/>
    </row>
    <row r="112" spans="1:12" ht="12.95" customHeight="1">
      <c r="A112" s="463" t="s">
        <v>824</v>
      </c>
      <c r="B112" s="470">
        <v>2200</v>
      </c>
      <c r="C112" s="551"/>
      <c r="D112" s="466"/>
      <c r="E112" s="561"/>
      <c r="F112" s="466"/>
      <c r="G112" s="466"/>
      <c r="H112" s="561"/>
      <c r="I112" s="468"/>
      <c r="J112" s="468"/>
      <c r="K112" s="468"/>
      <c r="L112" s="552"/>
    </row>
    <row r="113" spans="1:11" ht="12.95" customHeight="1">
      <c r="A113" s="463" t="s">
        <v>28</v>
      </c>
      <c r="B113" s="470">
        <v>2300</v>
      </c>
      <c r="C113" s="551"/>
      <c r="D113" s="466"/>
      <c r="E113" s="561"/>
      <c r="F113" s="466"/>
      <c r="G113" s="466"/>
      <c r="H113" s="561"/>
      <c r="I113" s="468"/>
      <c r="J113" s="468"/>
      <c r="K113" s="468"/>
    </row>
    <row r="114" spans="1:11" ht="13.5" thickBot="1">
      <c r="A114" s="1647" t="s">
        <v>806</v>
      </c>
      <c r="B114" s="1648" t="s">
        <v>569</v>
      </c>
      <c r="C114" s="1649">
        <f>SUM(C111:C113)</f>
        <v>0</v>
      </c>
      <c r="D114" s="1649">
        <f>SUM(D111:D113)</f>
        <v>0</v>
      </c>
      <c r="E114" s="561" t="s">
        <v>1169</v>
      </c>
      <c r="F114" s="1649">
        <f>SUM(F111:F113)</f>
        <v>0</v>
      </c>
      <c r="G114" s="1649">
        <f>SUM(G111:G113)</f>
        <v>0</v>
      </c>
      <c r="H114" s="561"/>
      <c r="I114" s="468"/>
      <c r="J114" s="468"/>
      <c r="K114" s="468"/>
    </row>
    <row r="115" spans="1:11" ht="16.7" customHeight="1" thickTop="1">
      <c r="A115" s="1519" t="s">
        <v>803</v>
      </c>
      <c r="B115" s="1520"/>
      <c r="C115" s="1502"/>
      <c r="D115" s="1503"/>
      <c r="E115" s="1503"/>
      <c r="F115" s="1503"/>
      <c r="G115" s="1503"/>
      <c r="H115" s="1503"/>
      <c r="I115" s="1503"/>
      <c r="J115" s="1503"/>
      <c r="K115" s="1504"/>
    </row>
    <row r="116" spans="1:11" ht="18" customHeight="1">
      <c r="A116" s="1527" t="s">
        <v>1470</v>
      </c>
      <c r="B116" s="1528"/>
      <c r="C116" s="522"/>
      <c r="D116" s="521"/>
      <c r="E116" s="561"/>
      <c r="F116" s="521"/>
      <c r="G116" s="521"/>
      <c r="H116" s="561"/>
      <c r="I116" s="468"/>
      <c r="J116" s="521"/>
      <c r="K116" s="521"/>
    </row>
    <row r="117" spans="1:11" ht="12.95" customHeight="1">
      <c r="A117" s="463" t="s">
        <v>1640</v>
      </c>
      <c r="B117" s="562">
        <v>3001</v>
      </c>
      <c r="C117" s="516">
        <v>5194767</v>
      </c>
      <c r="D117" s="481"/>
      <c r="E117" s="466"/>
      <c r="F117" s="481"/>
      <c r="G117" s="481"/>
      <c r="H117" s="466"/>
      <c r="I117" s="468"/>
      <c r="J117" s="467"/>
      <c r="K117" s="466"/>
    </row>
    <row r="118" spans="1:11" ht="12.95" customHeight="1">
      <c r="A118" s="463" t="s">
        <v>1761</v>
      </c>
      <c r="B118" s="562">
        <v>3002</v>
      </c>
      <c r="C118" s="551"/>
      <c r="D118" s="466"/>
      <c r="E118" s="466"/>
      <c r="F118" s="466"/>
      <c r="G118" s="466"/>
      <c r="H118" s="466"/>
      <c r="I118" s="468"/>
      <c r="J118" s="467"/>
      <c r="K118" s="466"/>
    </row>
    <row r="119" spans="1:11" ht="12.95" customHeight="1">
      <c r="A119" s="463" t="s">
        <v>1762</v>
      </c>
      <c r="B119" s="562">
        <v>3005</v>
      </c>
      <c r="C119" s="551"/>
      <c r="D119" s="466"/>
      <c r="E119" s="466"/>
      <c r="F119" s="466"/>
      <c r="G119" s="466"/>
      <c r="H119" s="466"/>
      <c r="I119" s="468"/>
      <c r="J119" s="467"/>
      <c r="K119" s="466"/>
    </row>
    <row r="120" spans="1:11" ht="12.95" customHeight="1">
      <c r="A120" s="1861" t="s">
        <v>1896</v>
      </c>
      <c r="B120" s="562">
        <v>3030</v>
      </c>
      <c r="C120" s="551"/>
      <c r="D120" s="466"/>
      <c r="E120" s="466"/>
      <c r="F120" s="466"/>
      <c r="G120" s="466"/>
      <c r="H120" s="466"/>
      <c r="I120" s="468"/>
      <c r="J120" s="467"/>
      <c r="K120" s="466"/>
    </row>
    <row r="121" spans="1:11">
      <c r="A121" s="1428" t="s">
        <v>1763</v>
      </c>
      <c r="B121" s="564">
        <v>3099</v>
      </c>
      <c r="C121" s="551"/>
      <c r="D121" s="466"/>
      <c r="E121" s="466"/>
      <c r="F121" s="466"/>
      <c r="G121" s="466"/>
      <c r="H121" s="466"/>
      <c r="I121" s="468"/>
      <c r="J121" s="467"/>
      <c r="K121" s="466"/>
    </row>
    <row r="122" spans="1:11" ht="12.75" customHeight="1" thickBot="1">
      <c r="A122" s="1639" t="s">
        <v>488</v>
      </c>
      <c r="B122" s="1650"/>
      <c r="C122" s="1638">
        <f t="shared" ref="C122:H122" si="5">SUM(C117:C121)</f>
        <v>5194767</v>
      </c>
      <c r="D122" s="1638">
        <f t="shared" si="5"/>
        <v>0</v>
      </c>
      <c r="E122" s="1638">
        <f t="shared" si="5"/>
        <v>0</v>
      </c>
      <c r="F122" s="1638">
        <f t="shared" si="5"/>
        <v>0</v>
      </c>
      <c r="G122" s="1638">
        <f t="shared" si="5"/>
        <v>0</v>
      </c>
      <c r="H122" s="1638">
        <f t="shared" si="5"/>
        <v>0</v>
      </c>
      <c r="I122" s="468"/>
      <c r="J122" s="1638">
        <f>SUM(J117:J121)</f>
        <v>0</v>
      </c>
      <c r="K122" s="1619">
        <f>SUM(K117:K121)</f>
        <v>0</v>
      </c>
    </row>
    <row r="123" spans="1:11" ht="15.75" customHeight="1" thickTop="1">
      <c r="A123" s="1524" t="s">
        <v>1469</v>
      </c>
      <c r="B123" s="1529"/>
      <c r="C123" s="565"/>
      <c r="D123" s="509"/>
      <c r="E123" s="468"/>
      <c r="F123" s="566"/>
      <c r="G123" s="468"/>
      <c r="H123" s="468"/>
      <c r="I123" s="468"/>
      <c r="J123" s="468"/>
      <c r="K123" s="468"/>
    </row>
    <row r="124" spans="1:11" ht="15" customHeight="1">
      <c r="A124" s="1530" t="s">
        <v>667</v>
      </c>
      <c r="B124" s="1531"/>
      <c r="C124" s="521"/>
      <c r="D124" s="509"/>
      <c r="E124" s="468"/>
      <c r="F124" s="521"/>
      <c r="G124" s="468"/>
      <c r="H124" s="468"/>
      <c r="I124" s="468"/>
      <c r="J124" s="468"/>
      <c r="K124" s="468"/>
    </row>
    <row r="125" spans="1:11" ht="12.95" customHeight="1">
      <c r="A125" s="463" t="s">
        <v>866</v>
      </c>
      <c r="B125" s="567">
        <v>3100</v>
      </c>
      <c r="C125" s="481"/>
      <c r="D125" s="561"/>
      <c r="E125" s="468"/>
      <c r="F125" s="548"/>
      <c r="G125" s="468"/>
      <c r="H125" s="468"/>
      <c r="I125" s="468"/>
      <c r="J125" s="468"/>
      <c r="K125" s="468"/>
    </row>
    <row r="126" spans="1:11" ht="12.95" customHeight="1">
      <c r="A126" s="463" t="s">
        <v>1425</v>
      </c>
      <c r="B126" s="562">
        <v>3105</v>
      </c>
      <c r="C126" s="466"/>
      <c r="D126" s="561"/>
      <c r="E126" s="468"/>
      <c r="F126" s="466"/>
      <c r="G126" s="468"/>
      <c r="H126" s="468"/>
      <c r="I126" s="468"/>
      <c r="J126" s="468"/>
      <c r="K126" s="468"/>
    </row>
    <row r="127" spans="1:11" ht="12.95" customHeight="1">
      <c r="A127" s="463" t="s">
        <v>867</v>
      </c>
      <c r="B127" s="562">
        <v>3110</v>
      </c>
      <c r="C127" s="551"/>
      <c r="D127" s="466"/>
      <c r="E127" s="468"/>
      <c r="F127" s="466"/>
      <c r="G127" s="468"/>
      <c r="H127" s="468"/>
      <c r="I127" s="468"/>
      <c r="J127" s="468"/>
      <c r="K127" s="468"/>
    </row>
    <row r="128" spans="1:11" ht="12.95" customHeight="1">
      <c r="A128" s="463" t="s">
        <v>105</v>
      </c>
      <c r="B128" s="562">
        <v>3120</v>
      </c>
      <c r="C128" s="466">
        <v>58090</v>
      </c>
      <c r="D128" s="561"/>
      <c r="E128" s="468"/>
      <c r="F128" s="466"/>
      <c r="G128" s="468"/>
      <c r="H128" s="468"/>
      <c r="I128" s="468"/>
      <c r="J128" s="468"/>
      <c r="K128" s="468"/>
    </row>
    <row r="129" spans="1:11" ht="12.95" customHeight="1">
      <c r="A129" s="463" t="s">
        <v>1426</v>
      </c>
      <c r="B129" s="562">
        <v>3130</v>
      </c>
      <c r="C129" s="466"/>
      <c r="D129" s="561"/>
      <c r="E129" s="468"/>
      <c r="F129" s="466"/>
      <c r="G129" s="468"/>
      <c r="H129" s="468"/>
      <c r="I129" s="468"/>
      <c r="J129" s="468"/>
      <c r="K129" s="468"/>
    </row>
    <row r="130" spans="1:11" ht="12.95" customHeight="1">
      <c r="A130" s="463" t="s">
        <v>137</v>
      </c>
      <c r="B130" s="562">
        <v>3145</v>
      </c>
      <c r="C130" s="466"/>
      <c r="D130" s="561"/>
      <c r="E130" s="468"/>
      <c r="F130" s="466"/>
      <c r="G130" s="468"/>
      <c r="H130" s="468"/>
      <c r="I130" s="468"/>
      <c r="J130" s="468"/>
      <c r="K130" s="468"/>
    </row>
    <row r="131" spans="1:11" ht="12.95" customHeight="1">
      <c r="A131" s="463" t="s">
        <v>66</v>
      </c>
      <c r="B131" s="562">
        <v>3199</v>
      </c>
      <c r="C131" s="551"/>
      <c r="D131" s="467"/>
      <c r="E131" s="468"/>
      <c r="F131" s="466"/>
      <c r="G131" s="468"/>
      <c r="H131" s="468"/>
      <c r="I131" s="468"/>
      <c r="J131" s="468"/>
      <c r="K131" s="468"/>
    </row>
    <row r="132" spans="1:11" ht="12.95" customHeight="1" thickBot="1">
      <c r="A132" s="1639" t="s">
        <v>1032</v>
      </c>
      <c r="B132" s="1651"/>
      <c r="C132" s="1638">
        <f>SUM(C125:C131)</f>
        <v>58090</v>
      </c>
      <c r="D132" s="1638">
        <f>SUM(D125:D131)</f>
        <v>0</v>
      </c>
      <c r="E132" s="469" t="s">
        <v>1169</v>
      </c>
      <c r="F132" s="1638">
        <f>SUM(F125:F131)</f>
        <v>0</v>
      </c>
      <c r="G132" s="468" t="s">
        <v>1169</v>
      </c>
      <c r="H132" s="468" t="s">
        <v>1169</v>
      </c>
      <c r="I132" s="468" t="s">
        <v>1169</v>
      </c>
      <c r="J132" s="468" t="s">
        <v>1169</v>
      </c>
      <c r="K132" s="468" t="s">
        <v>1169</v>
      </c>
    </row>
    <row r="133" spans="1:11" ht="15.75" customHeight="1" thickTop="1">
      <c r="A133" s="1532" t="s">
        <v>250</v>
      </c>
      <c r="B133" s="1533"/>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95" customHeight="1">
      <c r="A135" s="463" t="s">
        <v>669</v>
      </c>
      <c r="B135" s="562">
        <v>3220</v>
      </c>
      <c r="C135" s="551"/>
      <c r="D135" s="466"/>
      <c r="E135" s="561"/>
      <c r="F135" s="468"/>
      <c r="G135" s="467"/>
      <c r="H135" s="468"/>
      <c r="I135" s="468"/>
      <c r="J135" s="468"/>
      <c r="K135" s="468"/>
    </row>
    <row r="136" spans="1:11" ht="12.95" customHeight="1">
      <c r="A136" s="463" t="s">
        <v>249</v>
      </c>
      <c r="B136" s="562">
        <v>3225</v>
      </c>
      <c r="C136" s="551"/>
      <c r="D136" s="466"/>
      <c r="E136" s="561"/>
      <c r="F136" s="468"/>
      <c r="G136" s="467"/>
      <c r="H136" s="468"/>
      <c r="I136" s="468"/>
      <c r="J136" s="468"/>
      <c r="K136" s="468"/>
    </row>
    <row r="137" spans="1:11" ht="12.95" customHeight="1">
      <c r="A137" s="463" t="s">
        <v>600</v>
      </c>
      <c r="B137" s="562">
        <v>3235</v>
      </c>
      <c r="C137" s="489"/>
      <c r="D137" s="467"/>
      <c r="E137" s="561"/>
      <c r="F137" s="468"/>
      <c r="G137" s="467"/>
      <c r="H137" s="468"/>
      <c r="I137" s="468"/>
      <c r="J137" s="468"/>
      <c r="K137" s="468"/>
    </row>
    <row r="138" spans="1:11" ht="12.95" customHeight="1">
      <c r="A138" s="463" t="s">
        <v>601</v>
      </c>
      <c r="B138" s="562">
        <v>3240</v>
      </c>
      <c r="C138" s="489"/>
      <c r="D138" s="467"/>
      <c r="E138" s="561"/>
      <c r="F138" s="468"/>
      <c r="G138" s="467"/>
      <c r="H138" s="468"/>
      <c r="I138" s="468"/>
      <c r="J138" s="468"/>
      <c r="K138" s="468"/>
    </row>
    <row r="139" spans="1:11" ht="12.95" customHeight="1">
      <c r="A139" s="463" t="s">
        <v>602</v>
      </c>
      <c r="B139" s="562">
        <v>3270</v>
      </c>
      <c r="C139" s="489"/>
      <c r="D139" s="467"/>
      <c r="E139" s="561"/>
      <c r="F139" s="468"/>
      <c r="G139" s="467"/>
      <c r="H139" s="468"/>
      <c r="I139" s="468"/>
      <c r="J139" s="468"/>
      <c r="K139" s="468"/>
    </row>
    <row r="140" spans="1:11" ht="12.95" customHeight="1">
      <c r="A140" s="463" t="s">
        <v>67</v>
      </c>
      <c r="B140" s="562">
        <v>3299</v>
      </c>
      <c r="C140" s="551"/>
      <c r="D140" s="466"/>
      <c r="E140" s="561"/>
      <c r="F140" s="477"/>
      <c r="G140" s="467"/>
      <c r="H140" s="468"/>
      <c r="I140" s="468"/>
      <c r="J140" s="468"/>
      <c r="K140" s="468"/>
    </row>
    <row r="141" spans="1:11" ht="12.95" customHeight="1" thickBot="1">
      <c r="A141" s="1639" t="s">
        <v>603</v>
      </c>
      <c r="B141" s="1651"/>
      <c r="C141" s="1638">
        <f>SUM(C134:C140)</f>
        <v>0</v>
      </c>
      <c r="D141" s="1638">
        <f>SUM(D134:D140)</f>
        <v>0</v>
      </c>
      <c r="E141" s="561" t="s">
        <v>1169</v>
      </c>
      <c r="F141" s="477"/>
      <c r="G141" s="1638">
        <f>SUM(G134:G140)</f>
        <v>0</v>
      </c>
      <c r="H141" s="468" t="s">
        <v>1169</v>
      </c>
      <c r="I141" s="468" t="s">
        <v>1169</v>
      </c>
      <c r="J141" s="468" t="s">
        <v>1169</v>
      </c>
      <c r="K141" s="468" t="s">
        <v>1169</v>
      </c>
    </row>
    <row r="142" spans="1:11" ht="15.75" customHeight="1" thickTop="1">
      <c r="A142" s="1532" t="s">
        <v>670</v>
      </c>
      <c r="B142" s="1533"/>
      <c r="C142" s="553"/>
      <c r="D142" s="566"/>
      <c r="E142" s="561"/>
      <c r="F142" s="553"/>
      <c r="G142" s="553"/>
      <c r="H142" s="468"/>
      <c r="I142" s="468"/>
      <c r="J142" s="468"/>
      <c r="K142" s="468"/>
    </row>
    <row r="143" spans="1:11" ht="12.95" customHeight="1">
      <c r="A143" s="463" t="s">
        <v>604</v>
      </c>
      <c r="B143" s="562">
        <v>3305</v>
      </c>
      <c r="C143" s="466"/>
      <c r="D143" s="468"/>
      <c r="E143" s="561"/>
      <c r="F143" s="468"/>
      <c r="G143" s="466"/>
      <c r="H143" s="468"/>
      <c r="I143" s="468"/>
      <c r="J143" s="468"/>
      <c r="K143" s="468"/>
    </row>
    <row r="144" spans="1:11" ht="12.95" customHeight="1">
      <c r="A144" s="463" t="s">
        <v>347</v>
      </c>
      <c r="B144" s="562">
        <v>3310</v>
      </c>
      <c r="C144" s="551"/>
      <c r="D144" s="468"/>
      <c r="E144" s="561"/>
      <c r="F144" s="468"/>
      <c r="G144" s="466"/>
      <c r="H144" s="468"/>
      <c r="I144" s="468"/>
      <c r="J144" s="468"/>
      <c r="K144" s="468"/>
    </row>
    <row r="145" spans="1:11" s="202" customFormat="1" ht="13.5" thickBot="1">
      <c r="A145" s="1639" t="s">
        <v>396</v>
      </c>
      <c r="B145" s="1651"/>
      <c r="C145" s="1619">
        <f>SUM(C143:C144)</f>
        <v>0</v>
      </c>
      <c r="D145" s="468"/>
      <c r="E145" s="509"/>
      <c r="F145" s="468"/>
      <c r="G145" s="1652">
        <f>SUM(G143:G144)</f>
        <v>0</v>
      </c>
      <c r="H145" s="468"/>
      <c r="I145" s="468"/>
      <c r="J145" s="468"/>
      <c r="K145" s="468"/>
    </row>
    <row r="146" spans="1:11" s="202" customFormat="1" ht="12.95" customHeight="1" thickTop="1">
      <c r="A146" s="1430" t="s">
        <v>1056</v>
      </c>
      <c r="B146" s="568">
        <v>3360</v>
      </c>
      <c r="C146" s="569">
        <v>7604</v>
      </c>
      <c r="D146" s="570"/>
      <c r="E146" s="509"/>
      <c r="F146" s="468"/>
      <c r="G146" s="571"/>
      <c r="H146" s="468"/>
      <c r="I146" s="468"/>
      <c r="J146" s="468"/>
      <c r="K146" s="468"/>
    </row>
    <row r="147" spans="1:11" ht="12.95" customHeight="1" thickBot="1">
      <c r="A147" s="1431" t="s">
        <v>922</v>
      </c>
      <c r="B147" s="572">
        <v>3365</v>
      </c>
      <c r="C147" s="573"/>
      <c r="D147" s="532"/>
      <c r="E147" s="561"/>
      <c r="F147" s="468"/>
      <c r="G147" s="532"/>
      <c r="H147" s="468"/>
      <c r="I147" s="468"/>
      <c r="J147" s="468"/>
      <c r="K147" s="468"/>
    </row>
    <row r="148" spans="1:11" ht="12.95" customHeight="1" thickTop="1" thickBot="1">
      <c r="A148" s="1432" t="s">
        <v>138</v>
      </c>
      <c r="B148" s="574">
        <v>3370</v>
      </c>
      <c r="C148" s="573"/>
      <c r="D148" s="573"/>
      <c r="E148" s="509"/>
      <c r="F148" s="468"/>
      <c r="G148" s="468"/>
      <c r="H148" s="468"/>
      <c r="I148" s="468"/>
      <c r="J148" s="468"/>
      <c r="K148" s="468"/>
    </row>
    <row r="149" spans="1:11" ht="12.95" customHeight="1" thickTop="1" thickBot="1">
      <c r="A149" s="1432" t="s">
        <v>767</v>
      </c>
      <c r="B149" s="574">
        <v>3410</v>
      </c>
      <c r="C149" s="575"/>
      <c r="D149" s="576"/>
      <c r="E149" s="577"/>
      <c r="F149" s="530"/>
      <c r="G149" s="530"/>
      <c r="H149" s="530"/>
      <c r="I149" s="530"/>
      <c r="J149" s="530"/>
      <c r="K149" s="530"/>
    </row>
    <row r="150" spans="1:11" ht="12.95" customHeight="1" thickTop="1" thickBot="1">
      <c r="A150" s="1432" t="s">
        <v>68</v>
      </c>
      <c r="B150" s="574">
        <v>3499</v>
      </c>
      <c r="C150" s="575"/>
      <c r="D150" s="576"/>
      <c r="E150" s="532"/>
      <c r="F150" s="532"/>
      <c r="G150" s="532"/>
      <c r="H150" s="532"/>
      <c r="I150" s="532"/>
      <c r="J150" s="532"/>
      <c r="K150" s="532"/>
    </row>
    <row r="151" spans="1:11" ht="15.75" customHeight="1" thickTop="1">
      <c r="A151" s="1532" t="s">
        <v>453</v>
      </c>
      <c r="B151" s="1534"/>
      <c r="C151" s="553"/>
      <c r="D151" s="468"/>
      <c r="E151" s="561"/>
      <c r="F151" s="468"/>
      <c r="G151" s="468"/>
      <c r="H151" s="468"/>
      <c r="I151" s="468"/>
      <c r="J151" s="468"/>
      <c r="K151" s="468"/>
    </row>
    <row r="152" spans="1:11" ht="12.95" customHeight="1">
      <c r="A152" s="463" t="s">
        <v>1427</v>
      </c>
      <c r="B152" s="562">
        <v>3500</v>
      </c>
      <c r="C152" s="551"/>
      <c r="D152" s="466"/>
      <c r="E152" s="561"/>
      <c r="F152" s="466">
        <v>290402</v>
      </c>
      <c r="G152" s="467"/>
      <c r="H152" s="468"/>
      <c r="I152" s="468"/>
      <c r="J152" s="468"/>
      <c r="K152" s="468"/>
    </row>
    <row r="153" spans="1:11" ht="12.95" customHeight="1">
      <c r="A153" s="463" t="s">
        <v>1057</v>
      </c>
      <c r="B153" s="562">
        <v>3510</v>
      </c>
      <c r="C153" s="551"/>
      <c r="D153" s="466"/>
      <c r="E153" s="561"/>
      <c r="F153" s="466">
        <v>255472</v>
      </c>
      <c r="G153" s="467"/>
      <c r="H153" s="468"/>
      <c r="I153" s="468"/>
      <c r="J153" s="468"/>
      <c r="K153" s="468"/>
    </row>
    <row r="154" spans="1:11" ht="12.95" customHeight="1">
      <c r="A154" s="463" t="s">
        <v>69</v>
      </c>
      <c r="B154" s="562">
        <v>3599</v>
      </c>
      <c r="C154" s="551"/>
      <c r="D154" s="466"/>
      <c r="E154" s="561"/>
      <c r="F154" s="466"/>
      <c r="G154" s="467"/>
      <c r="H154" s="468"/>
      <c r="I154" s="468"/>
      <c r="J154" s="468"/>
      <c r="K154" s="468"/>
    </row>
    <row r="155" spans="1:11" ht="12.95" customHeight="1" thickBot="1">
      <c r="A155" s="1639" t="s">
        <v>94</v>
      </c>
      <c r="B155" s="1651"/>
      <c r="C155" s="1638">
        <f>SUM(C152:C154)</f>
        <v>0</v>
      </c>
      <c r="D155" s="1638">
        <f>SUM(D152:D154)</f>
        <v>0</v>
      </c>
      <c r="E155" s="561"/>
      <c r="F155" s="1638">
        <f>SUM(F152:F154)</f>
        <v>545874</v>
      </c>
      <c r="G155" s="1638">
        <f>SUM(G152:G154)</f>
        <v>0</v>
      </c>
      <c r="H155" s="468"/>
      <c r="I155" s="468"/>
      <c r="J155" s="468"/>
      <c r="K155" s="468"/>
    </row>
    <row r="156" spans="1:11" ht="12.95" customHeight="1" thickTop="1" thickBot="1">
      <c r="A156" s="1432" t="s">
        <v>380</v>
      </c>
      <c r="B156" s="574">
        <v>3610</v>
      </c>
      <c r="C156" s="576"/>
      <c r="D156" s="468"/>
      <c r="E156" s="509"/>
      <c r="F156" s="468"/>
      <c r="G156" s="468"/>
      <c r="H156" s="468"/>
      <c r="I156" s="468"/>
      <c r="J156" s="468"/>
      <c r="K156" s="468"/>
    </row>
    <row r="157" spans="1:11" ht="12.95" customHeight="1" thickTop="1" thickBot="1">
      <c r="A157" s="1432" t="s">
        <v>50</v>
      </c>
      <c r="B157" s="574">
        <v>3660</v>
      </c>
      <c r="C157" s="573"/>
      <c r="D157" s="578"/>
      <c r="E157" s="561"/>
      <c r="F157" s="578"/>
      <c r="G157" s="578"/>
      <c r="H157" s="468"/>
      <c r="I157" s="468"/>
      <c r="J157" s="468"/>
      <c r="K157" s="468"/>
    </row>
    <row r="158" spans="1:11" ht="12.95" customHeight="1" thickTop="1" thickBot="1">
      <c r="A158" s="1432" t="s">
        <v>1000</v>
      </c>
      <c r="B158" s="574">
        <v>3695</v>
      </c>
      <c r="C158" s="576"/>
      <c r="D158" s="468"/>
      <c r="E158" s="561"/>
      <c r="F158" s="576"/>
      <c r="G158" s="576"/>
      <c r="H158" s="468"/>
      <c r="I158" s="468"/>
      <c r="J158" s="468"/>
      <c r="K158" s="468"/>
    </row>
    <row r="159" spans="1:11" ht="12.95" customHeight="1" thickTop="1" thickBot="1">
      <c r="A159" s="1432" t="s">
        <v>1051</v>
      </c>
      <c r="B159" s="574">
        <v>3705</v>
      </c>
      <c r="C159" s="576">
        <v>236230</v>
      </c>
      <c r="D159" s="578"/>
      <c r="E159" s="561"/>
      <c r="F159" s="576"/>
      <c r="G159" s="576"/>
      <c r="H159" s="468"/>
      <c r="I159" s="468"/>
      <c r="J159" s="468"/>
      <c r="K159" s="468"/>
    </row>
    <row r="160" spans="1:11" ht="12.95" customHeight="1" thickTop="1" thickBot="1">
      <c r="A160" s="1432" t="s">
        <v>39</v>
      </c>
      <c r="B160" s="574">
        <v>3766</v>
      </c>
      <c r="C160" s="576"/>
      <c r="D160" s="578"/>
      <c r="E160" s="561"/>
      <c r="F160" s="576"/>
      <c r="G160" s="531"/>
      <c r="H160" s="468"/>
      <c r="I160" s="468"/>
      <c r="J160" s="468"/>
      <c r="K160" s="468"/>
    </row>
    <row r="161" spans="1:11" ht="12.95" customHeight="1" thickTop="1" thickBot="1">
      <c r="A161" s="1432" t="s">
        <v>985</v>
      </c>
      <c r="B161" s="574">
        <v>3767</v>
      </c>
      <c r="C161" s="576"/>
      <c r="D161" s="531"/>
      <c r="E161" s="561"/>
      <c r="F161" s="531"/>
      <c r="G161" s="531"/>
      <c r="H161" s="468"/>
      <c r="I161" s="468"/>
      <c r="J161" s="468"/>
      <c r="K161" s="468"/>
    </row>
    <row r="162" spans="1:11" ht="12.95" customHeight="1" thickTop="1" thickBot="1">
      <c r="A162" s="1432" t="s">
        <v>986</v>
      </c>
      <c r="B162" s="574">
        <v>3775</v>
      </c>
      <c r="C162" s="576"/>
      <c r="D162" s="573"/>
      <c r="E162" s="530"/>
      <c r="F162" s="573"/>
      <c r="G162" s="532"/>
      <c r="H162" s="530"/>
      <c r="I162" s="468"/>
      <c r="J162" s="468"/>
      <c r="K162" s="530"/>
    </row>
    <row r="163" spans="1:11" ht="12.95" customHeight="1" thickTop="1" thickBot="1">
      <c r="A163" s="1432" t="s">
        <v>1428</v>
      </c>
      <c r="B163" s="574">
        <v>3780</v>
      </c>
      <c r="C163" s="531"/>
      <c r="D163" s="530"/>
      <c r="E163" s="531"/>
      <c r="F163" s="531"/>
      <c r="G163" s="531"/>
      <c r="H163" s="531"/>
      <c r="I163" s="468"/>
      <c r="J163" s="468"/>
      <c r="K163" s="531"/>
    </row>
    <row r="164" spans="1:11" ht="12.95" customHeight="1" thickTop="1" thickBot="1">
      <c r="A164" s="1432" t="s">
        <v>858</v>
      </c>
      <c r="B164" s="574">
        <v>3815</v>
      </c>
      <c r="C164" s="576"/>
      <c r="D164" s="468"/>
      <c r="E164" s="561"/>
      <c r="F164" s="576"/>
      <c r="G164" s="468"/>
      <c r="H164" s="468"/>
      <c r="I164" s="468"/>
      <c r="J164" s="468"/>
      <c r="K164" s="468"/>
    </row>
    <row r="165" spans="1:11" ht="12.95" customHeight="1" thickTop="1" thickBot="1">
      <c r="A165" s="1432" t="s">
        <v>397</v>
      </c>
      <c r="B165" s="574">
        <v>3825</v>
      </c>
      <c r="C165" s="576"/>
      <c r="D165" s="468"/>
      <c r="E165" s="561"/>
      <c r="F165" s="576"/>
      <c r="G165" s="468"/>
      <c r="H165" s="468"/>
      <c r="I165" s="468"/>
      <c r="J165" s="468"/>
      <c r="K165" s="468"/>
    </row>
    <row r="166" spans="1:11" ht="12.95" customHeight="1" thickTop="1" thickBot="1">
      <c r="A166" s="1432" t="s">
        <v>348</v>
      </c>
      <c r="B166" s="574">
        <v>3920</v>
      </c>
      <c r="C166" s="566"/>
      <c r="D166" s="578"/>
      <c r="E166" s="468"/>
      <c r="F166" s="566"/>
      <c r="G166" s="468"/>
      <c r="H166" s="530"/>
      <c r="I166" s="468"/>
      <c r="J166" s="468"/>
      <c r="K166" s="468"/>
    </row>
    <row r="167" spans="1:11" ht="12.95" customHeight="1" thickTop="1" thickBot="1">
      <c r="A167" s="1432" t="s">
        <v>349</v>
      </c>
      <c r="B167" s="574">
        <v>3925</v>
      </c>
      <c r="C167" s="521"/>
      <c r="D167" s="576"/>
      <c r="E167" s="521"/>
      <c r="F167" s="521"/>
      <c r="G167" s="468"/>
      <c r="H167" s="531"/>
      <c r="I167" s="468"/>
      <c r="J167" s="468"/>
      <c r="K167" s="530"/>
    </row>
    <row r="168" spans="1:11" ht="14.25" thickTop="1" thickBot="1">
      <c r="A168" s="1432" t="s">
        <v>70</v>
      </c>
      <c r="B168" s="574">
        <v>3999</v>
      </c>
      <c r="C168" s="579">
        <v>7084</v>
      </c>
      <c r="D168" s="580"/>
      <c r="E168" s="580"/>
      <c r="F168" s="580"/>
      <c r="G168" s="581"/>
      <c r="H168" s="582"/>
      <c r="I168" s="581"/>
      <c r="J168" s="581"/>
      <c r="K168" s="582"/>
    </row>
    <row r="169" spans="1:11" ht="12.95" customHeight="1" thickTop="1" thickBot="1">
      <c r="A169" s="2162" t="s">
        <v>398</v>
      </c>
      <c r="B169" s="2163"/>
      <c r="C169" s="1653">
        <f t="shared" ref="C169:K169" si="6">SUM(C132,C141,C145,C146:C150,C155,C156:C167,C168)</f>
        <v>309008</v>
      </c>
      <c r="D169" s="1653">
        <f t="shared" si="6"/>
        <v>0</v>
      </c>
      <c r="E169" s="1653">
        <f t="shared" si="6"/>
        <v>0</v>
      </c>
      <c r="F169" s="1653">
        <f t="shared" si="6"/>
        <v>545874</v>
      </c>
      <c r="G169" s="1653">
        <f t="shared" si="6"/>
        <v>0</v>
      </c>
      <c r="H169" s="1653">
        <f t="shared" si="6"/>
        <v>0</v>
      </c>
      <c r="I169" s="1653">
        <f t="shared" si="6"/>
        <v>0</v>
      </c>
      <c r="J169" s="1653">
        <f t="shared" si="6"/>
        <v>0</v>
      </c>
      <c r="K169" s="1634">
        <f t="shared" si="6"/>
        <v>0</v>
      </c>
    </row>
    <row r="170" spans="1:11" ht="12.95" customHeight="1" thickTop="1" thickBot="1">
      <c r="A170" s="1639" t="s">
        <v>399</v>
      </c>
      <c r="B170" s="1645" t="s">
        <v>575</v>
      </c>
      <c r="C170" s="1646">
        <f t="shared" ref="C170:K170" si="7">SUM(C122,C169)</f>
        <v>5503775</v>
      </c>
      <c r="D170" s="1646">
        <f t="shared" si="7"/>
        <v>0</v>
      </c>
      <c r="E170" s="1646">
        <f t="shared" si="7"/>
        <v>0</v>
      </c>
      <c r="F170" s="1646">
        <f t="shared" si="7"/>
        <v>545874</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64" t="s">
        <v>1471</v>
      </c>
      <c r="B172" s="2165"/>
      <c r="C172" s="520"/>
      <c r="D172" s="520"/>
      <c r="E172" s="509"/>
      <c r="F172" s="468"/>
      <c r="G172" s="468"/>
      <c r="H172" s="468"/>
      <c r="I172" s="468"/>
      <c r="J172" s="468"/>
      <c r="K172" s="468"/>
    </row>
    <row r="173" spans="1:11" ht="12.75"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68" t="s">
        <v>1638</v>
      </c>
      <c r="B175" s="2169"/>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7" customFormat="1" ht="15.75" customHeight="1" thickTop="1">
      <c r="A176" s="2172" t="s">
        <v>1637</v>
      </c>
      <c r="B176" s="2173"/>
      <c r="C176" s="598"/>
      <c r="D176" s="599"/>
      <c r="E176" s="600"/>
      <c r="F176" s="601"/>
      <c r="G176" s="601"/>
      <c r="H176" s="601"/>
      <c r="I176" s="601"/>
      <c r="J176" s="601"/>
      <c r="K176" s="601"/>
    </row>
    <row r="177" spans="1:11" ht="12.95" customHeight="1">
      <c r="A177" s="463" t="s">
        <v>1045</v>
      </c>
      <c r="B177" s="470">
        <v>4045</v>
      </c>
      <c r="C177" s="551"/>
      <c r="D177" s="468"/>
      <c r="E177" s="561"/>
      <c r="F177" s="468"/>
      <c r="G177" s="468"/>
      <c r="H177" s="468"/>
      <c r="I177" s="468"/>
      <c r="J177" s="468"/>
      <c r="K177" s="468"/>
    </row>
    <row r="178" spans="1:11" ht="12.95" customHeight="1">
      <c r="A178" s="463" t="s">
        <v>1046</v>
      </c>
      <c r="B178" s="470">
        <v>4050</v>
      </c>
      <c r="C178" s="551"/>
      <c r="D178" s="467"/>
      <c r="E178" s="561"/>
      <c r="F178" s="468"/>
      <c r="G178" s="468"/>
      <c r="H178" s="467"/>
      <c r="I178" s="468"/>
      <c r="J178" s="468"/>
      <c r="K178" s="468"/>
    </row>
    <row r="179" spans="1:11" ht="12.9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70" t="s">
        <v>785</v>
      </c>
      <c r="B181" s="2171"/>
      <c r="C181" s="1638">
        <f>SUM(C177:C180)</f>
        <v>0</v>
      </c>
      <c r="D181" s="1638">
        <f>SUM(D177:D180)</f>
        <v>0</v>
      </c>
      <c r="E181" s="468"/>
      <c r="F181" s="1638">
        <f>SUM(F177:F180)</f>
        <v>0</v>
      </c>
      <c r="G181" s="1638">
        <f>SUM(G177:G180)</f>
        <v>0</v>
      </c>
      <c r="H181" s="1638">
        <f>SUM(H177:H180)</f>
        <v>0</v>
      </c>
      <c r="I181" s="468"/>
      <c r="J181" s="468"/>
      <c r="K181" s="1619">
        <f>SUM(K177:K180)</f>
        <v>0</v>
      </c>
    </row>
    <row r="182" spans="1:11" ht="22.5" customHeight="1" thickTop="1">
      <c r="A182" s="2166" t="s">
        <v>1765</v>
      </c>
      <c r="B182" s="2167"/>
      <c r="C182" s="584"/>
      <c r="D182" s="566"/>
      <c r="E182" s="509"/>
      <c r="F182" s="566"/>
      <c r="G182" s="566"/>
      <c r="H182" s="468"/>
      <c r="I182" s="468"/>
      <c r="J182" s="468"/>
      <c r="K182" s="468"/>
    </row>
    <row r="183" spans="1:11" ht="15.75" customHeight="1">
      <c r="A183" s="1535" t="s">
        <v>1575</v>
      </c>
      <c r="B183" s="1536"/>
      <c r="C183" s="522"/>
      <c r="D183" s="521"/>
      <c r="E183" s="509"/>
      <c r="F183" s="521"/>
      <c r="G183" s="521"/>
      <c r="H183" s="468"/>
      <c r="I183" s="468"/>
      <c r="J183" s="468"/>
      <c r="K183" s="468"/>
    </row>
    <row r="184" spans="1:11" ht="12.95" customHeight="1">
      <c r="A184" s="463" t="s">
        <v>1576</v>
      </c>
      <c r="B184" s="470">
        <v>4100</v>
      </c>
      <c r="C184" s="516"/>
      <c r="D184" s="481"/>
      <c r="E184" s="561"/>
      <c r="F184" s="481"/>
      <c r="G184" s="481"/>
      <c r="H184" s="468"/>
      <c r="I184" s="468"/>
      <c r="J184" s="468"/>
      <c r="K184" s="468"/>
    </row>
    <row r="185" spans="1:11" ht="12.95" customHeight="1">
      <c r="A185" s="463" t="s">
        <v>1577</v>
      </c>
      <c r="B185" s="470">
        <v>4105</v>
      </c>
      <c r="C185" s="551"/>
      <c r="D185" s="466"/>
      <c r="E185" s="561"/>
      <c r="F185" s="466"/>
      <c r="G185" s="466"/>
      <c r="H185" s="468"/>
      <c r="I185" s="468"/>
      <c r="J185" s="468"/>
      <c r="K185" s="468"/>
    </row>
    <row r="186" spans="1:11" ht="12.95" customHeight="1">
      <c r="A186" s="463" t="s">
        <v>1579</v>
      </c>
      <c r="B186" s="470">
        <v>4107</v>
      </c>
      <c r="C186" s="551"/>
      <c r="D186" s="466"/>
      <c r="E186" s="561"/>
      <c r="F186" s="466"/>
      <c r="G186" s="466"/>
      <c r="H186" s="468"/>
      <c r="I186" s="468"/>
      <c r="J186" s="468"/>
      <c r="K186" s="468"/>
    </row>
    <row r="187" spans="1:11" ht="12.95" customHeight="1">
      <c r="A187" s="463" t="s">
        <v>1578</v>
      </c>
      <c r="B187" s="470">
        <v>4199</v>
      </c>
      <c r="C187" s="551"/>
      <c r="D187" s="466"/>
      <c r="E187" s="561"/>
      <c r="F187" s="466"/>
      <c r="G187" s="466"/>
      <c r="H187" s="468"/>
      <c r="I187" s="468"/>
      <c r="J187" s="468"/>
      <c r="K187" s="468"/>
    </row>
    <row r="188" spans="1:11" ht="12.95" customHeight="1" thickBot="1">
      <c r="A188" s="1639" t="s">
        <v>1580</v>
      </c>
      <c r="B188" s="1640"/>
      <c r="C188" s="1638">
        <f>SUM(C184:C187)</f>
        <v>0</v>
      </c>
      <c r="D188" s="1638">
        <f>SUM(D184:D187)</f>
        <v>0</v>
      </c>
      <c r="E188" s="561"/>
      <c r="F188" s="1638">
        <f>SUM(F184:F187)</f>
        <v>0</v>
      </c>
      <c r="G188" s="1638">
        <f>SUM(G184:G187)</f>
        <v>0</v>
      </c>
      <c r="H188" s="468"/>
      <c r="I188" s="468"/>
      <c r="J188" s="468"/>
      <c r="K188" s="468"/>
    </row>
    <row r="189" spans="1:11" ht="15.75" customHeight="1" thickTop="1">
      <c r="A189" s="1532" t="s">
        <v>455</v>
      </c>
      <c r="B189" s="1537"/>
      <c r="C189" s="553"/>
      <c r="D189" s="566"/>
      <c r="E189" s="561"/>
      <c r="F189" s="553"/>
      <c r="G189" s="553"/>
      <c r="H189" s="468"/>
      <c r="I189" s="468"/>
      <c r="J189" s="468"/>
      <c r="K189" s="468"/>
    </row>
    <row r="190" spans="1:11">
      <c r="A190" s="463" t="s">
        <v>1429</v>
      </c>
      <c r="B190" s="470">
        <v>4200</v>
      </c>
      <c r="C190" s="467"/>
      <c r="D190" s="468"/>
      <c r="E190" s="561"/>
      <c r="F190" s="553"/>
      <c r="G190" s="585"/>
      <c r="H190" s="468"/>
      <c r="I190" s="468"/>
      <c r="J190" s="468"/>
      <c r="K190" s="468"/>
    </row>
    <row r="191" spans="1:11" ht="12.95" customHeight="1">
      <c r="A191" s="463" t="s">
        <v>1058</v>
      </c>
      <c r="B191" s="470">
        <v>4210</v>
      </c>
      <c r="C191" s="466">
        <v>425557</v>
      </c>
      <c r="D191" s="468"/>
      <c r="E191" s="561"/>
      <c r="F191" s="468"/>
      <c r="G191" s="585"/>
      <c r="H191" s="468"/>
      <c r="I191" s="468"/>
      <c r="J191" s="468"/>
      <c r="K191" s="468"/>
    </row>
    <row r="192" spans="1:11" ht="12.95" customHeight="1">
      <c r="A192" s="463" t="s">
        <v>1047</v>
      </c>
      <c r="B192" s="470">
        <v>4215</v>
      </c>
      <c r="C192" s="551">
        <v>1528</v>
      </c>
      <c r="D192" s="468"/>
      <c r="E192" s="561"/>
      <c r="F192" s="468"/>
      <c r="G192" s="585"/>
      <c r="H192" s="468"/>
      <c r="I192" s="468"/>
      <c r="J192" s="468"/>
      <c r="K192" s="468"/>
    </row>
    <row r="193" spans="1:11" ht="12.95" customHeight="1">
      <c r="A193" s="463" t="s">
        <v>1059</v>
      </c>
      <c r="B193" s="470">
        <v>4220</v>
      </c>
      <c r="C193" s="551">
        <v>60540</v>
      </c>
      <c r="D193" s="468"/>
      <c r="E193" s="561"/>
      <c r="F193" s="468"/>
      <c r="G193" s="585"/>
      <c r="H193" s="468"/>
      <c r="I193" s="468"/>
      <c r="J193" s="468"/>
      <c r="K193" s="468"/>
    </row>
    <row r="194" spans="1:11" ht="12.95" customHeight="1">
      <c r="A194" s="463" t="s">
        <v>1430</v>
      </c>
      <c r="B194" s="470">
        <v>4225</v>
      </c>
      <c r="C194" s="551"/>
      <c r="D194" s="468"/>
      <c r="E194" s="561"/>
      <c r="F194" s="468"/>
      <c r="G194" s="585"/>
      <c r="H194" s="468"/>
      <c r="I194" s="468"/>
      <c r="J194" s="468"/>
      <c r="K194" s="468"/>
    </row>
    <row r="195" spans="1:11" ht="12.95" customHeight="1">
      <c r="A195" s="463" t="s">
        <v>1431</v>
      </c>
      <c r="B195" s="470">
        <v>4226</v>
      </c>
      <c r="C195" s="551"/>
      <c r="D195" s="468"/>
      <c r="E195" s="561"/>
      <c r="F195" s="468"/>
      <c r="G195" s="585"/>
      <c r="H195" s="468"/>
      <c r="I195" s="468"/>
      <c r="J195" s="468"/>
      <c r="K195" s="468"/>
    </row>
    <row r="196" spans="1:11" ht="12.95" customHeight="1">
      <c r="A196" s="463" t="s">
        <v>792</v>
      </c>
      <c r="B196" s="470">
        <v>4240</v>
      </c>
      <c r="C196" s="489"/>
      <c r="D196" s="468"/>
      <c r="E196" s="561"/>
      <c r="F196" s="468"/>
      <c r="G196" s="586"/>
      <c r="H196" s="468"/>
      <c r="I196" s="468"/>
      <c r="J196" s="468"/>
      <c r="K196" s="468"/>
    </row>
    <row r="197" spans="1:11" ht="12.95" customHeight="1">
      <c r="A197" s="463" t="s">
        <v>71</v>
      </c>
      <c r="B197" s="470">
        <v>4299</v>
      </c>
      <c r="C197" s="551"/>
      <c r="D197" s="468"/>
      <c r="E197" s="561"/>
      <c r="F197" s="468"/>
      <c r="G197" s="585"/>
      <c r="H197" s="468"/>
      <c r="I197" s="468"/>
      <c r="J197" s="468"/>
      <c r="K197" s="468"/>
    </row>
    <row r="198" spans="1:11" ht="12.95" customHeight="1" thickBot="1">
      <c r="A198" s="1639" t="s">
        <v>548</v>
      </c>
      <c r="B198" s="1640"/>
      <c r="C198" s="1619">
        <f>SUM(C190:C197)</f>
        <v>487625</v>
      </c>
      <c r="D198" s="468"/>
      <c r="E198" s="468"/>
      <c r="F198" s="468"/>
      <c r="G198" s="1619">
        <f>SUM(G190:G197)</f>
        <v>0</v>
      </c>
      <c r="H198" s="468"/>
      <c r="I198" s="468"/>
      <c r="J198" s="468"/>
      <c r="K198" s="468"/>
    </row>
    <row r="199" spans="1:11" ht="15.75" customHeight="1" thickTop="1">
      <c r="A199" s="1532" t="s">
        <v>1138</v>
      </c>
      <c r="B199" s="1537"/>
      <c r="C199" s="553"/>
      <c r="D199" s="468"/>
      <c r="E199" s="468"/>
      <c r="F199" s="468"/>
      <c r="G199" s="468"/>
      <c r="H199" s="468"/>
      <c r="I199" s="468"/>
      <c r="J199" s="468"/>
      <c r="K199" s="468"/>
    </row>
    <row r="200" spans="1:11" ht="12.95" customHeight="1">
      <c r="A200" s="463" t="s">
        <v>918</v>
      </c>
      <c r="B200" s="470">
        <v>4300</v>
      </c>
      <c r="C200" s="466">
        <v>411515</v>
      </c>
      <c r="D200" s="466"/>
      <c r="E200" s="468"/>
      <c r="F200" s="466"/>
      <c r="G200" s="466"/>
      <c r="H200" s="468"/>
      <c r="I200" s="468"/>
      <c r="J200" s="468"/>
      <c r="K200" s="468"/>
    </row>
    <row r="201" spans="1:11" ht="12.95" customHeight="1">
      <c r="A201" s="463" t="s">
        <v>919</v>
      </c>
      <c r="B201" s="470">
        <v>4305</v>
      </c>
      <c r="C201" s="551"/>
      <c r="D201" s="466"/>
      <c r="E201" s="468"/>
      <c r="F201" s="466"/>
      <c r="G201" s="466"/>
      <c r="H201" s="468"/>
      <c r="I201" s="468"/>
      <c r="J201" s="468"/>
      <c r="K201" s="468"/>
    </row>
    <row r="202" spans="1:11" ht="12.95" customHeight="1">
      <c r="A202" s="463" t="s">
        <v>1031</v>
      </c>
      <c r="B202" s="470">
        <v>4340</v>
      </c>
      <c r="C202" s="551"/>
      <c r="D202" s="466"/>
      <c r="E202" s="468"/>
      <c r="F202" s="466"/>
      <c r="G202" s="466"/>
      <c r="H202" s="468"/>
      <c r="I202" s="468"/>
      <c r="J202" s="468"/>
      <c r="K202" s="468"/>
    </row>
    <row r="203" spans="1:11" ht="12.95" customHeight="1">
      <c r="A203" s="463" t="s">
        <v>72</v>
      </c>
      <c r="B203" s="470">
        <v>4399</v>
      </c>
      <c r="C203" s="551">
        <v>27884</v>
      </c>
      <c r="D203" s="466"/>
      <c r="E203" s="468"/>
      <c r="F203" s="466"/>
      <c r="G203" s="466"/>
      <c r="H203" s="468"/>
      <c r="I203" s="468"/>
      <c r="J203" s="468"/>
      <c r="K203" s="468"/>
    </row>
    <row r="204" spans="1:11" ht="12.95" customHeight="1" thickBot="1">
      <c r="A204" s="1639" t="s">
        <v>400</v>
      </c>
      <c r="B204" s="1640"/>
      <c r="C204" s="1638">
        <f>SUM(C200:C203)</f>
        <v>439399</v>
      </c>
      <c r="D204" s="1638">
        <f>SUM(D200:D203)</f>
        <v>0</v>
      </c>
      <c r="E204" s="468"/>
      <c r="F204" s="1638">
        <f>SUM(F200:F203)</f>
        <v>0</v>
      </c>
      <c r="G204" s="1638">
        <f>SUM(G200:G203)</f>
        <v>0</v>
      </c>
      <c r="H204" s="468"/>
      <c r="I204" s="468"/>
      <c r="J204" s="468"/>
      <c r="K204" s="468"/>
    </row>
    <row r="205" spans="1:11" ht="15.75" customHeight="1" thickTop="1">
      <c r="A205" s="1532" t="s">
        <v>1139</v>
      </c>
      <c r="B205" s="1537"/>
      <c r="C205" s="553"/>
      <c r="D205" s="553"/>
      <c r="E205" s="468"/>
      <c r="F205" s="553"/>
      <c r="G205" s="553"/>
      <c r="H205" s="468"/>
      <c r="I205" s="468"/>
      <c r="J205" s="468"/>
      <c r="K205" s="468"/>
    </row>
    <row r="206" spans="1:11" ht="12.95" customHeight="1">
      <c r="A206" s="463" t="s">
        <v>759</v>
      </c>
      <c r="B206" s="470">
        <v>4400</v>
      </c>
      <c r="C206" s="551"/>
      <c r="D206" s="466"/>
      <c r="E206" s="468"/>
      <c r="F206" s="466"/>
      <c r="G206" s="466"/>
      <c r="H206" s="468"/>
      <c r="I206" s="468"/>
      <c r="J206" s="468"/>
      <c r="K206" s="468"/>
    </row>
    <row r="207" spans="1:11" ht="12.95" customHeight="1">
      <c r="A207" s="463" t="s">
        <v>1432</v>
      </c>
      <c r="B207" s="470">
        <v>4421</v>
      </c>
      <c r="C207" s="551">
        <v>411801</v>
      </c>
      <c r="D207" s="466"/>
      <c r="E207" s="468"/>
      <c r="F207" s="466"/>
      <c r="G207" s="466"/>
      <c r="H207" s="468"/>
      <c r="I207" s="468"/>
      <c r="J207" s="468"/>
      <c r="K207" s="468"/>
    </row>
    <row r="208" spans="1:11" ht="12.95" customHeight="1">
      <c r="A208" s="463" t="s">
        <v>73</v>
      </c>
      <c r="B208" s="470">
        <v>4499</v>
      </c>
      <c r="C208" s="551"/>
      <c r="D208" s="466"/>
      <c r="E208" s="468"/>
      <c r="F208" s="466"/>
      <c r="G208" s="466"/>
      <c r="H208" s="468"/>
      <c r="I208" s="468"/>
      <c r="J208" s="468"/>
      <c r="K208" s="468"/>
    </row>
    <row r="209" spans="1:11" ht="12.95" customHeight="1" thickBot="1">
      <c r="A209" s="1639" t="s">
        <v>889</v>
      </c>
      <c r="B209" s="1640"/>
      <c r="C209" s="1638">
        <f>SUM(C206:C208)</f>
        <v>411801</v>
      </c>
      <c r="D209" s="1638">
        <f>SUM(D206:D208)</f>
        <v>0</v>
      </c>
      <c r="E209" s="468" t="s">
        <v>1169</v>
      </c>
      <c r="F209" s="1638">
        <f>SUM(F206:F208)</f>
        <v>0</v>
      </c>
      <c r="G209" s="1638">
        <f>SUM(G206:G208)</f>
        <v>0</v>
      </c>
      <c r="H209" s="468"/>
      <c r="I209" s="468"/>
      <c r="J209" s="468"/>
      <c r="K209" s="468"/>
    </row>
    <row r="210" spans="1:11" ht="15.75" customHeight="1" thickTop="1">
      <c r="A210" s="1532" t="s">
        <v>1092</v>
      </c>
      <c r="B210" s="1537"/>
      <c r="C210" s="553"/>
      <c r="D210" s="553"/>
      <c r="E210" s="468"/>
      <c r="F210" s="553"/>
      <c r="G210" s="553"/>
      <c r="H210" s="468"/>
      <c r="I210" s="468"/>
      <c r="J210" s="468"/>
      <c r="K210" s="468"/>
    </row>
    <row r="211" spans="1:11" ht="12.95" customHeight="1">
      <c r="A211" s="463" t="s">
        <v>1052</v>
      </c>
      <c r="B211" s="470">
        <v>4600</v>
      </c>
      <c r="C211" s="551"/>
      <c r="D211" s="466"/>
      <c r="E211" s="468"/>
      <c r="F211" s="466"/>
      <c r="G211" s="466"/>
      <c r="H211" s="468"/>
      <c r="I211" s="468"/>
      <c r="J211" s="468"/>
      <c r="K211" s="468"/>
    </row>
    <row r="212" spans="1:11" ht="12.95" customHeight="1">
      <c r="A212" s="463" t="s">
        <v>1053</v>
      </c>
      <c r="B212" s="470">
        <v>4605</v>
      </c>
      <c r="C212" s="551"/>
      <c r="D212" s="466"/>
      <c r="E212" s="468"/>
      <c r="F212" s="466"/>
      <c r="G212" s="466"/>
      <c r="H212" s="468"/>
      <c r="I212" s="468"/>
      <c r="J212" s="468"/>
      <c r="K212" s="468"/>
    </row>
    <row r="213" spans="1:11" ht="12.95" customHeight="1">
      <c r="A213" s="463" t="s">
        <v>1433</v>
      </c>
      <c r="B213" s="557">
        <v>4620</v>
      </c>
      <c r="C213" s="551"/>
      <c r="D213" s="466"/>
      <c r="E213" s="468"/>
      <c r="F213" s="466"/>
      <c r="G213" s="466"/>
      <c r="H213" s="468"/>
      <c r="I213" s="468"/>
      <c r="J213" s="468"/>
      <c r="K213" s="468"/>
    </row>
    <row r="214" spans="1:11" ht="12.95" customHeight="1">
      <c r="A214" s="463" t="s">
        <v>1054</v>
      </c>
      <c r="B214" s="470">
        <v>4625</v>
      </c>
      <c r="C214" s="551"/>
      <c r="D214" s="466"/>
      <c r="E214" s="468"/>
      <c r="F214" s="466"/>
      <c r="G214" s="466"/>
      <c r="H214" s="468"/>
      <c r="I214" s="468"/>
      <c r="J214" s="468"/>
      <c r="K214" s="468"/>
    </row>
    <row r="215" spans="1:11" ht="12.95" customHeight="1">
      <c r="A215" s="463" t="s">
        <v>1055</v>
      </c>
      <c r="B215" s="470">
        <v>4630</v>
      </c>
      <c r="C215" s="551"/>
      <c r="D215" s="466"/>
      <c r="E215" s="468"/>
      <c r="F215" s="466"/>
      <c r="G215" s="466"/>
      <c r="H215" s="468"/>
      <c r="I215" s="468"/>
      <c r="J215" s="468"/>
      <c r="K215" s="468"/>
    </row>
    <row r="216" spans="1:11" ht="12.95" customHeight="1">
      <c r="A216" s="1433" t="s">
        <v>74</v>
      </c>
      <c r="B216" s="557">
        <v>4699</v>
      </c>
      <c r="C216" s="551">
        <v>108380</v>
      </c>
      <c r="D216" s="466"/>
      <c r="E216" s="468"/>
      <c r="F216" s="466"/>
      <c r="G216" s="466"/>
      <c r="H216" s="468"/>
      <c r="I216" s="468"/>
      <c r="J216" s="468"/>
      <c r="K216" s="468"/>
    </row>
    <row r="217" spans="1:11" ht="12.95" customHeight="1" thickBot="1">
      <c r="A217" s="1639" t="s">
        <v>447</v>
      </c>
      <c r="B217" s="1640"/>
      <c r="C217" s="1638">
        <f>SUM(C211:C216)</f>
        <v>108380</v>
      </c>
      <c r="D217" s="1638">
        <f>SUM(D211:D216)</f>
        <v>0</v>
      </c>
      <c r="E217" s="468"/>
      <c r="F217" s="1638">
        <f>SUM(F211:F216)</f>
        <v>0</v>
      </c>
      <c r="G217" s="1638">
        <f>SUM(G211:G216)</f>
        <v>0</v>
      </c>
      <c r="H217" s="468"/>
      <c r="I217" s="468"/>
      <c r="J217" s="468"/>
      <c r="K217" s="468"/>
    </row>
    <row r="218" spans="1:11" ht="15.75" customHeight="1" thickTop="1">
      <c r="A218" s="1532" t="s">
        <v>1093</v>
      </c>
      <c r="B218" s="1537"/>
      <c r="C218" s="553"/>
      <c r="D218" s="553"/>
      <c r="E218" s="468"/>
      <c r="F218" s="553"/>
      <c r="G218" s="553"/>
      <c r="H218" s="468"/>
      <c r="I218" s="468"/>
      <c r="J218" s="468"/>
      <c r="K218" s="468"/>
    </row>
    <row r="219" spans="1:11" ht="12.95" customHeight="1">
      <c r="A219" s="463" t="s">
        <v>787</v>
      </c>
      <c r="B219" s="470">
        <v>4770</v>
      </c>
      <c r="C219" s="551"/>
      <c r="D219" s="466"/>
      <c r="E219" s="468"/>
      <c r="F219" s="468"/>
      <c r="G219" s="466"/>
      <c r="H219" s="468"/>
      <c r="I219" s="468"/>
      <c r="J219" s="468"/>
      <c r="K219" s="468"/>
    </row>
    <row r="220" spans="1:11" ht="12.95" customHeight="1">
      <c r="A220" s="463" t="s">
        <v>67</v>
      </c>
      <c r="B220" s="470">
        <v>4799</v>
      </c>
      <c r="C220" s="551"/>
      <c r="D220" s="466"/>
      <c r="E220" s="468"/>
      <c r="F220" s="468"/>
      <c r="G220" s="466"/>
      <c r="H220" s="468"/>
      <c r="I220" s="468"/>
      <c r="J220" s="468"/>
      <c r="K220" s="468"/>
    </row>
    <row r="221" spans="1:11" ht="12.95" customHeight="1" thickBot="1">
      <c r="A221" s="1654" t="s">
        <v>1085</v>
      </c>
      <c r="B221" s="1655"/>
      <c r="C221" s="1638">
        <f>SUM(C219:C220)</f>
        <v>0</v>
      </c>
      <c r="D221" s="1638">
        <f>SUM(D219:D220)</f>
        <v>0</v>
      </c>
      <c r="E221" s="468"/>
      <c r="F221" s="468"/>
      <c r="G221" s="1638">
        <f>SUM(G219:G220)</f>
        <v>0</v>
      </c>
      <c r="H221" s="468"/>
      <c r="I221" s="468"/>
      <c r="J221" s="468"/>
      <c r="K221" s="468"/>
    </row>
    <row r="222" spans="1:11" ht="12.95" customHeight="1" thickTop="1" thickBot="1">
      <c r="A222" s="493" t="s">
        <v>757</v>
      </c>
      <c r="B222" s="491">
        <v>4810</v>
      </c>
      <c r="C222" s="575"/>
      <c r="D222" s="576"/>
      <c r="E222" s="468"/>
      <c r="F222" s="468"/>
      <c r="G222" s="576"/>
      <c r="H222" s="468"/>
      <c r="I222" s="468"/>
      <c r="J222" s="468"/>
      <c r="K222" s="468"/>
    </row>
    <row r="223" spans="1:11" ht="12.95" customHeight="1" thickTop="1">
      <c r="A223" s="493" t="s">
        <v>350</v>
      </c>
      <c r="B223" s="491">
        <v>4850</v>
      </c>
      <c r="C223" s="489"/>
      <c r="D223" s="467"/>
      <c r="E223" s="467"/>
      <c r="F223" s="467"/>
      <c r="G223" s="467"/>
      <c r="H223" s="467"/>
      <c r="I223" s="468"/>
      <c r="J223" s="467"/>
      <c r="K223" s="467"/>
    </row>
    <row r="224" spans="1:11" ht="12.95" customHeight="1">
      <c r="A224" s="493" t="s">
        <v>351</v>
      </c>
      <c r="B224" s="491">
        <v>4851</v>
      </c>
      <c r="C224" s="489"/>
      <c r="D224" s="467"/>
      <c r="E224" s="468"/>
      <c r="F224" s="474"/>
      <c r="G224" s="467"/>
      <c r="H224" s="468"/>
      <c r="I224" s="468"/>
      <c r="J224" s="468"/>
      <c r="K224" s="468"/>
    </row>
    <row r="225" spans="1:11" ht="12.95" customHeight="1">
      <c r="A225" s="493" t="s">
        <v>352</v>
      </c>
      <c r="B225" s="491">
        <v>4852</v>
      </c>
      <c r="C225" s="489"/>
      <c r="D225" s="467"/>
      <c r="E225" s="467"/>
      <c r="F225" s="467"/>
      <c r="G225" s="467"/>
      <c r="H225" s="467"/>
      <c r="I225" s="468"/>
      <c r="J225" s="467"/>
      <c r="K225" s="467"/>
    </row>
    <row r="226" spans="1:11" ht="12.95" customHeight="1">
      <c r="A226" s="493" t="s">
        <v>353</v>
      </c>
      <c r="B226" s="491">
        <v>4853</v>
      </c>
      <c r="C226" s="489"/>
      <c r="D226" s="467"/>
      <c r="E226" s="467"/>
      <c r="F226" s="467"/>
      <c r="G226" s="467"/>
      <c r="H226" s="467"/>
      <c r="I226" s="468"/>
      <c r="J226" s="467"/>
      <c r="K226" s="467"/>
    </row>
    <row r="227" spans="1:11" ht="12.95" customHeight="1">
      <c r="A227" s="493" t="s">
        <v>354</v>
      </c>
      <c r="B227" s="491">
        <v>4854</v>
      </c>
      <c r="C227" s="489"/>
      <c r="D227" s="467"/>
      <c r="E227" s="467"/>
      <c r="F227" s="467"/>
      <c r="G227" s="467"/>
      <c r="H227" s="467"/>
      <c r="I227" s="468"/>
      <c r="J227" s="467"/>
      <c r="K227" s="467"/>
    </row>
    <row r="228" spans="1:11" ht="12.95" customHeight="1">
      <c r="A228" s="493" t="s">
        <v>464</v>
      </c>
      <c r="B228" s="491">
        <v>4855</v>
      </c>
      <c r="C228" s="489"/>
      <c r="D228" s="467"/>
      <c r="E228" s="467"/>
      <c r="F228" s="467"/>
      <c r="G228" s="467"/>
      <c r="H228" s="467"/>
      <c r="I228" s="468"/>
      <c r="J228" s="467"/>
      <c r="K228" s="467"/>
    </row>
    <row r="229" spans="1:11" ht="12.95" customHeight="1">
      <c r="A229" s="493" t="s">
        <v>355</v>
      </c>
      <c r="B229" s="491">
        <v>4856</v>
      </c>
      <c r="C229" s="489"/>
      <c r="D229" s="467"/>
      <c r="E229" s="467"/>
      <c r="F229" s="467"/>
      <c r="G229" s="467"/>
      <c r="H229" s="467"/>
      <c r="I229" s="468"/>
      <c r="J229" s="467"/>
      <c r="K229" s="467"/>
    </row>
    <row r="230" spans="1:11" ht="12.95" customHeight="1">
      <c r="A230" s="493" t="s">
        <v>356</v>
      </c>
      <c r="B230" s="491">
        <v>4857</v>
      </c>
      <c r="C230" s="489"/>
      <c r="D230" s="467"/>
      <c r="E230" s="467"/>
      <c r="F230" s="467"/>
      <c r="G230" s="467"/>
      <c r="H230" s="467"/>
      <c r="I230" s="468"/>
      <c r="J230" s="467"/>
      <c r="K230" s="467"/>
    </row>
    <row r="231" spans="1:11" ht="12.95" customHeight="1">
      <c r="A231" s="493" t="s">
        <v>357</v>
      </c>
      <c r="B231" s="491">
        <v>4860</v>
      </c>
      <c r="C231" s="489"/>
      <c r="D231" s="467"/>
      <c r="E231" s="467"/>
      <c r="F231" s="467"/>
      <c r="G231" s="467"/>
      <c r="H231" s="467"/>
      <c r="I231" s="468"/>
      <c r="J231" s="467"/>
      <c r="K231" s="467"/>
    </row>
    <row r="232" spans="1:11" ht="12.95" customHeight="1">
      <c r="A232" s="493" t="s">
        <v>358</v>
      </c>
      <c r="B232" s="491">
        <v>4861</v>
      </c>
      <c r="C232" s="489"/>
      <c r="D232" s="467"/>
      <c r="E232" s="467"/>
      <c r="F232" s="467"/>
      <c r="G232" s="467"/>
      <c r="H232" s="467"/>
      <c r="I232" s="468"/>
      <c r="J232" s="467"/>
      <c r="K232" s="467"/>
    </row>
    <row r="233" spans="1:11" ht="12.95" customHeight="1">
      <c r="A233" s="493" t="s">
        <v>359</v>
      </c>
      <c r="B233" s="491">
        <v>4862</v>
      </c>
      <c r="C233" s="489"/>
      <c r="D233" s="467"/>
      <c r="E233" s="475"/>
      <c r="F233" s="467"/>
      <c r="G233" s="467"/>
      <c r="H233" s="475"/>
      <c r="I233" s="468"/>
      <c r="J233" s="475"/>
      <c r="K233" s="475"/>
    </row>
    <row r="234" spans="1:11" ht="12.95" customHeight="1">
      <c r="A234" s="493" t="s">
        <v>360</v>
      </c>
      <c r="B234" s="491">
        <v>4863</v>
      </c>
      <c r="C234" s="489"/>
      <c r="D234" s="467"/>
      <c r="E234" s="468"/>
      <c r="F234" s="475"/>
      <c r="G234" s="526"/>
      <c r="H234" s="468"/>
      <c r="I234" s="468"/>
      <c r="J234" s="468"/>
      <c r="K234" s="468"/>
    </row>
    <row r="235" spans="1:11" ht="12.95" customHeight="1">
      <c r="A235" s="493" t="s">
        <v>469</v>
      </c>
      <c r="B235" s="491">
        <v>4864</v>
      </c>
      <c r="C235" s="489"/>
      <c r="D235" s="467"/>
      <c r="E235" s="467"/>
      <c r="F235" s="467"/>
      <c r="G235" s="467"/>
      <c r="H235" s="467"/>
      <c r="I235" s="468"/>
      <c r="J235" s="467"/>
      <c r="K235" s="467"/>
    </row>
    <row r="236" spans="1:11" ht="12.95" customHeight="1">
      <c r="A236" s="493" t="s">
        <v>470</v>
      </c>
      <c r="B236" s="491">
        <v>4865</v>
      </c>
      <c r="C236" s="489"/>
      <c r="D236" s="467"/>
      <c r="E236" s="467"/>
      <c r="F236" s="467"/>
      <c r="G236" s="467"/>
      <c r="H236" s="467"/>
      <c r="I236" s="468"/>
      <c r="J236" s="467"/>
      <c r="K236" s="467"/>
    </row>
    <row r="237" spans="1:11" ht="12.95" customHeight="1">
      <c r="A237" s="493" t="s">
        <v>468</v>
      </c>
      <c r="B237" s="491">
        <v>4866</v>
      </c>
      <c r="C237" s="489"/>
      <c r="D237" s="467"/>
      <c r="E237" s="467"/>
      <c r="F237" s="467"/>
      <c r="G237" s="467"/>
      <c r="H237" s="467"/>
      <c r="I237" s="468"/>
      <c r="J237" s="467"/>
      <c r="K237" s="467"/>
    </row>
    <row r="238" spans="1:11" ht="12.95" customHeight="1">
      <c r="A238" s="493" t="s">
        <v>467</v>
      </c>
      <c r="B238" s="491">
        <v>4867</v>
      </c>
      <c r="C238" s="489"/>
      <c r="D238" s="467"/>
      <c r="E238" s="467"/>
      <c r="F238" s="467"/>
      <c r="G238" s="467"/>
      <c r="H238" s="467"/>
      <c r="I238" s="468"/>
      <c r="J238" s="467"/>
      <c r="K238" s="467"/>
    </row>
    <row r="239" spans="1:11" ht="12.95" customHeight="1">
      <c r="A239" s="493" t="s">
        <v>466</v>
      </c>
      <c r="B239" s="491">
        <v>4868</v>
      </c>
      <c r="C239" s="489"/>
      <c r="D239" s="467"/>
      <c r="E239" s="467"/>
      <c r="F239" s="467"/>
      <c r="G239" s="467"/>
      <c r="H239" s="467"/>
      <c r="I239" s="468"/>
      <c r="J239" s="467"/>
      <c r="K239" s="467"/>
    </row>
    <row r="240" spans="1:11" ht="12.95" customHeight="1">
      <c r="A240" s="493" t="s">
        <v>465</v>
      </c>
      <c r="B240" s="491">
        <v>4869</v>
      </c>
      <c r="C240" s="489"/>
      <c r="D240" s="467"/>
      <c r="E240" s="467"/>
      <c r="F240" s="467"/>
      <c r="G240" s="467"/>
      <c r="H240" s="467"/>
      <c r="I240" s="468"/>
      <c r="J240" s="467"/>
      <c r="K240" s="467"/>
    </row>
    <row r="241" spans="1:11" ht="12.95" customHeight="1">
      <c r="A241" s="493" t="s">
        <v>1128</v>
      </c>
      <c r="B241" s="491">
        <v>4870</v>
      </c>
      <c r="C241" s="489"/>
      <c r="D241" s="467"/>
      <c r="E241" s="467"/>
      <c r="F241" s="467"/>
      <c r="G241" s="467"/>
      <c r="H241" s="467"/>
      <c r="I241" s="468"/>
      <c r="J241" s="467"/>
      <c r="K241" s="467"/>
    </row>
    <row r="242" spans="1:11" ht="12.95" customHeight="1">
      <c r="A242" s="493" t="s">
        <v>788</v>
      </c>
      <c r="B242" s="491">
        <v>4871</v>
      </c>
      <c r="C242" s="489"/>
      <c r="D242" s="467"/>
      <c r="E242" s="467"/>
      <c r="F242" s="467"/>
      <c r="G242" s="467"/>
      <c r="H242" s="467"/>
      <c r="I242" s="468"/>
      <c r="J242" s="467"/>
      <c r="K242" s="467"/>
    </row>
    <row r="243" spans="1:11" ht="12.95" customHeight="1">
      <c r="A243" s="493" t="s">
        <v>789</v>
      </c>
      <c r="B243" s="491">
        <v>4872</v>
      </c>
      <c r="C243" s="489"/>
      <c r="D243" s="467"/>
      <c r="E243" s="467"/>
      <c r="F243" s="467"/>
      <c r="G243" s="467"/>
      <c r="H243" s="467"/>
      <c r="I243" s="468"/>
      <c r="J243" s="467"/>
      <c r="K243" s="467"/>
    </row>
    <row r="244" spans="1:11" ht="12.95" customHeight="1">
      <c r="A244" s="493" t="s">
        <v>790</v>
      </c>
      <c r="B244" s="491">
        <v>4873</v>
      </c>
      <c r="C244" s="489"/>
      <c r="D244" s="467"/>
      <c r="E244" s="467"/>
      <c r="F244" s="467"/>
      <c r="G244" s="467"/>
      <c r="H244" s="467"/>
      <c r="I244" s="468"/>
      <c r="J244" s="467"/>
      <c r="K244" s="467"/>
    </row>
    <row r="245" spans="1:11" ht="12.95" customHeight="1">
      <c r="A245" s="493" t="s">
        <v>791</v>
      </c>
      <c r="B245" s="491">
        <v>4874</v>
      </c>
      <c r="C245" s="489"/>
      <c r="D245" s="467"/>
      <c r="E245" s="467"/>
      <c r="F245" s="467"/>
      <c r="G245" s="467"/>
      <c r="H245" s="467"/>
      <c r="I245" s="468"/>
      <c r="J245" s="467"/>
      <c r="K245" s="467"/>
    </row>
    <row r="246" spans="1:11" ht="12.95" customHeight="1">
      <c r="A246" s="493" t="s">
        <v>471</v>
      </c>
      <c r="B246" s="491">
        <v>4875</v>
      </c>
      <c r="C246" s="489"/>
      <c r="D246" s="467"/>
      <c r="E246" s="467"/>
      <c r="F246" s="467"/>
      <c r="G246" s="467"/>
      <c r="H246" s="467"/>
      <c r="I246" s="468"/>
      <c r="J246" s="467"/>
      <c r="K246" s="467"/>
    </row>
    <row r="247" spans="1:11" ht="12.95" customHeight="1">
      <c r="A247" s="493" t="s">
        <v>770</v>
      </c>
      <c r="B247" s="491">
        <v>4876</v>
      </c>
      <c r="C247" s="489"/>
      <c r="D247" s="467"/>
      <c r="E247" s="467"/>
      <c r="F247" s="467"/>
      <c r="G247" s="467"/>
      <c r="H247" s="467"/>
      <c r="I247" s="468"/>
      <c r="J247" s="467"/>
      <c r="K247" s="467"/>
    </row>
    <row r="248" spans="1:11" ht="12.95" customHeight="1">
      <c r="A248" s="493" t="s">
        <v>771</v>
      </c>
      <c r="B248" s="491">
        <v>4877</v>
      </c>
      <c r="C248" s="489"/>
      <c r="D248" s="467"/>
      <c r="E248" s="467"/>
      <c r="F248" s="467"/>
      <c r="G248" s="467"/>
      <c r="H248" s="467"/>
      <c r="I248" s="468"/>
      <c r="J248" s="467"/>
      <c r="K248" s="467"/>
    </row>
    <row r="249" spans="1:11" ht="12.95" customHeight="1">
      <c r="A249" s="493" t="s">
        <v>772</v>
      </c>
      <c r="B249" s="491">
        <v>4878</v>
      </c>
      <c r="C249" s="489"/>
      <c r="D249" s="467"/>
      <c r="E249" s="467"/>
      <c r="F249" s="467"/>
      <c r="G249" s="467"/>
      <c r="H249" s="467"/>
      <c r="I249" s="468"/>
      <c r="J249" s="467"/>
      <c r="K249" s="467"/>
    </row>
    <row r="250" spans="1:11" ht="12.95" customHeight="1">
      <c r="A250" s="493" t="s">
        <v>773</v>
      </c>
      <c r="B250" s="491">
        <v>4879</v>
      </c>
      <c r="C250" s="489"/>
      <c r="D250" s="467"/>
      <c r="E250" s="467"/>
      <c r="F250" s="467"/>
      <c r="G250" s="467"/>
      <c r="H250" s="467"/>
      <c r="I250" s="468"/>
      <c r="J250" s="467"/>
      <c r="K250" s="467"/>
    </row>
    <row r="251" spans="1:11" ht="12.95" customHeight="1">
      <c r="A251" s="225" t="s">
        <v>1434</v>
      </c>
      <c r="B251" s="587">
        <v>4880</v>
      </c>
      <c r="C251" s="489"/>
      <c r="D251" s="467"/>
      <c r="E251" s="467"/>
      <c r="F251" s="467"/>
      <c r="G251" s="467"/>
      <c r="H251" s="467"/>
      <c r="I251" s="468"/>
      <c r="J251" s="467"/>
      <c r="K251" s="467"/>
    </row>
    <row r="252" spans="1:11" ht="12.9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3"/>
      <c r="J252" s="1638">
        <f>SUM(J223:J251)</f>
        <v>0</v>
      </c>
      <c r="K252" s="1619">
        <f>SUM(K223:K251)</f>
        <v>0</v>
      </c>
    </row>
    <row r="253" spans="1:11" ht="12.95" customHeight="1" thickTop="1" thickBot="1">
      <c r="A253" s="1434" t="s">
        <v>1400</v>
      </c>
      <c r="B253" s="588">
        <v>4901</v>
      </c>
      <c r="C253" s="589"/>
      <c r="D253" s="469"/>
      <c r="E253" s="468"/>
      <c r="F253" s="468"/>
      <c r="G253" s="468"/>
      <c r="H253" s="468"/>
      <c r="I253" s="468"/>
      <c r="J253" s="468"/>
      <c r="K253" s="468"/>
    </row>
    <row r="254" spans="1:11" ht="12.95" customHeight="1" thickTop="1" thickBot="1">
      <c r="A254" s="1435" t="s">
        <v>1442</v>
      </c>
      <c r="B254" s="590">
        <v>4902</v>
      </c>
      <c r="C254" s="591"/>
      <c r="D254" s="592"/>
      <c r="E254" s="469"/>
      <c r="F254" s="592"/>
      <c r="G254" s="592"/>
      <c r="H254" s="469"/>
      <c r="I254" s="468"/>
      <c r="J254" s="469"/>
      <c r="K254" s="469"/>
    </row>
    <row r="255" spans="1:11" ht="12.95" customHeight="1" thickTop="1" thickBot="1">
      <c r="A255" s="463" t="s">
        <v>1435</v>
      </c>
      <c r="B255" s="470">
        <v>4905</v>
      </c>
      <c r="C255" s="573"/>
      <c r="D255" s="468"/>
      <c r="E255" s="468"/>
      <c r="F255" s="578"/>
      <c r="G255" s="573"/>
      <c r="H255" s="468"/>
      <c r="I255" s="468"/>
      <c r="J255" s="468"/>
      <c r="K255" s="468"/>
    </row>
    <row r="256" spans="1:11" ht="12.95" customHeight="1" thickTop="1" thickBot="1">
      <c r="A256" s="463" t="s">
        <v>1436</v>
      </c>
      <c r="B256" s="470">
        <v>4909</v>
      </c>
      <c r="C256" s="576">
        <v>36687</v>
      </c>
      <c r="D256" s="468"/>
      <c r="E256" s="468"/>
      <c r="F256" s="576"/>
      <c r="G256" s="576"/>
      <c r="H256" s="468"/>
      <c r="I256" s="468"/>
      <c r="J256" s="468"/>
      <c r="K256" s="468"/>
    </row>
    <row r="257" spans="1:11" ht="12.95" customHeight="1" thickTop="1" thickBot="1">
      <c r="A257" s="463" t="s">
        <v>193</v>
      </c>
      <c r="B257" s="470">
        <v>4920</v>
      </c>
      <c r="C257" s="576"/>
      <c r="D257" s="578"/>
      <c r="E257" s="468"/>
      <c r="F257" s="573"/>
      <c r="G257" s="573"/>
      <c r="H257" s="468"/>
      <c r="I257" s="468"/>
      <c r="J257" s="468"/>
      <c r="K257" s="468"/>
    </row>
    <row r="258" spans="1:11" ht="12.95" customHeight="1" thickTop="1" thickBot="1">
      <c r="A258" s="463" t="s">
        <v>421</v>
      </c>
      <c r="B258" s="470">
        <v>4930</v>
      </c>
      <c r="C258" s="576"/>
      <c r="D258" s="576"/>
      <c r="E258" s="468"/>
      <c r="F258" s="576"/>
      <c r="G258" s="576"/>
      <c r="H258" s="468"/>
      <c r="I258" s="468"/>
      <c r="J258" s="468"/>
      <c r="K258" s="468"/>
    </row>
    <row r="259" spans="1:11" ht="12.95" customHeight="1" thickTop="1" thickBot="1">
      <c r="A259" s="463" t="s">
        <v>758</v>
      </c>
      <c r="B259" s="470">
        <v>4932</v>
      </c>
      <c r="C259" s="576">
        <v>32682</v>
      </c>
      <c r="D259" s="576"/>
      <c r="E259" s="468"/>
      <c r="F259" s="576"/>
      <c r="G259" s="576"/>
      <c r="H259" s="468"/>
      <c r="I259" s="468"/>
      <c r="J259" s="468"/>
      <c r="K259" s="468"/>
    </row>
    <row r="260" spans="1:11" ht="12.95" customHeight="1" thickTop="1" thickBot="1">
      <c r="A260" s="463" t="s">
        <v>890</v>
      </c>
      <c r="B260" s="470">
        <v>4960</v>
      </c>
      <c r="C260" s="575"/>
      <c r="D260" s="576"/>
      <c r="E260" s="468"/>
      <c r="F260" s="576"/>
      <c r="G260" s="576"/>
      <c r="H260" s="468"/>
      <c r="I260" s="468"/>
      <c r="J260" s="468"/>
      <c r="K260" s="468"/>
    </row>
    <row r="261" spans="1:11" ht="12.95" customHeight="1" thickTop="1" thickBot="1">
      <c r="A261" s="1861" t="s">
        <v>1897</v>
      </c>
      <c r="B261" s="470">
        <v>4981</v>
      </c>
      <c r="C261" s="575"/>
      <c r="D261" s="576"/>
      <c r="E261" s="468"/>
      <c r="F261" s="576"/>
      <c r="G261" s="576"/>
      <c r="H261" s="468"/>
      <c r="I261" s="468"/>
      <c r="J261" s="468"/>
      <c r="K261" s="468"/>
    </row>
    <row r="262" spans="1:11" ht="12.95" customHeight="1" thickTop="1" thickBot="1">
      <c r="A262" s="1862" t="s">
        <v>1898</v>
      </c>
      <c r="B262" s="470">
        <v>4982</v>
      </c>
      <c r="C262" s="575"/>
      <c r="D262" s="576"/>
      <c r="E262" s="468"/>
      <c r="F262" s="576"/>
      <c r="G262" s="576"/>
      <c r="H262" s="468"/>
      <c r="I262" s="468"/>
      <c r="J262" s="468"/>
      <c r="K262" s="468"/>
    </row>
    <row r="263" spans="1:11" ht="12.95" customHeight="1" thickTop="1" thickBot="1">
      <c r="A263" s="463" t="s">
        <v>568</v>
      </c>
      <c r="B263" s="470">
        <v>4991</v>
      </c>
      <c r="C263" s="575">
        <v>11910</v>
      </c>
      <c r="D263" s="576"/>
      <c r="E263" s="468"/>
      <c r="F263" s="576"/>
      <c r="G263" s="576"/>
      <c r="H263" s="468"/>
      <c r="I263" s="468"/>
      <c r="J263" s="468"/>
      <c r="K263" s="468"/>
    </row>
    <row r="264" spans="1:11" ht="12.95" customHeight="1" thickTop="1" thickBot="1">
      <c r="A264" s="463" t="s">
        <v>377</v>
      </c>
      <c r="B264" s="470">
        <v>4992</v>
      </c>
      <c r="C264" s="575">
        <v>2867</v>
      </c>
      <c r="D264" s="576"/>
      <c r="E264" s="468"/>
      <c r="F264" s="576"/>
      <c r="G264" s="576"/>
      <c r="H264" s="468"/>
      <c r="I264" s="468"/>
      <c r="J264" s="468"/>
      <c r="K264" s="468"/>
    </row>
    <row r="265" spans="1:11" s="593" customFormat="1" ht="12.95" customHeight="1" thickTop="1" thickBot="1">
      <c r="A265" s="563" t="s">
        <v>75</v>
      </c>
      <c r="B265" s="557">
        <v>4999</v>
      </c>
      <c r="C265" s="575">
        <v>27099</v>
      </c>
      <c r="D265" s="576"/>
      <c r="E265" s="468"/>
      <c r="F265" s="576"/>
      <c r="G265" s="576"/>
      <c r="H265" s="530"/>
      <c r="I265" s="468"/>
      <c r="J265" s="468"/>
      <c r="K265" s="530"/>
    </row>
    <row r="266" spans="1:11" ht="14.25" thickTop="1" thickBot="1">
      <c r="A266" s="1639" t="s">
        <v>1639</v>
      </c>
      <c r="B266" s="1658"/>
      <c r="C266" s="1646">
        <f t="shared" ref="C266:H266" si="10">SUM(C188,C198,C204,C209,C217,C221,C222,C252:C265)</f>
        <v>1558450</v>
      </c>
      <c r="D266" s="1646">
        <f t="shared" si="10"/>
        <v>0</v>
      </c>
      <c r="E266" s="1646">
        <f t="shared" si="10"/>
        <v>0</v>
      </c>
      <c r="F266" s="1646">
        <f t="shared" si="10"/>
        <v>0</v>
      </c>
      <c r="G266" s="1646">
        <f t="shared" si="10"/>
        <v>0</v>
      </c>
      <c r="H266" s="1646">
        <f t="shared" si="10"/>
        <v>0</v>
      </c>
      <c r="I266" s="468"/>
      <c r="J266" s="1646">
        <f>SUM(J188,J198,J204,J209,J217,J221,J222,J252:J265)</f>
        <v>0</v>
      </c>
      <c r="K266" s="1633">
        <f>SUM(K188,K198,K204,K209,K217,K221,K222,K252:K265)</f>
        <v>0</v>
      </c>
    </row>
    <row r="267" spans="1:11" ht="14.25" thickTop="1" thickBot="1">
      <c r="A267" s="1659" t="s">
        <v>1086</v>
      </c>
      <c r="B267" s="1660" t="s">
        <v>860</v>
      </c>
      <c r="C267" s="1646">
        <f>SUM(C175,C181,C266)</f>
        <v>1558450</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12875188</v>
      </c>
      <c r="D268" s="1646">
        <f t="shared" si="12"/>
        <v>1358935</v>
      </c>
      <c r="E268" s="1646">
        <f t="shared" si="12"/>
        <v>1310908</v>
      </c>
      <c r="F268" s="1646">
        <f t="shared" si="12"/>
        <v>938546</v>
      </c>
      <c r="G268" s="1646">
        <f t="shared" si="12"/>
        <v>348678</v>
      </c>
      <c r="H268" s="1646">
        <f t="shared" si="12"/>
        <v>0</v>
      </c>
      <c r="I268" s="1646">
        <f t="shared" si="12"/>
        <v>163509</v>
      </c>
      <c r="J268" s="1646">
        <f t="shared" si="12"/>
        <v>597522</v>
      </c>
      <c r="K268" s="1633">
        <f t="shared" si="12"/>
        <v>43998</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terms/"/>
    <ds:schemaRef ds:uri="http://schemas.microsoft.com/sharepoint/v3"/>
    <ds:schemaRef ds:uri="http://schemas.microsoft.com/office/infopath/2007/PartnerControls"/>
    <ds:schemaRef ds:uri="4d435f69-8686-490b-bd6d-b153bf22ab50"/>
    <ds:schemaRef ds:uri="http://purl.org/dc/elements/1.1/"/>
    <ds:schemaRef ds:uri="http://schemas.microsoft.com/office/2006/documentManagement/types"/>
    <ds:schemaRef ds:uri="6ce3111e-7420-4802-b50a-75d4e9a0b980"/>
    <ds:schemaRef ds:uri="http://schemas.microsoft.com/office/2006/metadata/properti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2019-09-18T19:27:37Z</cp:lastPrinted>
  <dcterms:created xsi:type="dcterms:W3CDTF">2003-10-29T19:06:34Z</dcterms:created>
  <dcterms:modified xsi:type="dcterms:W3CDTF">2019-11-22T17:49:25Z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