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0D2FC35-2D6B-4C16-9CAA-8CB665F62C75}"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29" l="1"/>
  <c r="D124" i="29" l="1"/>
  <c r="D5" i="29"/>
  <c r="D9" i="29"/>
  <c r="C9" i="29"/>
  <c r="C168" i="5" l="1"/>
  <c r="C84"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L5" i="11"/>
  <c r="B2056" i="106" s="1"/>
  <c r="D2056" i="106" s="1"/>
  <c r="D9" i="7"/>
  <c r="B1767" i="106" s="1"/>
  <c r="D1767" i="106" s="1"/>
  <c r="D17" i="7"/>
  <c r="B4104" i="106" s="1"/>
  <c r="D4104" i="106" s="1"/>
  <c r="C342" i="29" l="1"/>
  <c r="B7216" i="106" s="1"/>
  <c r="D7216" i="106" s="1"/>
  <c r="L342" i="29"/>
  <c r="B3647" i="106"/>
  <c r="D3647" i="106" s="1"/>
  <c r="L15" i="11"/>
  <c r="B3459" i="106" s="1"/>
  <c r="D3459" i="106" s="1"/>
  <c r="B1126" i="106"/>
  <c r="D1126" i="106" s="1"/>
  <c r="L13" i="11"/>
  <c r="B2060" i="106" s="1"/>
  <c r="D2060"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174" i="34" l="1"/>
  <c r="D7256" i="106"/>
  <c r="D7251" i="106"/>
  <c r="D7252" i="106"/>
  <c r="C114" i="29"/>
  <c r="B757" i="106" s="1"/>
  <c r="D757" i="106" s="1"/>
  <c r="K342" i="29"/>
  <c r="F13" i="34" s="1"/>
  <c r="C367" i="29"/>
  <c r="B3622" i="106" s="1"/>
  <c r="D3622" i="106" s="1"/>
  <c r="B1317" i="106"/>
  <c r="D1317" i="106" s="1"/>
  <c r="B5527" i="106"/>
  <c r="D5527" i="106" s="1"/>
  <c r="D44" i="36"/>
  <c r="B4435" i="106"/>
  <c r="D4435" i="106" s="1"/>
  <c r="K28" i="118"/>
  <c r="O27" i="118" s="1"/>
  <c r="O29" i="118"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7" i="106" l="1"/>
  <c r="D6227" i="106" s="1"/>
  <c r="J20" i="4"/>
  <c r="D8" i="146"/>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B3576" i="106" s="1"/>
  <c r="D3576"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<sst xmlns="http://schemas.openxmlformats.org/spreadsheetml/2006/main" count="5058" uniqueCount="2089">
  <si>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</si>
  <si>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</si>
  <si>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</si>
  <si>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</si>
  <si>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</si>
  <si>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</si>
  <si>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</si>
  <si>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</si>
  <si>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</si>
  <si>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</si>
  <si>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</si>
  <si>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</si>
  <si>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</si>
  <si>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</si>
  <si>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</si>
  <si>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</si>
  <si>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</si>
  <si>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</si>
  <si>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</si>
  <si>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</si>
  <si>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</si>
  <si>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</si>
  <si>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</si>
  <si>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</si>
  <si>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</si>
  <si>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</si>
  <si>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</si>
  <si>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</si>
  <si>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</si>
  <si>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</si>
  <si>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</si>
  <si>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</si>
  <si>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</si>
  <si>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</si>
  <si>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</si>
  <si>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</si>
  <si>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</si>
  <si>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</si>
  <si>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</si>
  <si>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</si>
  <si>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</si>
  <si>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</si>
  <si>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</si>
  <si>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</si>
  <si>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</si>
  <si>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</si>
  <si>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</si>
  <si>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</si>
  <si>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</si>
  <si>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</si>
  <si>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</si>
  <si>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</si>
  <si>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</si>
  <si>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</si>
  <si>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</si>
  <si>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</si>
  <si>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</si>
  <si>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</si>
  <si>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</si>
  <si>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</si>
  <si>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</si>
  <si>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</si>
  <si>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</si>
  <si>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</si>
  <si>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</si>
  <si>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</si>
  <si>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</si>
  <si>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</si>
  <si>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</si>
  <si>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</si>
  <si>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</si>
  <si>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</si>
  <si>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</si>
  <si>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</si>
  <si>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</si>
  <si>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</si>
  <si>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</si>
  <si>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</si>
  <si>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</si>
  <si>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</si>
  <si>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</si>
  <si>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</si>
  <si>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</si>
  <si>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</si>
  <si>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</si>
  <si>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</si>
  <si>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</si>
  <si>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</si>
  <si>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</si>
  <si>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</si>
  <si>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</si>
  <si>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</si>
  <si>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</si>
  <si>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</si>
  <si>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</si>
  <si>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</si>
  <si>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</si>
  <si>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</si>
  <si>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</si>
  <si>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</si>
  <si>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</si>
  <si>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</si>
  <si>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</si>
  <si>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</si>
  <si>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</si>
  <si>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</si>
  <si>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</si>
  <si>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</si>
  <si>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</si>
  <si>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</si>
  <si>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</si>
  <si>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</si>
  <si>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</si>
  <si>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</si>
  <si>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</si>
  <si>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</si>
  <si>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</si>
  <si>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</si>
  <si>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</si>
  <si>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</si>
  <si>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</si>
  <si>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</si>
  <si>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</si>
  <si>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</si>
  <si>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</si>
  <si>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</si>
  <si>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</si>
  <si>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</si>
  <si>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</si>
  <si>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</si>
  <si>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</si>
  <si>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</si>
  <si>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</si>
  <si>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</si>
  <si>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</si>
  <si>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</si>
  <si>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</si>
  <si>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</si>
  <si>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</si>
  <si>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</si>
  <si>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</si>
  <si>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</si>
  <si>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</si>
  <si>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</si>
  <si>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</si>
  <si>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</si>
  <si>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</si>
  <si>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</si>
  <si>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</si>
  <si>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</si>
  <si>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</si>
  <si>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</si>
  <si>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</si>
  <si>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</si>
  <si>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</si>
  <si>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</si>
  <si>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</si>
  <si>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</si>
  <si>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</si>
  <si>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</si>
  <si>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</si>
  <si>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</si>
  <si>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</si>
  <si>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</si>
  <si>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</si>
  <si>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</si>
  <si>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</si>
  <si>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</si>
  <si>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</si>
  <si>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</si>
  <si>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</si>
  <si>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</si>
  <si>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</si>
  <si>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</si>
  <si>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</si>
  <si>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</si>
  <si>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</si>
  <si>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</si>
  <si>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</si>
  <si>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</si>
  <si>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</si>
  <si>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</si>
  <si>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</si>
  <si>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</si>
  <si>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</si>
  <si>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</si>
  <si>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</si>
  <si>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</si>
  <si>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</si>
  <si>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</si>
  <si>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</si>
  <si>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</si>
  <si>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</si>
  <si>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</si>
  <si>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</si>
  <si>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</si>
  <si>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</si>
  <si>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</si>
  <si>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</si>
  <si>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</si>
  <si>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</si>
  <si>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</si>
  <si>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</si>
  <si>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</si>
  <si>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</si>
  <si>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</si>
  <si>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</si>
  <si>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</si>
  <si>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</si>
  <si>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</si>
  <si>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</si>
  <si>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</si>
  <si>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</si>
  <si>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</si>
  <si>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</si>
  <si>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</si>
  <si>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</si>
  <si>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</si>
  <si>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</si>
  <si>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</si>
  <si>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</si>
  <si>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</si>
  <si>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</si>
  <si>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</si>
  <si>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</si>
  <si>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</si>
  <si>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</si>
  <si>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</si>
  <si>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</si>
  <si>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</si>
  <si>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</si>
  <si>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</si>
  <si>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</si>
  <si>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</si>
  <si>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</si>
  <si>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</si>
  <si>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</si>
  <si>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</si>
  <si>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</si>
  <si>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</si>
  <si>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</si>
  <si>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</si>
  <si>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</si>
  <si>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</si>
  <si>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</si>
  <si>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</si>
  <si>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</si>
  <si>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</si>
  <si>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</si>
  <si>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</si>
  <si>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</si>
  <si>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</si>
  <si>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</si>
  <si>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</si>
  <si>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</si>
  <si>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</si>
  <si>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</si>
  <si>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</si>
  <si>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</si>
  <si>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</si>
  <si>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</si>
  <si>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</si>
  <si>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</si>
  <si>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</si>
  <si>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</si>
  <si>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</si>
  <si>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</si>
  <si>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</si>
  <si>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</si>
  <si>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</si>
  <si>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</si>
  <si>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</si>
  <si>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</si>
  <si>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</si>
  <si>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</si>
  <si>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</si>
  <si>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</si>
  <si>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</si>
  <si>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</si>
  <si>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</si>
  <si>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</si>
  <si>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</si>
  <si>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</si>
  <si>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</si>
  <si>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</si>
  <si>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</si>
  <si>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</si>
  <si>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</si>
  <si>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</si>
  <si>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</si>
  <si>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</si>
  <si>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</si>
  <si>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</si>
  <si>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</si>
  <si>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</si>
  <si>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</si>
  <si>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</si>
  <si>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</si>
  <si>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</si>
  <si>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</si>
  <si>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</si>
  <si>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</si>
  <si>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</si>
  <si>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</si>
  <si>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</si>
  <si>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</si>
  <si>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</si>
  <si>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</si>
  <si>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</si>
  <si>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</si>
  <si>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</si>
  <si>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</si>
  <si>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</si>
  <si>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</si>
  <si>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</si>
  <si>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</si>
  <si>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</si>
  <si>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</si>
  <si>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</si>
  <si>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</si>
  <si>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</si>
  <si>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</si>
  <si>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</si>
  <si>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</si>
  <si>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</si>
  <si>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</si>
  <si>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</si>
  <si>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</si>
  <si>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</si>
  <si>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</si>
  <si>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</si>
  <si>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</si>
  <si>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</si>
  <si>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</si>
  <si>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</si>
  <si>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</si>
  <si>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</si>
  <si>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</si>
  <si>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</si>
  <si>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</si>
  <si>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</si>
  <si>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</si>
  <si>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</si>
  <si>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</si>
  <si>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</si>
  <si>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</si>
  <si>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</si>
  <si>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</si>
  <si>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</si>
  <si>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</si>
  <si>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</si>
  <si>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</si>
  <si>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</si>
  <si>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</si>
  <si>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</si>
  <si>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</si>
  <si>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</si>
  <si>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</si>
  <si>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</si>
  <si>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</si>
  <si>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</si>
  <si>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</si>
  <si>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</si>
  <si>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</si>
  <si>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</si>
  <si>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</si>
  <si>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</si>
  <si>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</si>
  <si>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</si>
  <si>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</si>
  <si>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</si>
  <si>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</si>
  <si>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</si>
  <si>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</si>
  <si>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</si>
  <si>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</si>
  <si>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</si>
  <si>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</si>
  <si>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</si>
  <si>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</si>
  <si>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</si>
  <si>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</si>
  <si>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</si>
  <si>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</si>
  <si>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</si>
  <si>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</si>
  <si>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</si>
  <si>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</si>
  <si>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</si>
  <si>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</si>
  <si>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</si>
  <si>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</si>
  <si>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</si>
  <si>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</si>
  <si>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</si>
  <si>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</si>
  <si>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</si>
  <si>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</si>
  <si>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</si>
  <si>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</si>
  <si>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</si>
  <si>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</si>
  <si>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</si>
  <si>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</si>
  <si>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</si>
  <si>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</si>
  <si>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</si>
  <si>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</si>
  <si>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</si>
  <si>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</si>
  <si>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</si>
  <si>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</si>
  <si>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</si>
  <si>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</si>
  <si>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</si>
  <si>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</si>
  <si>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</si>
  <si>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</si>
  <si>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</si>
  <si>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</si>
  <si>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</si>
  <si>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</si>
  <si>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</si>
  <si>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</si>
  <si>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</si>
  <si>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</si>
  <si>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</si>
  <si>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</si>
  <si>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</si>
  <si>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</si>
  <si>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</si>
  <si>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</si>
  <si>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</si>
  <si>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</si>
  <si>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</si>
  <si>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</si>
  <si>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</si>
  <si>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</si>
  <si>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</si>
  <si>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</si>
  <si>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</si>
  <si>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</si>
  <si>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</si>
  <si>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</si>
  <si>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</si>
  <si>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</si>
  <si>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</si>
  <si>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</si>
  <si>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</si>
  <si>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</si>
  <si>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</si>
  <si>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</si>
  <si>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</si>
  <si>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</si>
  <si>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</si>
  <si>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</si>
  <si>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</si>
  <si>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</si>
  <si>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</si>
  <si>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</si>
  <si>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</si>
  <si>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</si>
  <si>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</si>
  <si>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</si>
  <si>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</si>
  <si>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</si>
  <si>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</si>
  <si>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</si>
  <si>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</si>
  <si>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</si>
  <si>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</si>
  <si>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</si>
  <si>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</si>
  <si>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</si>
  <si>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</si>
  <si>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</si>
  <si>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</si>
  <si>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</si>
  <si>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</si>
  <si>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</si>
  <si>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</si>
  <si>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</si>
  <si>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</si>
  <si>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</si>
  <si>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</si>
  <si>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</si>
  <si>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</si>
  <si>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</si>
  <si>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</si>
  <si>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</si>
  <si>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</si>
  <si>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</si>
  <si>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</si>
  <si>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</si>
  <si>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</si>
  <si>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</si>
  <si>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</si>
  <si>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</si>
  <si>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</si>
  <si>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</si>
  <si>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</si>
  <si>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</si>
  <si>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</si>
  <si>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</si>
  <si>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</si>
  <si>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</si>
  <si>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</si>
  <si>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</si>
  <si>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</si>
  <si>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</si>
  <si>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</si>
  <si>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</si>
  <si>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</si>
  <si>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</si>
  <si>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</si>
  <si>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</si>
  <si>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</si>
  <si>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</si>
  <si>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</si>
  <si>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</si>
  <si>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</si>
  <si>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</si>
  <si>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</si>
  <si>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</si>
  <si>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</si>
  <si>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</si>
  <si>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</si>
  <si>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</si>
  <si>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</si>
  <si>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</si>
  <si>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</si>
  <si>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</si>
  <si>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</si>
  <si>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</si>
  <si>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</si>
  <si>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</si>
  <si>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</si>
  <si>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</si>
  <si>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</si>
  <si>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</si>
  <si>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</si>
  <si>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</si>
  <si>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</si>
  <si>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</si>
  <si>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</si>
  <si>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</si>
  <si>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</si>
  <si>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</si>
  <si>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</si>
  <si>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</si>
  <si>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</si>
  <si>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</si>
  <si>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</si>
  <si>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</si>
  <si>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</si>
  <si>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</si>
  <si>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</si>
  <si>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</si>
  <si>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</si>
  <si>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</si>
  <si>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</si>
  <si>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</si>
  <si>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</si>
  <si>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</si>
  <si>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</si>
  <si>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</si>
  <si>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</si>
  <si>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</si>
  <si>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</si>
  <si>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</si>
  <si>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</si>
  <si>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</si>
  <si>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</si>
  <si>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</si>
  <si>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</si>
  <si>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</si>
  <si>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</si>
  <si>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</si>
  <si>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</si>
  <si>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</si>
  <si>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</si>
  <si>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</si>
  <si>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</si>
  <si>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</si>
  <si>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</si>
  <si>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</si>
  <si>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</si>
  <si>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</si>
  <si>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</si>
  <si>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</si>
  <si>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</si>
  <si>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</si>
  <si>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</si>
  <si>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</si>
  <si>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</si>
  <si>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</si>
  <si>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</si>
  <si>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</si>
  <si>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</si>
  <si>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</si>
  <si>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</si>
  <si>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</si>
  <si>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</si>
  <si>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</si>
  <si>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</si>
  <si>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</si>
  <si>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</si>
  <si>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</si>
  <si>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</si>
  <si>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</si>
  <si>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</si>
  <si>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</si>
  <si>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</si>
  <si>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</si>
  <si>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</si>
  <si>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</si>
  <si>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</si>
  <si>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</si>
  <si>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</si>
  <si>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</si>
  <si>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</si>
  <si>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</si>
  <si>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</si>
  <si>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</si>
  <si>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</si>
  <si>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</si>
  <si>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</si>
  <si>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</si>
  <si>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</si>
  <si>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</si>
  <si>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</si>
  <si>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</si>
  <si>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</si>
  <si>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</si>
  <si>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</si>
  <si>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</si>
  <si>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</si>
  <si>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</si>
  <si>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</si>
  <si>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</si>
  <si>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</si>
  <si>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</si>
  <si>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</si>
  <si>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</si>
  <si>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</si>
  <si>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</si>
  <si>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</si>
  <si>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</si>
  <si>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</si>
  <si>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</si>
  <si>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</si>
  <si>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</si>
  <si>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</si>
  <si>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</si>
  <si>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</si>
  <si>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</si>
  <si>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</si>
  <si>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</si>
  <si>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</si>
  <si>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</si>
  <si>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</si>
  <si>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</si>
  <si>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</si>
  <si>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</si>
  <si>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</si>
  <si>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</si>
  <si>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</si>
  <si>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</si>
  <si>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</si>
  <si>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</si>
  <si>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</si>
  <si>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</si>
  <si>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</si>
  <si>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</si>
  <si>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</si>
  <si>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</si>
  <si>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</si>
  <si>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</si>
  <si>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</si>
  <si>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</si>
  <si>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</si>
  <si>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</si>
  <si>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</si>
  <si>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</si>
  <si>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</si>
  <si>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</si>
  <si>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</si>
  <si>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</si>
  <si>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</si>
  <si>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</si>
  <si>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</si>
  <si>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</si>
  <si>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</si>
  <si>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</si>
  <si>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</si>
  <si>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</si>
  <si>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</si>
  <si>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</si>
  <si>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</si>
  <si>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</si>
  <si>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</si>
  <si>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</si>
  <si>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</si>
  <si>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</si>
  <si>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</si>
  <si>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</si>
  <si>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</si>
  <si>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</si>
  <si>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</si>
  <si>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</si>
  <si>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</si>
  <si>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</si>
  <si>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</si>
  <si>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</si>
  <si>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</si>
  <si>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</si>
  <si>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</si>
  <si>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</si>
  <si>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</si>
  <si>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</si>
  <si>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</si>
  <si>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</si>
  <si>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</si>
  <si>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</si>
  <si>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</si>
  <si>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</si>
  <si>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</si>
  <si>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</si>
  <si>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</si>
  <si>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</si>
  <si>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</si>
  <si>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</si>
  <si>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</si>
  <si>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</si>
  <si>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</si>
  <si>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</si>
  <si>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</si>
  <si>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</si>
  <si>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</si>
  <si>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</si>
  <si>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</si>
  <si>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</si>
  <si>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</si>
  <si>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</si>
  <si>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</si>
  <si>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</si>
  <si>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</si>
  <si>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</si>
  <si>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</si>
  <si>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</si>
  <si>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</si>
  <si>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</si>
  <si>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</si>
  <si>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</si>
  <si>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</si>
  <si>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</si>
  <si>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</si>
  <si>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</si>
  <si>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</si>
  <si>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</si>
  <si>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</si>
  <si>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</si>
  <si>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</si>
  <si>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</si>
  <si>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</si>
  <si>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</si>
  <si>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</si>
  <si>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</si>
  <si>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</si>
  <si>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</si>
  <si>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</si>
  <si>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</si>
  <si>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</si>
  <si>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</si>
  <si>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</si>
  <si>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</si>
  <si>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</si>
  <si>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</si>
  <si>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</si>
  <si>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</si>
  <si>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</si>
  <si>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</si>
  <si>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</si>
  <si>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</si>
  <si>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</si>
  <si>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</si>
  <si>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</si>
  <si>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</si>
  <si>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</si>
  <si>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</si>
  <si>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</si>
  <si>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</si>
  <si>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</si>
  <si>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</si>
  <si>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</si>
  <si>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</si>
  <si>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</si>
  <si>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</si>
  <si>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</si>
  <si>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</si>
  <si>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</si>
  <si>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</si>
  <si>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</si>
  <si>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</si>
  <si>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</si>
  <si>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</si>
  <si>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</si>
  <si>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</si>
  <si>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</si>
  <si>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</si>
  <si>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</si>
  <si>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</si>
  <si>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</si>
  <si>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</si>
  <si>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</si>
  <si>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</si>
  <si>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</si>
  <si>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</si>
  <si>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</si>
  <si>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</si>
  <si>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</si>
  <si>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</si>
  <si>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</si>
  <si>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</si>
  <si>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</si>
  <si>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</si>
  <si>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</si>
  <si>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</si>
  <si>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</si>
  <si>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</si>
  <si>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</si>
  <si>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</si>
  <si>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</si>
  <si>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</si>
  <si>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</si>
  <si>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</si>
  <si>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</si>
  <si>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</si>
  <si>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</si>
  <si>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</si>
  <si>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</si>
  <si>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</si>
  <si>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</si>
  <si>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</si>
  <si>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</si>
  <si>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</si>
  <si>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</si>
  <si>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</si>
  <si>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</si>
  <si>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</si>
  <si>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</si>
  <si>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</si>
  <si>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</si>
  <si>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</si>
  <si>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</si>
  <si>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</si>
  <si>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</si>
  <si>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</si>
  <si>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</si>
  <si>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</si>
  <si>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</si>
  <si>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</si>
  <si>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</si>
  <si>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</si>
  <si>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</si>
  <si>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</si>
  <si>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</si>
  <si>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</si>
  <si>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</si>
  <si>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</si>
  <si>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</si>
  <si>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</si>
  <si>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</si>
  <si>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</si>
  <si>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</si>
  <si>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</si>
  <si>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</si>
  <si>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</si>
  <si>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</si>
  <si>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</si>
  <si>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</si>
  <si>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</si>
  <si>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</si>
  <si>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</si>
  <si>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</si>
  <si>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</si>
  <si>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</si>
  <si>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</si>
  <si>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</si>
  <si>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</si>
  <si>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</si>
  <si>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</si>
  <si>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</si>
  <si>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</si>
  <si>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</si>
  <si>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</si>
  <si>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</si>
  <si>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</si>
  <si>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</si>
  <si>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</si>
  <si>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</si>
  <si>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</si>
  <si>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</si>
  <si>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</si>
  <si>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</si>
  <si>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</si>
  <si>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</si>
  <si>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</si>
  <si>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</si>
  <si>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</si>
  <si>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</si>
  <si>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</si>
  <si>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</si>
  <si>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</si>
  <si>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</si>
  <si>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</si>
  <si>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</si>
  <si>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</si>
  <si>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</si>
  <si>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</si>
  <si>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</si>
  <si>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</si>
  <si>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</si>
  <si>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</si>
  <si>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</si>
  <si>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</si>
  <si>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</si>
  <si>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</si>
  <si>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</si>
  <si>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</si>
  <si>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</si>
  <si>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</si>
  <si>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</si>
  <si>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</si>
  <si>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</si>
  <si>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</si>
  <si>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</si>
  <si>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</si>
  <si>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</si>
  <si>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</si>
  <si>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</si>
  <si>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</si>
  <si>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</si>
  <si>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</si>
  <si>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</si>
  <si>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</si>
  <si>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</si>
  <si>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</si>
  <si>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</si>
  <si>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</si>
  <si>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</si>
  <si>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</si>
  <si>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</si>
  <si>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</si>
  <si>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</si>
  <si>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</si>
  <si>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</si>
  <si>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</si>
  <si>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</si>
  <si>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</si>
  <si>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</si>
  <si>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</si>
  <si>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</si>
  <si>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</si>
  <si>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</si>
  <si>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</si>
  <si>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</si>
  <si>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</si>
  <si>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</si>
  <si>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</si>
  <si>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</si>
  <si>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</si>
  <si>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</si>
  <si>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</si>
  <si>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</si>
  <si>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</si>
  <si>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</si>
  <si>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</si>
  <si>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</si>
  <si>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</si>
  <si>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</si>
  <si>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</si>
  <si>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</si>
  <si>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</si>
  <si>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</si>
  <si>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</si>
  <si>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</si>
  <si>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</si>
  <si>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</si>
  <si>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</si>
  <si>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</si>
  <si>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</si>
  <si>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</si>
  <si>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</si>
  <si>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</si>
  <si>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</si>
  <si>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</si>
  <si>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</si>
  <si>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</si>
  <si>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</si>
  <si>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</si>
  <si>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</si>
  <si>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</si>
  <si>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</si>
  <si>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</si>
  <si>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</si>
  <si>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</si>
  <si>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</si>
  <si>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</si>
  <si>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</si>
  <si>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</si>
  <si>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</si>
  <si>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</si>
  <si>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</si>
  <si>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</si>
  <si>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</si>
  <si>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</si>
  <si>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</si>
  <si>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</si>
  <si>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</si>
  <si>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</si>
  <si>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</si>
  <si>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</si>
  <si>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</si>
  <si>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</si>
  <si>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</si>
  <si>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</si>
  <si>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</si>
  <si>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</si>
  <si>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</si>
  <si>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</si>
  <si>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</si>
  <si>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</si>
  <si>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</si>
  <si>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</si>
  <si>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</si>
  <si>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</si>
  <si>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</si>
  <si>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</si>
  <si>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</si>
  <si>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</si>
  <si>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</si>
  <si>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</si>
  <si>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</si>
  <si>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</si>
  <si>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</si>
  <si>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</si>
  <si>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</si>
  <si>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</si>
  <si>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</si>
  <si>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</si>
  <si>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</si>
  <si>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</si>
  <si>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</si>
  <si>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</si>
  <si>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</si>
  <si>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</si>
  <si>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</si>
  <si>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</si>
  <si>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</si>
  <si>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</si>
  <si>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</si>
  <si>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</si>
  <si>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</si>
  <si>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</si>
  <si>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</si>
  <si>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</si>
  <si>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</si>
  <si>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</si>
  <si>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</si>
  <si>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</si>
  <si>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</si>
  <si>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</si>
  <si>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</si>
  <si>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</si>
  <si>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</si>
  <si>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</si>
  <si>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</si>
  <si>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</si>
  <si>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</si>
  <si>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</si>
  <si>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</si>
  <si>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</si>
  <si>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</si>
  <si>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</si>
  <si>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</si>
  <si>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</si>
  <si>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</si>
  <si>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</si>
  <si>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</si>
  <si>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</si>
  <si>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</si>
  <si>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</si>
  <si>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</si>
  <si>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</si>
  <si>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</si>
  <si>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</si>
  <si>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</si>
  <si>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</si>
  <si>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</si>
  <si>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</si>
  <si>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</si>
  <si>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</si>
  <si>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</si>
  <si>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</si>
  <si>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</si>
  <si>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</si>
  <si>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</si>
  <si>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</si>
  <si>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</si>
  <si>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</si>
  <si>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</si>
  <si>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</si>
  <si>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</si>
  <si>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</si>
  <si>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</si>
  <si>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</si>
  <si>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</si>
  <si>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</si>
  <si>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</si>
  <si>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</si>
  <si>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</si>
  <si>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</si>
  <si>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</si>
  <si>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</si>
  <si>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</si>
  <si>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</si>
  <si>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</si>
  <si>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</si>
  <si>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</si>
  <si>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</si>
  <si>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</si>
  <si>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</si>
  <si>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</si>
  <si>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</si>
  <si>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</si>
  <si>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</si>
  <si>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</si>
  <si>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</si>
  <si>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</si>
  <si>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</si>
  <si>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</si>
  <si>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</si>
  <si>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</si>
  <si>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</si>
  <si>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</si>
  <si>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</si>
  <si>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</si>
  <si>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</si>
  <si>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</si>
  <si>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</si>
  <si>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</si>
  <si>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</si>
  <si>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</si>
  <si>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</si>
  <si>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</si>
  <si>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</si>
  <si>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</si>
  <si>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</si>
  <si>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</si>
  <si>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</si>
  <si>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</si>
  <si>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</si>
  <si>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</si>
  <si>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</si>
  <si>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</si>
  <si>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</si>
  <si>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</si>
  <si>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</si>
  <si>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</si>
  <si>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</si>
  <si>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</si>
  <si>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</si>
  <si>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</si>
  <si>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</si>
  <si>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</si>
  <si>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</si>
  <si>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</si>
  <si>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</si>
  <si>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</si>
  <si>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</si>
  <si>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</si>
  <si>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</si>
  <si>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</si>
  <si>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</si>
  <si>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</si>
  <si>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</si>
  <si>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</si>
  <si>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</si>
  <si>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</si>
  <si>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</si>
  <si>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</si>
  <si>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</si>
  <si>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</si>
  <si>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</si>
  <si>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</si>
  <si>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</si>
  <si>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</si>
  <si>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</si>
  <si>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</si>
  <si>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</si>
  <si>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</si>
  <si>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</si>
  <si>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</si>
  <si>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</si>
  <si>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</si>
  <si>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</si>
  <si>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</si>
  <si>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</si>
  <si>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</si>
  <si>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</si>
  <si>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</si>
  <si>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</si>
  <si>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</si>
  <si>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</si>
  <si>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</si>
  <si>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</si>
  <si>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</si>
  <si>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</si>
  <si>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</si>
  <si>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</si>
  <si>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</si>
  <si>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</si>
  <si>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</si>
  <si>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</si>
  <si>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</si>
  <si>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</si>
  <si>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</si>
  <si>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</si>
  <si>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</si>
  <si>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</si>
  <si>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</si>
  <si>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</si>
  <si>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</si>
  <si>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</si>
  <si>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</si>
  <si>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</si>
  <si>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</si>
  <si>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</si>
  <si>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</si>
  <si>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</si>
  <si>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</si>
  <si>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</si>
  <si>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</si>
  <si>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</si>
  <si>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</si>
  <si>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</si>
  <si>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</si>
  <si>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</si>
  <si>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</si>
  <si>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</si>
  <si>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</si>
  <si>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</si>
  <si>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</si>
  <si>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</si>
  <si>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</si>
  <si>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</si>
  <si>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</si>
  <si>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</si>
  <si>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</si>
  <si>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</si>
  <si>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</si>
  <si>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</si>
  <si>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</si>
  <si>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</si>
  <si>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</si>
  <si>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</si>
  <si>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</si>
  <si>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</si>
  <si>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</si>
  <si>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</si>
  <si>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</si>
  <si>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</si>
  <si>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</si>
  <si>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</si>
  <si>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</si>
  <si>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</si>
  <si>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</si>
  <si>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</si>
  <si>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</si>
  <si>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</si>
  <si>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</si>
  <si>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</si>
  <si>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</si>
  <si>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</si>
  <si>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</si>
  <si>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</si>
  <si>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</si>
  <si>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</si>
  <si>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</si>
  <si>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</si>
  <si>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</si>
  <si>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</si>
  <si>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</si>
  <si>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</si>
  <si>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</si>
  <si>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</si>
  <si>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</si>
  <si>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</si>
  <si>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</si>
  <si>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</si>
  <si>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</si>
  <si>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</si>
  <si>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</si>
  <si>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</si>
  <si>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</si>
  <si>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</si>
  <si>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</si>
  <si>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</si>
  <si>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</si>
  <si>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</si>
  <si>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</si>
  <si>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</si>
  <si>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</si>
  <si>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</si>
  <si>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</si>
  <si>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</si>
  <si>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</si>
  <si>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</si>
  <si>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</si>
  <si>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</si>
  <si>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</si>
  <si>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</si>
  <si>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</si>
  <si>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</si>
  <si>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</si>
  <si>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</si>
  <si>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</si>
  <si>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</si>
  <si>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</si>
  <si>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</si>
  <si>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</si>
  <si>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</si>
  <si>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</si>
  <si>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</si>
  <si>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</si>
  <si>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</si>
  <si>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</si>
  <si>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</si>
  <si>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</si>
  <si>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</si>
  <si>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</si>
  <si>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</si>
  <si>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</si>
  <si>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</si>
  <si>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</si>
  <si>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</si>
  <si>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</si>
  <si>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</si>
  <si>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</si>
  <si>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</si>
  <si>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</si>
  <si>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</si>
  <si>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</si>
  <si>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</si>
  <si>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</si>
  <si>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</si>
  <si>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</si>
  <si>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</si>
  <si>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</si>
  <si>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</si>
  <si>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</si>
  <si>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</si>
  <si>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</si>
  <si>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</si>
  <si>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</si>
  <si>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</si>
  <si>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</si>
  <si>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</si>
  <si>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</si>
  <si>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</si>
  <si>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</si>
  <si>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</si>
  <si>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</si>
  <si>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</si>
  <si>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</si>
  <si>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</si>
  <si>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</si>
  <si>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</si>
  <si>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</si>
  <si>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</si>
  <si>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</si>
  <si>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</si>
  <si>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</si>
  <si>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</si>
  <si>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</si>
  <si>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</si>
  <si>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</si>
  <si>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</si>
  <si>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</si>
  <si>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</si>
  <si>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</si>
  <si>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</si>
  <si>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</si>
  <si>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</si>
  <si>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</si>
  <si>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</si>
  <si>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</si>
  <si>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</si>
  <si>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</si>
  <si>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</si>
  <si>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</si>
  <si>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</si>
  <si>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</si>
  <si>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</si>
  <si>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</si>
  <si>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</si>
  <si>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</si>
  <si>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</si>
  <si>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</si>
  <si>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</si>
  <si>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</si>
  <si>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</si>
  <si>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</si>
  <si>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</si>
  <si>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</si>
  <si>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</si>
  <si>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</si>
  <si>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</si>
  <si>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</si>
  <si>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</si>
  <si>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</si>
  <si>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</si>
  <si>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</si>
  <si>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</si>
  <si>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</si>
  <si>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</si>
  <si>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</si>
  <si>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</si>
  <si>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</si>
  <si>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</si>
  <si>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</si>
  <si>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</si>
  <si>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</si>
  <si>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</si>
  <si>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</si>
  <si>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</si>
  <si>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</si>
  <si>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</si>
  <si>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</si>
  <si>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</si>
  <si>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</si>
  <si>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</si>
  <si>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</si>
  <si>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</si>
  <si>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</si>
  <si>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</si>
  <si>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</si>
  <si>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</si>
  <si>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</si>
  <si>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</si>
  <si>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</si>
  <si>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</si>
  <si>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</si>
  <si>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</si>
  <si>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</si>
  <si>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</si>
  <si>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</si>
  <si>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</si>
  <si>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</si>
  <si>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</si>
  <si>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</si>
  <si>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</si>
  <si>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</si>
  <si>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</si>
  <si>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</si>
  <si>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</si>
  <si>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</si>
  <si>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</si>
  <si>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</si>
  <si>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</si>
  <si>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</si>
  <si>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</si>
  <si>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</si>
  <si>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</si>
  <si>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</si>
  <si>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</si>
  <si>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</si>
  <si>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</si>
  <si>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</si>
  <si>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</si>
  <si>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</si>
  <si>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</si>
  <si>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</si>
  <si>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</si>
  <si>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</si>
  <si>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</si>
  <si>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</si>
  <si>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</si>
  <si>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</si>
  <si>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</si>
  <si>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</si>
  <si>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</si>
  <si>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</si>
  <si>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</si>
  <si>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</si>
  <si>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</si>
  <si>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</si>
  <si>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</si>
  <si>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</si>
  <si>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</si>
  <si>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</si>
  <si>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</si>
  <si>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</si>
  <si>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</si>
  <si>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</si>
  <si>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</si>
  <si>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</si>
  <si>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</si>
  <si>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</si>
  <si>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</si>
  <si>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</si>
  <si>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</si>
  <si>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</si>
  <si>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</si>
  <si>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</si>
  <si>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</si>
  <si>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</si>
  <si>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</si>
  <si>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</si>
  <si>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</si>
  <si>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</si>
  <si>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</si>
  <si>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</si>
  <si>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</si>
  <si>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</si>
  <si>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</si>
  <si>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</si>
  <si>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</si>
  <si>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</si>
  <si>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</si>
  <si>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</si>
  <si>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</si>
  <si>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</si>
  <si>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</si>
  <si>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</si>
  <si>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</si>
  <si>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</si>
  <si>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</si>
  <si>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</si>
  <si>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</si>
  <si>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</si>
  <si>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</si>
  <si>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</si>
  <si>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</si>
  <si>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</si>
  <si>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</si>
  <si>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</si>
  <si>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</si>
  <si>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</si>
  <si>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</si>
  <si>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</si>
  <si>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</si>
  <si>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</si>
  <si>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</si>
  <si>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</si>
  <si>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</si>
  <si>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</si>
  <si>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</si>
  <si>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</si>
  <si>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</si>
  <si>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</si>
  <si>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</si>
  <si>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</si>
  <si>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</si>
  <si>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</si>
  <si>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</si>
  <si>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</si>
  <si>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</si>
  <si>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</si>
  <si>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</si>
  <si>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</si>
  <si>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</si>
  <si>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</si>
  <si>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</si>
  <si>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</si>
  <si>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</si>
  <si>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</si>
  <si>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</si>
  <si>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</si>
  <si>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</si>
  <si>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</si>
  <si>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</si>
  <si>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</si>
  <si>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</si>
  <si>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</si>
  <si>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</si>
  <si>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</si>
  <si>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</si>
  <si>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</si>
  <si>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</si>
  <si>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</si>
  <si>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</si>
  <si>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</si>
  <si>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</si>
  <si>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</si>
  <si>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</si>
  <si>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</si>
  <si>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</si>
  <si>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</si>
  <si>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</si>
  <si>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</si>
  <si>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</si>
  <si>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</si>
  <si>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</si>
  <si>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</si>
  <si>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</si>
  <si>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</si>
  <si>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</si>
  <si>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</si>
  <si>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</si>
  <si>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</si>
  <si>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</si>
  <si>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</si>
  <si>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</si>
  <si>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</si>
  <si>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</si>
  <si>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</si>
  <si>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</si>
  <si>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</si>
  <si>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</si>
  <si>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</si>
  <si>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</si>
  <si>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</si>
  <si>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</si>
  <si>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</si>
  <si>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</si>
  <si>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</si>
  <si>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</si>
  <si>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</si>
  <si>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</si>
  <si>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</si>
  <si>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</si>
  <si>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</si>
  <si>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</si>
  <si>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</si>
  <si>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</si>
  <si>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</si>
  <si>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</si>
  <si>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</si>
  <si>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</si>
  <si>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</si>
  <si>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</si>
  <si>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</si>
  <si>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</si>
  <si>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</si>
  <si>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</si>
  <si>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</si>
  <si>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</si>
  <si>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</si>
  <si>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</si>
  <si>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</si>
  <si>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</si>
  <si>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</si>
  <si>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</si>
  <si>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</si>
  <si>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</si>
  <si>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</si>
  <si>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</si>
  <si>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</si>
  <si>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</si>
  <si>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</si>
  <si>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</si>
  <si>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</si>
  <si>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</si>
  <si>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</si>
  <si>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</si>
  <si>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</si>
  <si>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</si>
  <si>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</si>
  <si>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</si>
  <si>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</si>
  <si>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</si>
  <si>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</si>
  <si>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</si>
  <si>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</si>
  <si>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</si>
  <si>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</si>
  <si>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</si>
  <si>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</si>
  <si>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</si>
  <si>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</si>
  <si>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</si>
  <si>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</si>
  <si>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</si>
  <si>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</si>
  <si>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</si>
  <si>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</si>
  <si>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</si>
  <si>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</si>
  <si>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</si>
  <si>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</si>
  <si>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</si>
  <si>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</si>
  <si>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</si>
  <si>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</si>
  <si>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</si>
  <si>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</si>
  <si>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</si>
  <si>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</si>
  <si>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</si>
  <si>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</si>
  <si>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</si>
  <si>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</si>
  <si>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</si>
  <si>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</si>
  <si>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</si>
  <si>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</si>
  <si>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</si>
  <si>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</si>
  <si>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</si>
  <si>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</si>
  <si>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</si>
  <si>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</si>
  <si>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</si>
  <si>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</si>
  <si>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</si>
  <si>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</si>
  <si>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</si>
  <si>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</si>
  <si>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</si>
  <si>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</si>
  <si>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</si>
  <si>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</si>
  <si>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</si>
  <si>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</si>
  <si>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</si>
  <si>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</si>
  <si>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</si>
  <si>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</si>
  <si>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</si>
  <si>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</si>
  <si>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</si>
  <si>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</si>
  <si>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</si>
  <si>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</si>
  <si>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</si>
  <si>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</si>
  <si>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</si>
  <si>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</si>
  <si>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</si>
  <si>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</si>
  <si>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</si>
  <si>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</si>
  <si>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</si>
  <si>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</si>
  <si>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</si>
  <si>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</si>
  <si>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</si>
  <si>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</si>
  <si>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</si>
  <si>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</si>
  <si>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</si>
  <si>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</si>
  <si>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</si>
  <si>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</si>
  <si>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</si>
  <si>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</si>
  <si>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</si>
  <si>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</si>
  <si>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</si>
  <si>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</si>
  <si>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</si>
  <si>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</si>
  <si>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</si>
  <si>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</si>
  <si>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</si>
  <si>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</si>
  <si>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</si>
  <si>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</si>
  <si>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</si>
  <si>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</si>
  <si>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</si>
  <si>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</si>
  <si>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</si>
  <si>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</si>
  <si>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</si>
  <si>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</si>
  <si>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</si>
  <si>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</si>
  <si>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</si>
  <si>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</si>
  <si>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</si>
  <si>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</si>
  <si>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</si>
  <si>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</si>
  <si>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</si>
  <si>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</si>
  <si>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</si>
  <si>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</si>
  <si>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</si>
  <si>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</si>
  <si>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</si>
  <si>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</si>
  <si>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</si>
  <si>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</si>
  <si>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</si>
  <si>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</si>
  <si>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</si>
  <si>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</si>
  <si>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</si>
  <si>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</si>
  <si>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</si>
  <si>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</si>
  <si>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</si>
  <si>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</si>
  <si>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</si>
  <si>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</si>
  <si>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</si>
  <si>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</si>
  <si>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</si>
  <si>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</si>
  <si>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</si>
  <si>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</si>
  <si>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</si>
  <si>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</si>
  <si>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</si>
  <si>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</si>
  <si>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</si>
  <si>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</si>
  <si>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</si>
  <si>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</si>
  <si>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</si>
  <si>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</si>
  <si>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</si>
  <si>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</si>
  <si>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</si>
  <si>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</si>
  <si>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</si>
  <si>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</si>
  <si>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</si>
  <si>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</si>
  <si>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</si>
  <si>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</si>
  <si>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</si>
  <si>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</si>
  <si>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</si>
  <si>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</si>
  <si>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</si>
  <si>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</si>
  <si>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</si>
  <si>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</si>
  <si>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</si>
  <si>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</si>
  <si>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</si>
  <si>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</si>
  <si>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</si>
  <si>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</si>
  <si>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</si>
  <si>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</si>
  <si>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</si>
  <si>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</si>
  <si>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</si>
  <si>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</si>
  <si>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</si>
  <si>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</si>
  <si>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</si>
  <si>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</si>
  <si>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</si>
  <si>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</si>
  <si>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</si>
  <si>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</si>
  <si>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</si>
  <si>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</si>
  <si>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</si>
  <si>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</si>
  <si>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</si>
  <si>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</si>
  <si>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</si>
  <si>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</si>
  <si>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</si>
  <si>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</si>
  <si>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</si>
  <si>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</si>
  <si>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</si>
  <si>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</si>
  <si>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</si>
  <si>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</si>
  <si>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</si>
  <si>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</si>
  <si>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</si>
  <si>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</si>
  <si>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</si>
  <si>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</si>
  <si>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</si>
  <si>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</si>
  <si>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</si>
  <si>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</si>
  <si>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</si>
  <si>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</si>
  <si>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</si>
  <si>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</si>
  <si>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</si>
  <si>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</si>
  <si>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</si>
  <si>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</si>
  <si>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</si>
  <si>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</si>
  <si>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</si>
  <si>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</si>
  <si>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</si>
  <si>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</si>
  <si>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</si>
  <si>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</si>
  <si>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</si>
  <si>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</si>
  <si>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</si>
  <si>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</si>
  <si>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</si>
  <si>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</si>
  <si>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</si>
  <si>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</si>
  <si>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</si>
  <si>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</si>
  <si>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</si>
  <si>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</si>
  <si>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</si>
  <si>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</si>
  <si>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</si>
  <si>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</si>
  <si>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</si>
  <si>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</si>
  <si>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</si>
  <si>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</si>
  <si>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</si>
  <si>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</si>
  <si>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</si>
  <si>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</si>
  <si>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</si>
  <si>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</si>
  <si>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</si>
  <si>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</si>
  <si>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</si>
  <si>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</si>
  <si>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</si>
  <si>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</si>
  <si>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</si>
  <si>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</si>
  <si>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</si>
  <si>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</si>
  <si>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</si>
  <si>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</si>
  <si>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</si>
  <si>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</si>
  <si>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</si>
  <si>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</si>
  <si>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</si>
  <si>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</si>
  <si>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</si>
  <si>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</si>
  <si>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</si>
  <si>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</si>
  <si>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</si>
  <si>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</si>
  <si>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</si>
  <si>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</si>
  <si>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</si>
  <si>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</si>
  <si>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</si>
  <si>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</si>
  <si>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</si>
  <si>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</si>
  <si>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</si>
  <si>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</si>
  <si>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</si>
  <si>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</si>
  <si>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</si>
  <si>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</si>
  <si>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</si>
  <si>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</si>
  <si>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</si>
  <si>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</si>
  <si>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</si>
  <si>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</si>
  <si>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</si>
  <si>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</si>
  <si>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</si>
  <si>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</si>
  <si>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</si>
  <si>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</si>
  <si>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</si>
  <si>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</si>
  <si>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</si>
  <si>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</si>
  <si>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</si>
  <si>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</si>
  <si>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</si>
  <si>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</si>
  <si>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</si>
  <si>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</si>
  <si>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</si>
  <si>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</si>
  <si>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</si>
  <si>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</si>
  <si>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</si>
  <si>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</si>
  <si>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</si>
  <si>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</si>
  <si>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</si>
  <si>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</si>
  <si>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</si>
  <si>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</si>
  <si>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</si>
  <si>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</si>
  <si>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</si>
  <si>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</si>
  <si>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</si>
  <si>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</si>
  <si>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</si>
  <si>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</si>
  <si>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</si>
  <si>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</si>
  <si>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</si>
  <si>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</si>
  <si>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</si>
  <si>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</si>
  <si>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</si>
  <si>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</si>
  <si>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</si>
  <si>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</si>
  <si>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</si>
  <si>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</si>
  <si>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</si>
  <si>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</si>
  <si>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</si>
  <si>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</si>
  <si>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</si>
  <si>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</si>
  <si>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</si>
  <si>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</si>
  <si>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</si>
  <si>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</si>
  <si>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</si>
  <si>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</si>
  <si>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</si>
  <si>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</si>
  <si>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</si>
  <si>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</si>
  <si>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</si>
  <si>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</si>
  <si>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</si>
  <si>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</si>
  <si>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</si>
  <si>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</si>
  <si>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</si>
  <si>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</si>
  <si>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</si>
  <si>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</si>
  <si>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</si>
  <si>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</si>
  <si>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</si>
  <si>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</si>
  <si>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</si>
  <si>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</si>
  <si>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</si>
  <si>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</si>
  <si>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</si>
  <si>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</si>
  <si>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</si>
  <si>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</si>
  <si>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</si>
  <si>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</si>
  <si>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</si>
  <si>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</si>
  <si>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</si>
  <si>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</si>
  <si>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</si>
  <si>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</si>
  <si>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</si>
  <si>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</si>
  <si>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</si>
  <si>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</si>
  <si>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</si>
  <si>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OGLE</t>
  </si>
  <si>
    <t>100 S UNION AVENUE</t>
  </si>
  <si>
    <t xml:space="preserve">POLO  </t>
  </si>
  <si>
    <t>X</t>
  </si>
  <si>
    <t>CRADEMACHER@POLOSCHOOLS.NET</t>
  </si>
  <si>
    <t>CHRIS RADEMACHER</t>
  </si>
  <si>
    <t>815-946-3815</t>
  </si>
  <si>
    <t>815-946-2493</t>
  </si>
  <si>
    <t>General Obligation School Bonds Series 2018</t>
  </si>
  <si>
    <t>23. Qualified for General fixed asset account group not maintaining historical cost information and adverse for not adopting GASB 34</t>
  </si>
  <si>
    <t>none</t>
  </si>
  <si>
    <t>n/a</t>
  </si>
  <si>
    <t>Ogle County Educational Cooperative</t>
  </si>
  <si>
    <t>Whiteside Area Vocational Center</t>
  </si>
  <si>
    <t>see attachment page for pdf</t>
  </si>
  <si>
    <t>Polo CUSD 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</si>
</sst>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545523</xdr:colOff>
          <xdr:row>3</xdr:row>
          <xdr:rowOff>17318</xdr:rowOff>
        </xdr:from>
        <xdr:to>
          <xdr:col>1</xdr:col>
          <xdr:colOff>1459923</xdr:colOff>
          <xdr:row>7</xdr:row>
          <xdr:rowOff>55418</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2072</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2072</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47071222026</v>
      </c>
      <c r="B13" s="2019"/>
      <c r="C13" s="2019"/>
      <c r="D13" s="2019"/>
      <c r="E13" s="2019"/>
      <c r="F13" s="2019"/>
      <c r="G13" s="2019"/>
      <c r="H13" s="2020"/>
      <c r="I13" s="31"/>
      <c r="J13" s="30"/>
      <c r="K13" s="28"/>
      <c r="L13" s="30"/>
      <c r="M13" s="30"/>
      <c r="N13" s="30"/>
      <c r="O13" s="30"/>
      <c r="P13" s="30"/>
      <c r="Q13" s="30"/>
      <c r="R13" s="30"/>
      <c r="S13" s="30"/>
      <c r="T13" s="2023" t="s">
        <v>2064</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2073</v>
      </c>
      <c r="B15" s="2021"/>
      <c r="C15" s="2021"/>
      <c r="D15" s="2021"/>
      <c r="E15" s="2021"/>
      <c r="F15" s="2021"/>
      <c r="G15" s="2021"/>
      <c r="H15" s="2022"/>
      <c r="T15" s="2027"/>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2088</v>
      </c>
      <c r="B17" s="1978"/>
      <c r="C17" s="1978"/>
      <c r="D17" s="1978"/>
      <c r="E17" s="1978"/>
      <c r="F17" s="1978"/>
      <c r="G17" s="1978"/>
      <c r="H17" s="2003"/>
      <c r="T17" s="2034" t="s">
        <v>2065</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2074</v>
      </c>
      <c r="B19" s="1963"/>
      <c r="C19" s="1963"/>
      <c r="D19" s="1963"/>
      <c r="E19" s="1963"/>
      <c r="F19" s="1963"/>
      <c r="G19" s="1963"/>
      <c r="H19" s="1943"/>
      <c r="I19" s="30"/>
      <c r="J19" s="99"/>
      <c r="K19" s="40"/>
      <c r="L19" s="38"/>
      <c r="M19" s="112" t="s">
        <v>315</v>
      </c>
      <c r="P19" s="27"/>
      <c r="Q19" s="27"/>
      <c r="R19" s="27"/>
      <c r="S19" s="31"/>
      <c r="T19" s="2017" t="s">
        <v>2066</v>
      </c>
      <c r="U19" s="1942"/>
      <c r="V19" s="1942"/>
      <c r="W19" s="1943"/>
      <c r="X19" s="2032" t="s">
        <v>2067</v>
      </c>
      <c r="Y19" s="2033"/>
      <c r="Z19" s="2030">
        <v>61081</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2075</v>
      </c>
      <c r="B21" s="1942"/>
      <c r="C21" s="1942"/>
      <c r="D21" s="1942"/>
      <c r="E21" s="1942"/>
      <c r="F21" s="1942"/>
      <c r="G21" s="1942"/>
      <c r="H21" s="1943"/>
      <c r="I21" s="1997" t="s">
        <v>678</v>
      </c>
      <c r="J21" s="1992"/>
      <c r="K21" s="1992"/>
      <c r="L21" s="1992"/>
      <c r="M21" s="1992"/>
      <c r="N21" s="1992"/>
      <c r="O21" s="1992"/>
      <c r="P21" s="1992"/>
      <c r="Q21" s="1992"/>
      <c r="R21" s="1992"/>
      <c r="S21" s="1998"/>
      <c r="T21" s="2041" t="s">
        <v>2068</v>
      </c>
      <c r="U21" s="2042"/>
      <c r="V21" s="2042"/>
      <c r="W21" s="2042"/>
      <c r="X21" s="2047" t="s">
        <v>2069</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2070</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61064</v>
      </c>
      <c r="B25" s="1942"/>
      <c r="C25" s="1942"/>
      <c r="D25" s="1942"/>
      <c r="E25" s="1942"/>
      <c r="F25" s="1942"/>
      <c r="G25" s="1942"/>
      <c r="H25" s="1943"/>
      <c r="I25" s="113"/>
      <c r="J25" s="1966"/>
      <c r="K25" s="1966"/>
      <c r="L25" s="1966"/>
      <c r="M25" s="1966"/>
      <c r="N25" s="1966"/>
      <c r="O25" s="1966"/>
      <c r="P25" s="1966"/>
      <c r="Q25" s="1966"/>
      <c r="R25" s="1966"/>
      <c r="S25" s="1967"/>
      <c r="T25" s="2037" t="s">
        <v>2071</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2076</v>
      </c>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2077</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2079</v>
      </c>
      <c r="B42" s="1961"/>
      <c r="C42" s="1962"/>
      <c r="D42" s="1960" t="s">
        <v>2080</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9" sqref="A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1851847</v>
      </c>
      <c r="C4" s="1524">
        <v>1013972</v>
      </c>
      <c r="D4" s="1752">
        <f>B4-C4</f>
        <v>837875</v>
      </c>
      <c r="E4" s="1524">
        <v>2133916</v>
      </c>
      <c r="F4" s="1752">
        <f>E4-C4</f>
        <v>1119944</v>
      </c>
    </row>
    <row r="5" spans="1:6" ht="13.7" customHeight="1" x14ac:dyDescent="0.2">
      <c r="A5" s="715" t="s">
        <v>870</v>
      </c>
      <c r="B5" s="1750">
        <f>'Revenues 9-14'!D5</f>
        <v>370575</v>
      </c>
      <c r="C5" s="585">
        <v>202867</v>
      </c>
      <c r="D5" s="1753">
        <f t="shared" ref="D5:D18" si="0">B5-C5</f>
        <v>167708</v>
      </c>
      <c r="E5" s="585">
        <v>426933</v>
      </c>
      <c r="F5" s="1753">
        <f>E5-C5</f>
        <v>224066</v>
      </c>
    </row>
    <row r="6" spans="1:6" ht="13.7" customHeight="1" x14ac:dyDescent="0.2">
      <c r="A6" s="715" t="s">
        <v>411</v>
      </c>
      <c r="B6" s="1750">
        <f>'Revenues 9-14'!E5</f>
        <v>643179</v>
      </c>
      <c r="C6" s="585">
        <v>355017</v>
      </c>
      <c r="D6" s="1753">
        <f t="shared" si="0"/>
        <v>288162</v>
      </c>
      <c r="E6" s="585">
        <v>747099</v>
      </c>
      <c r="F6" s="1753">
        <f t="shared" ref="F6:F18" si="1">E6-C6</f>
        <v>392082</v>
      </c>
    </row>
    <row r="7" spans="1:6" ht="13.7" customHeight="1" x14ac:dyDescent="0.2">
      <c r="A7" s="715" t="s">
        <v>155</v>
      </c>
      <c r="B7" s="1750">
        <f>'Revenues 9-14'!F5</f>
        <v>148231</v>
      </c>
      <c r="C7" s="585">
        <v>81147</v>
      </c>
      <c r="D7" s="1753">
        <f t="shared" si="0"/>
        <v>67084</v>
      </c>
      <c r="E7" s="585">
        <v>170773</v>
      </c>
      <c r="F7" s="1753">
        <f t="shared" si="1"/>
        <v>89626</v>
      </c>
    </row>
    <row r="8" spans="1:6" ht="13.7" customHeight="1" x14ac:dyDescent="0.2">
      <c r="A8" s="715" t="s">
        <v>1179</v>
      </c>
      <c r="B8" s="1750">
        <f>'Revenues 9-14'!G5</f>
        <v>44227</v>
      </c>
      <c r="C8" s="585">
        <v>23760</v>
      </c>
      <c r="D8" s="1753">
        <f t="shared" si="0"/>
        <v>20467</v>
      </c>
      <c r="E8" s="585">
        <v>50002</v>
      </c>
      <c r="F8" s="1753">
        <f t="shared" si="1"/>
        <v>26242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37059</v>
      </c>
      <c r="C10" s="585">
        <v>20287</v>
      </c>
      <c r="D10" s="1753">
        <f t="shared" si="0"/>
        <v>16772</v>
      </c>
      <c r="E10" s="585">
        <v>42693</v>
      </c>
      <c r="F10" s="1753">
        <f t="shared" si="1"/>
        <v>22406</v>
      </c>
    </row>
    <row r="11" spans="1:6" x14ac:dyDescent="0.2">
      <c r="A11" s="715" t="s">
        <v>409</v>
      </c>
      <c r="B11" s="1750">
        <f>'Revenues 9-14'!J5</f>
        <v>454137</v>
      </c>
      <c r="C11" s="585">
        <v>249463</v>
      </c>
      <c r="D11" s="1753">
        <f t="shared" si="0"/>
        <v>204674</v>
      </c>
      <c r="E11" s="585">
        <v>524999</v>
      </c>
      <c r="F11" s="1753">
        <f t="shared" si="1"/>
        <v>275536</v>
      </c>
    </row>
    <row r="12" spans="1:6" ht="13.7" customHeight="1" x14ac:dyDescent="0.2">
      <c r="A12" s="715" t="s">
        <v>157</v>
      </c>
      <c r="B12" s="1750">
        <f>'Revenues 9-14'!K5</f>
        <v>37059</v>
      </c>
      <c r="C12" s="585">
        <v>20287</v>
      </c>
      <c r="D12" s="1753">
        <f t="shared" si="0"/>
        <v>16772</v>
      </c>
      <c r="E12" s="585">
        <v>42693</v>
      </c>
      <c r="F12" s="1753">
        <f t="shared" si="1"/>
        <v>22406</v>
      </c>
    </row>
    <row r="13" spans="1:6" ht="13.7" customHeight="1" x14ac:dyDescent="0.2">
      <c r="A13" s="715" t="s">
        <v>936</v>
      </c>
      <c r="B13" s="1750">
        <f>SUM('Revenues 9-14'!C6:D6)</f>
        <v>37059</v>
      </c>
      <c r="C13" s="585">
        <v>20287</v>
      </c>
      <c r="D13" s="1753">
        <f t="shared" si="0"/>
        <v>16772</v>
      </c>
      <c r="E13" s="585">
        <v>42693</v>
      </c>
      <c r="F13" s="1753">
        <f t="shared" si="1"/>
        <v>22406</v>
      </c>
    </row>
    <row r="14" spans="1:6" ht="13.7" customHeight="1" x14ac:dyDescent="0.2">
      <c r="A14" s="715" t="s">
        <v>410</v>
      </c>
      <c r="B14" s="1750">
        <f>SUM('Revenues 9-14'!C7:D7,'Revenues 9-14'!F7:H7)</f>
        <v>29646</v>
      </c>
      <c r="C14" s="585">
        <v>16230</v>
      </c>
      <c r="D14" s="1753">
        <f t="shared" si="0"/>
        <v>13416</v>
      </c>
      <c r="E14" s="585">
        <v>34155</v>
      </c>
      <c r="F14" s="1753">
        <f t="shared" si="1"/>
        <v>17925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132679</v>
      </c>
      <c r="C16" s="585">
        <v>71275</v>
      </c>
      <c r="D16" s="1753">
        <f t="shared" si="0"/>
        <v>61404</v>
      </c>
      <c r="E16" s="585">
        <v>149999</v>
      </c>
      <c r="F16" s="1753">
        <f t="shared" si="1"/>
        <v>78724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3785698</v>
      </c>
      <c r="C19" s="1751">
        <f>SUM(C4:C18)</f>
        <v>2074592</v>
      </c>
      <c r="D19" s="1751">
        <f>SUM(D4:D18)</f>
        <v>1711106</v>
      </c>
      <c r="E19" s="1751">
        <f>SUM(E4:E18)</f>
        <v>4365955</v>
      </c>
      <c r="F19" s="1751">
        <f>SUM(F4:F18)</f>
        <v>2291363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43137</v>
      </c>
      <c r="C31" s="734">
        <v>2850000</v>
      </c>
      <c r="D31" s="735">
        <v>4</v>
      </c>
      <c r="E31" s="734">
        <v>2850000</v>
      </c>
      <c r="F31" s="734"/>
      <c r="G31" s="734"/>
      <c r="H31" s="734">
        <v>613000</v>
      </c>
      <c r="I31" s="1756">
        <f>((E31+F31)-H31)+G31</f>
        <v>2237000</v>
      </c>
      <c r="J31" s="734">
        <v>2237000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2850000</v>
      </c>
      <c r="D49" s="745"/>
      <c r="E49" s="1756">
        <f t="shared" ref="E49:J49" si="2">SUM(E31:E48)</f>
        <v>2850000</v>
      </c>
      <c r="F49" s="1756">
        <f t="shared" si="2"/>
        <v>0</v>
      </c>
      <c r="G49" s="1756">
        <f t="shared" si="2"/>
        <v>0</v>
      </c>
      <c r="H49" s="1756">
        <f t="shared" si="2"/>
        <v>613000</v>
      </c>
      <c r="I49" s="1756">
        <f t="shared" si="2"/>
        <v>2237000</v>
      </c>
      <c r="J49" s="1756">
        <f t="shared" si="2"/>
        <v>2237000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48"/>
  <sheetViews>
    <sheetView showGridLines="0" defaultGridColor="0" colorId="8" zoomScale="110" zoomScaleNormal="110" workbookViewId="0">
      <selection activeCell="A15" sqref="A15:E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29646</v>
      </c>
      <c r="I5" s="772"/>
      <c r="J5" s="773"/>
      <c r="K5" s="773"/>
    </row>
    <row r="6" spans="1:11" x14ac:dyDescent="0.2">
      <c r="A6" s="774" t="s">
        <v>720</v>
      </c>
      <c r="B6" s="775"/>
      <c r="C6" s="775"/>
      <c r="D6" s="775"/>
      <c r="E6" s="776"/>
      <c r="F6" s="777" t="s">
        <v>849</v>
      </c>
      <c r="G6" s="764"/>
      <c r="H6" s="764">
        <v>445</v>
      </c>
      <c r="I6" s="764"/>
      <c r="J6" s="765"/>
      <c r="K6" s="765">
        <v>168</v>
      </c>
    </row>
    <row r="7" spans="1:11" x14ac:dyDescent="0.2">
      <c r="A7" s="778" t="s">
        <v>246</v>
      </c>
      <c r="B7" s="779"/>
      <c r="C7" s="779"/>
      <c r="D7" s="779"/>
      <c r="E7" s="780"/>
      <c r="F7" s="770" t="s">
        <v>850</v>
      </c>
      <c r="G7" s="767"/>
      <c r="H7" s="767"/>
      <c r="I7" s="767"/>
      <c r="J7" s="781"/>
      <c r="K7" s="765">
        <v>2931</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8293</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30091</v>
      </c>
      <c r="I12" s="1758">
        <f>SUM(I5:I11)</f>
        <v>0</v>
      </c>
      <c r="J12" s="1758">
        <f>SUM(J5:J11)</f>
        <v>0</v>
      </c>
      <c r="K12" s="1758">
        <f>SUM(K5:K11)</f>
        <v>11392</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30091</v>
      </c>
      <c r="I14" s="771"/>
      <c r="J14" s="773"/>
      <c r="K14" s="765">
        <v>11392</v>
      </c>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30091</v>
      </c>
      <c r="I23" s="1758">
        <f>SUM(I14:I16,I21,I22)</f>
        <v>0</v>
      </c>
      <c r="J23" s="1758">
        <f>SUM(J14:J16,J21,J22)</f>
        <v>0</v>
      </c>
      <c r="K23" s="1758">
        <f>SUM(K14:K16,K21,K22)</f>
        <v>11392</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C9" sqref="C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88929</v>
      </c>
      <c r="D5" s="841"/>
      <c r="E5" s="841"/>
      <c r="F5" s="1760">
        <f>(C5+D5)-E5</f>
        <v>88929</v>
      </c>
      <c r="G5" s="837"/>
      <c r="H5" s="842"/>
      <c r="I5" s="842"/>
      <c r="J5" s="842"/>
      <c r="K5" s="793"/>
      <c r="L5" s="1769">
        <f>F5-K5</f>
        <v>88929</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6433206</v>
      </c>
      <c r="D8" s="844"/>
      <c r="E8" s="844"/>
      <c r="F8" s="1760">
        <f>(C8+D8)-E8</f>
        <v>6433206</v>
      </c>
      <c r="G8" s="843">
        <v>50</v>
      </c>
      <c r="H8" s="765">
        <v>3648613</v>
      </c>
      <c r="I8" s="765">
        <v>128664</v>
      </c>
      <c r="J8" s="765"/>
      <c r="K8" s="1769">
        <f>(H8+I8)-J8</f>
        <v>3777277</v>
      </c>
      <c r="L8" s="1769">
        <f>F8-K8</f>
        <v>2655929</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847546</v>
      </c>
      <c r="D10" s="846">
        <v>2025147</v>
      </c>
      <c r="E10" s="846"/>
      <c r="F10" s="1764">
        <f>(C10+D10)-E10</f>
        <v>2872693</v>
      </c>
      <c r="G10" s="843">
        <v>20</v>
      </c>
      <c r="H10" s="847">
        <v>516706</v>
      </c>
      <c r="I10" s="847">
        <v>143734</v>
      </c>
      <c r="J10" s="847"/>
      <c r="K10" s="1769">
        <f>(H10+I10)-J10</f>
        <v>660440</v>
      </c>
      <c r="L10" s="1769">
        <f>F10-K10</f>
        <v>2212253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636832</v>
      </c>
      <c r="D12" s="844">
        <v>78251</v>
      </c>
      <c r="E12" s="844">
        <v>148079</v>
      </c>
      <c r="F12" s="1760">
        <f>(C12+D12)-E12</f>
        <v>567004</v>
      </c>
      <c r="G12" s="843">
        <v>10</v>
      </c>
      <c r="H12" s="765">
        <v>425083</v>
      </c>
      <c r="I12" s="765">
        <v>71509</v>
      </c>
      <c r="J12" s="765">
        <v>148079</v>
      </c>
      <c r="K12" s="1769">
        <f>(H12+I12)-J12</f>
        <v>348513</v>
      </c>
      <c r="L12" s="1769">
        <f>F12-K12</f>
        <v>218491</v>
      </c>
    </row>
    <row r="13" spans="1:14" ht="14.25" thickTop="1" thickBot="1" x14ac:dyDescent="0.25">
      <c r="A13" s="848" t="s">
        <v>1122</v>
      </c>
      <c r="B13" s="840">
        <v>252</v>
      </c>
      <c r="C13" s="844">
        <v>820949</v>
      </c>
      <c r="D13" s="844">
        <v>51069</v>
      </c>
      <c r="E13" s="844"/>
      <c r="F13" s="1760">
        <f>(C13+D13)-E13</f>
        <v>872018</v>
      </c>
      <c r="G13" s="843">
        <v>5</v>
      </c>
      <c r="H13" s="765">
        <v>630873</v>
      </c>
      <c r="I13" s="765">
        <v>68423</v>
      </c>
      <c r="J13" s="765"/>
      <c r="K13" s="1769">
        <f>(H13+I13)-J13</f>
        <v>699296</v>
      </c>
      <c r="L13" s="1769">
        <f>F13-K13</f>
        <v>172722</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8827462</v>
      </c>
      <c r="D16" s="1760">
        <f>SUM(D3,D5:D6,D8:D10,D12:D15)</f>
        <v>2154467</v>
      </c>
      <c r="E16" s="1760">
        <f>SUM(E3,E5:E6,E8:E10,E12:E15)</f>
        <v>148079</v>
      </c>
      <c r="F16" s="1760">
        <f>SUM(F3,F5:F6,F8:F10,F12:F15)</f>
        <v>10833850</v>
      </c>
      <c r="G16" s="843"/>
      <c r="H16" s="1760">
        <f>SUM(H3,H6,H8:H10,H12:H14,)</f>
        <v>5221275</v>
      </c>
      <c r="I16" s="1760">
        <f>SUM(I3,I6,I8:I10,I12:I14,)</f>
        <v>412330</v>
      </c>
      <c r="J16" s="1760">
        <f>SUM(J3,J6,J8:J10,J12:J14,)</f>
        <v>148079</v>
      </c>
      <c r="K16" s="1760">
        <f>(H16+I16)-J16</f>
        <v>5485526</v>
      </c>
      <c r="L16" s="1760">
        <f>F16-K16</f>
        <v>5348324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412330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selection activeCell="B20" sqref="B2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4601566</v>
      </c>
      <c r="G8" s="865"/>
    </row>
    <row r="9" spans="1:7" x14ac:dyDescent="0.2">
      <c r="A9" s="869" t="s">
        <v>460</v>
      </c>
      <c r="B9" s="870" t="s">
        <v>1877</v>
      </c>
      <c r="C9" s="871"/>
      <c r="D9" s="869" t="s">
        <v>501</v>
      </c>
      <c r="E9" s="868"/>
      <c r="F9" s="1909">
        <f>'Expenditures 15-22'!K151</f>
        <v>486680</v>
      </c>
      <c r="G9" s="872"/>
    </row>
    <row r="10" spans="1:7" x14ac:dyDescent="0.2">
      <c r="A10" s="869" t="s">
        <v>499</v>
      </c>
      <c r="B10" s="870" t="s">
        <v>1878</v>
      </c>
      <c r="C10" s="871"/>
      <c r="D10" s="869" t="s">
        <v>501</v>
      </c>
      <c r="E10" s="868"/>
      <c r="F10" s="1909">
        <f>'Expenditures 15-22'!K174</f>
        <v>703784</v>
      </c>
      <c r="G10" s="872"/>
    </row>
    <row r="11" spans="1:7" x14ac:dyDescent="0.2">
      <c r="A11" s="869" t="s">
        <v>461</v>
      </c>
      <c r="B11" s="870" t="s">
        <v>1879</v>
      </c>
      <c r="C11" s="871"/>
      <c r="D11" s="869" t="s">
        <v>501</v>
      </c>
      <c r="E11" s="868"/>
      <c r="F11" s="1909">
        <f>'Expenditures 15-22'!K210</f>
        <v>301753</v>
      </c>
      <c r="G11" s="872"/>
    </row>
    <row r="12" spans="1:7" x14ac:dyDescent="0.2">
      <c r="A12" s="869" t="s">
        <v>462</v>
      </c>
      <c r="B12" s="870" t="s">
        <v>1880</v>
      </c>
      <c r="C12" s="871"/>
      <c r="D12" s="869" t="s">
        <v>501</v>
      </c>
      <c r="E12" s="868"/>
      <c r="F12" s="1909">
        <f>'Expenditures 15-22'!K295</f>
        <v>168479</v>
      </c>
      <c r="G12" s="872"/>
    </row>
    <row r="13" spans="1:7" x14ac:dyDescent="0.2">
      <c r="A13" s="869" t="s">
        <v>106</v>
      </c>
      <c r="B13" s="870" t="s">
        <v>1881</v>
      </c>
      <c r="C13" s="871"/>
      <c r="D13" s="869" t="s">
        <v>501</v>
      </c>
      <c r="E13" s="868"/>
      <c r="F13" s="1909">
        <f>'Expenditures 15-22'!K342</f>
        <v>504279</v>
      </c>
      <c r="G13" s="873"/>
    </row>
    <row r="14" spans="1:7" ht="12" customHeight="1" thickBot="1" x14ac:dyDescent="0.25">
      <c r="A14" s="1770"/>
      <c r="B14" s="1771"/>
      <c r="C14" s="1772"/>
      <c r="D14" s="1773" t="s">
        <v>501</v>
      </c>
      <c r="E14" s="1774" t="s">
        <v>958</v>
      </c>
      <c r="F14" s="1775">
        <f>SUM(F8:F13)</f>
        <v>6766541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8546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106051</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196372</v>
      </c>
      <c r="G53" s="865"/>
    </row>
    <row r="54" spans="1:7" x14ac:dyDescent="0.2">
      <c r="A54" s="869" t="s">
        <v>459</v>
      </c>
      <c r="B54" s="869" t="s">
        <v>1476</v>
      </c>
      <c r="C54" s="889" t="s">
        <v>982</v>
      </c>
      <c r="D54" s="885" t="s">
        <v>1095</v>
      </c>
      <c r="E54" s="868"/>
      <c r="F54" s="1913">
        <f>'Expenditures 15-22'!G114</f>
        <v>63393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5424</v>
      </c>
      <c r="G57" s="865"/>
    </row>
    <row r="58" spans="1:7" x14ac:dyDescent="0.2">
      <c r="A58" s="869" t="s">
        <v>460</v>
      </c>
      <c r="B58" s="869" t="s">
        <v>1883</v>
      </c>
      <c r="C58" s="886" t="s">
        <v>982</v>
      </c>
      <c r="D58" s="885" t="s">
        <v>1095</v>
      </c>
      <c r="E58" s="868"/>
      <c r="F58" s="1915">
        <f>'Expenditures 15-22'!G151</f>
        <v>7920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613000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51069</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3775</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1055550</v>
      </c>
      <c r="G76" s="865"/>
    </row>
    <row r="77" spans="1:8" s="893" customFormat="1" ht="12" customHeight="1" thickTop="1" thickBot="1" x14ac:dyDescent="0.25">
      <c r="A77" s="1779"/>
      <c r="B77" s="1776"/>
      <c r="C77" s="1772"/>
      <c r="D77" s="1777" t="s">
        <v>1900</v>
      </c>
      <c r="E77" s="1774"/>
      <c r="F77" s="1780">
        <f>(F14-F76)</f>
        <v>5710991</v>
      </c>
      <c r="G77" s="869"/>
    </row>
    <row r="78" spans="1:8" s="893" customFormat="1" ht="12" customHeight="1" thickTop="1" x14ac:dyDescent="0.2">
      <c r="A78" s="1781"/>
      <c r="B78" s="1776"/>
      <c r="C78" s="1772"/>
      <c r="D78" s="1777" t="s">
        <v>2062</v>
      </c>
      <c r="E78" s="1774"/>
      <c r="F78" s="898">
        <v>575</v>
      </c>
      <c r="G78" s="899"/>
      <c r="H78" s="869"/>
    </row>
    <row r="79" spans="1:8" s="893" customFormat="1" ht="12" customHeight="1" thickBot="1" x14ac:dyDescent="0.25">
      <c r="A79" s="1782"/>
      <c r="B79" s="1776"/>
      <c r="C79" s="1772"/>
      <c r="D79" s="1777" t="s">
        <v>1901</v>
      </c>
      <c r="E79" s="1774" t="s">
        <v>958</v>
      </c>
      <c r="F79" s="1783">
        <f>IF(F78&gt;0,F77/F78," Complete Line 78")</f>
        <v>9932.1582608695644</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92395</v>
      </c>
      <c r="G94" s="912"/>
    </row>
    <row r="95" spans="1:7" x14ac:dyDescent="0.2">
      <c r="A95" s="908" t="s">
        <v>140</v>
      </c>
      <c r="B95" s="908" t="s">
        <v>175</v>
      </c>
      <c r="C95" s="910">
        <v>1700</v>
      </c>
      <c r="D95" s="918" t="str">
        <f>'Revenues 9-14'!A82</f>
        <v>Total District/School Activity Income</v>
      </c>
      <c r="E95" s="906"/>
      <c r="F95" s="1789">
        <f>SUM('Revenues 9-14'!C82,'Revenues 9-14'!D82)</f>
        <v>42061</v>
      </c>
      <c r="G95" s="912"/>
    </row>
    <row r="96" spans="1:7" x14ac:dyDescent="0.2">
      <c r="A96" s="908" t="s">
        <v>459</v>
      </c>
      <c r="B96" s="908" t="s">
        <v>176</v>
      </c>
      <c r="C96" s="910">
        <f>'Revenues 9-14'!B84</f>
        <v>1811</v>
      </c>
      <c r="D96" s="911" t="str">
        <f>'Revenues 9-14'!A84</f>
        <v>Rentals - Regular Textbooks</v>
      </c>
      <c r="E96" s="906"/>
      <c r="F96" s="1789">
        <f>'Revenues 9-14'!C84</f>
        <v>22014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2440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19491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38789</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2327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8293</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167166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2248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47282</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142134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119969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19768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25305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23319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33748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148251</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957060</v>
      </c>
    </row>
    <row r="175" spans="1:7" ht="12" customHeight="1" x14ac:dyDescent="0.2">
      <c r="A175" s="1770"/>
      <c r="B175" s="1784"/>
      <c r="C175" s="1785"/>
      <c r="D175" s="1786" t="s">
        <v>2057</v>
      </c>
      <c r="E175" s="1787"/>
      <c r="F175" s="1789">
        <f>'PCTC-OEPP 27-28'!F77-F174</f>
        <v>4753931</v>
      </c>
    </row>
    <row r="176" spans="1:7" ht="12" customHeight="1" x14ac:dyDescent="0.2">
      <c r="A176" s="1770"/>
      <c r="B176" s="1784"/>
      <c r="C176" s="1785"/>
      <c r="D176" s="1786" t="s">
        <v>1817</v>
      </c>
      <c r="E176" s="1787"/>
      <c r="F176" s="1789">
        <f>'Cap Outlay Deprec 26'!I18</f>
        <v>412330</v>
      </c>
    </row>
    <row r="177" spans="1:7" ht="12" customHeight="1" x14ac:dyDescent="0.2">
      <c r="A177" s="1770"/>
      <c r="B177" s="1784"/>
      <c r="C177" s="1785"/>
      <c r="D177" s="1786" t="s">
        <v>2058</v>
      </c>
      <c r="E177" s="1787"/>
      <c r="F177" s="1789">
        <f>F175+F176</f>
        <v>5166261</v>
      </c>
    </row>
    <row r="178" spans="1:7" ht="12" customHeight="1" x14ac:dyDescent="0.2">
      <c r="A178" s="1770"/>
      <c r="B178" s="1790"/>
      <c r="C178" s="1785"/>
      <c r="D178" s="1786" t="str">
        <f>D78</f>
        <v>9 Month ADA from District Average Daily Attendance/Prior General State Aid Inquiry 2018-2019</v>
      </c>
      <c r="E178" s="1787"/>
      <c r="F178" s="1791">
        <f>'PCTC-OEPP 27-28'!F78</f>
        <v>575</v>
      </c>
      <c r="G178" s="930"/>
    </row>
    <row r="179" spans="1:7" ht="12" customHeight="1" thickBot="1" x14ac:dyDescent="0.25">
      <c r="A179" s="1770"/>
      <c r="B179" s="1790"/>
      <c r="C179" s="1785"/>
      <c r="D179" s="1786" t="s">
        <v>2059</v>
      </c>
      <c r="E179" s="1787" t="s">
        <v>1545</v>
      </c>
      <c r="F179" s="1792">
        <f>F177/F178</f>
        <v>8984.8017391304347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19" sqref="D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8" t="s">
        <v>2083</v>
      </c>
      <c r="B18" s="1939" t="s">
        <v>2084</v>
      </c>
      <c r="C18" s="1940" t="s">
        <v>2084</v>
      </c>
      <c r="D18" s="1844">
        <v>0</v>
      </c>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13" colorId="8" zoomScale="110" zoomScaleNormal="110" workbookViewId="0">
      <selection activeCell="A11" sqref="A11:D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v>19713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3430048</v>
      </c>
      <c r="F19" s="1799"/>
      <c r="G19" s="1801">
        <f>'Expenditures 15-22'!K33-SUM('Expenditures 15-22'!G33,'Expenditures 15-22'!I33)+'Expenditures 15-22'!D229</f>
        <v>3430048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130355</v>
      </c>
      <c r="F21" s="1802"/>
      <c r="G21" s="1805">
        <f>'Expenditures 15-22'!K42-SUM('Expenditures 15-22'!G42,'Expenditures 15-22'!I42)+'Expenditures 15-22'!K120-SUM('Expenditures 15-22'!G120,'Expenditures 15-22'!I120)+'Expenditures 15-22'!K180-SUM('Expenditures 15-22'!G180,'Expenditures 15-22'!I180)+'Expenditures 15-22'!D238</f>
        <v>130355</v>
      </c>
      <c r="H21" s="987"/>
      <c r="I21" s="162"/>
    </row>
    <row r="22" spans="1:9" s="668" customFormat="1" ht="12" customHeight="1" x14ac:dyDescent="0.2">
      <c r="A22" s="994" t="s">
        <v>564</v>
      </c>
      <c r="B22" s="995"/>
      <c r="C22" s="993">
        <v>2200</v>
      </c>
      <c r="D22" s="1802"/>
      <c r="E22" s="1804">
        <f>'Expenditures 15-22'!K47-SUM('Expenditures 15-22'!G47,'Expenditures 15-22'!I47)+'Expenditures 15-22'!D243</f>
        <v>81837</v>
      </c>
      <c r="F22" s="1802"/>
      <c r="G22" s="1805">
        <f>'Expenditures 15-22'!K47-SUM('Expenditures 15-22'!G47,'Expenditures 15-22'!I47)+'Expenditures 15-22'!D243</f>
        <v>81837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698494</v>
      </c>
      <c r="F23" s="1802"/>
      <c r="G23" s="1804">
        <f>'Expenditures 15-22'!K53-SUM('Expenditures 15-22'!G53,'Expenditures 15-22'!I53)+'Expenditures 15-22'!D257+'Expenditures 15-22'!K330-SUM('Expenditures 15-22'!G330,'Expenditures 15-22'!I330)</f>
        <v>698494</v>
      </c>
      <c r="H23" s="987"/>
      <c r="I23" s="162"/>
    </row>
    <row r="24" spans="1:9" s="668" customFormat="1" ht="12" customHeight="1" x14ac:dyDescent="0.2">
      <c r="A24" s="994" t="s">
        <v>566</v>
      </c>
      <c r="B24" s="995"/>
      <c r="C24" s="993">
        <v>2400</v>
      </c>
      <c r="D24" s="1802"/>
      <c r="E24" s="1804">
        <f>'Expenditures 15-22'!K57-SUM('Expenditures 15-22'!G57,'Expenditures 15-22'!I57)+'Expenditures 15-22'!D261</f>
        <v>375794</v>
      </c>
      <c r="F24" s="1802"/>
      <c r="G24" s="1805">
        <f>'Expenditures 15-22'!K57-SUM('Expenditures 15-22'!G57,'Expenditures 15-22'!I57)+'Expenditures 15-22'!D261</f>
        <v>375794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58841</v>
      </c>
      <c r="E27" s="1804">
        <f>E8</f>
        <v>0</v>
      </c>
      <c r="F27" s="1804">
        <f>'Expenditures 15-22'!K60-SUM('Expenditures 15-22'!G60,'Expenditures 15-22'!I60)+'Expenditures 15-22'!D264-E8</f>
        <v>58841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492174</v>
      </c>
      <c r="F28" s="1806">
        <f>'Expenditures 15-22'!K61-SUM('Expenditures 15-22'!G61,'Expenditures 15-22'!I61)+'Expenditures 15-22'!K124-SUM('Expenditures 15-22'!G124,'Expenditures 15-22'!I124)+'Expenditures 15-22'!D266-E9</f>
        <v>492174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262989</v>
      </c>
      <c r="F29" s="1802"/>
      <c r="G29" s="1805">
        <f>'Expenditures 15-22'!K62-SUM('Expenditures 15-22'!G62,'Expenditures 15-22'!I62)+'Expenditures 15-22'!K125-SUM('Expenditures 15-22'!G125,'Expenditures 15-22'!I125)+'Expenditures 15-22'!K182-SUM('Expenditures 15-22'!G182,'Expenditures 15-22'!I182)+'Expenditures 15-22'!D267</f>
        <v>262989</v>
      </c>
      <c r="H29" s="985"/>
    </row>
    <row r="30" spans="1:9" ht="12" customHeight="1" x14ac:dyDescent="0.2">
      <c r="A30" s="994" t="s">
        <v>100</v>
      </c>
      <c r="B30" s="997"/>
      <c r="C30" s="993">
        <v>2560</v>
      </c>
      <c r="D30" s="1802"/>
      <c r="E30" s="1804">
        <f>'Expenditures 15-22'!K63-SUM('Expenditures 15-22'!G63,'Expenditures 15-22'!I63)+'Expenditures 15-22'!D268-E10</f>
        <v>200194</v>
      </c>
      <c r="F30" s="1802"/>
      <c r="G30" s="1804">
        <f>'Expenditures 15-22'!K63-SUM('Expenditures 15-22'!G63,'Expenditures 15-22'!I63)+'Expenditures 15-22'!D268-E10</f>
        <v>200194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3721</v>
      </c>
      <c r="F38" s="1802"/>
      <c r="G38" s="1804">
        <f>'Expenditures 15-22'!K73-SUM('Expenditures 15-22'!G73,'Expenditures 15-22'!I73)+'Expenditures 15-22'!K128-SUM('Expenditures 15-22'!G128,'Expenditures 15-22'!I128)+'Expenditures 15-22'!K183-SUM('Expenditures 15-22'!G183,'Expenditures 15-22'!I183)+'Expenditures 15-22'!D278</f>
        <v>3721</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58841</v>
      </c>
      <c r="E41" s="1806">
        <f>SUM(E19:E40)</f>
        <v>5675606</v>
      </c>
      <c r="F41" s="1806">
        <f>SUM(F19:F39)</f>
        <v>551015</v>
      </c>
      <c r="G41" s="1806">
        <f>SUM(G19:G40)</f>
        <v>5183432</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58841</v>
      </c>
      <c r="F43" s="1807" t="s">
        <v>473</v>
      </c>
      <c r="G43" s="1808">
        <f>F41</f>
        <v>551015</v>
      </c>
    </row>
    <row r="44" spans="1:7" ht="12" customHeight="1" x14ac:dyDescent="0.2">
      <c r="A44" s="987"/>
      <c r="B44" s="162"/>
      <c r="C44" s="1001"/>
      <c r="D44" s="1807" t="s">
        <v>474</v>
      </c>
      <c r="E44" s="1808">
        <f>E41</f>
        <v>5675606</v>
      </c>
      <c r="F44" s="1807" t="s">
        <v>474</v>
      </c>
      <c r="G44" s="1808">
        <f>G41</f>
        <v>5183432</v>
      </c>
    </row>
    <row r="45" spans="1:7" ht="12" customHeight="1" x14ac:dyDescent="0.2">
      <c r="A45" s="987"/>
      <c r="B45" s="162"/>
      <c r="C45" s="162"/>
      <c r="D45" s="1809" t="s">
        <v>1006</v>
      </c>
      <c r="E45" s="1810">
        <f>(E43/E44)</f>
        <v>1.0367351081100415E-2</v>
      </c>
      <c r="F45" s="1809" t="s">
        <v>1006</v>
      </c>
      <c r="G45" s="1810">
        <f>(G43/G44)</f>
        <v>0.10630312117531396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topLeftCell="F1" zoomScale="110" zoomScaleNormal="110" workbookViewId="0">
      <selection activeCell="F23" sqref="F22:F2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3" style="1878" bestFit="1" customWidth="1"/>
    <col min="10" max="10" width="2.140625"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Polo CUSD 222</v>
      </c>
      <c r="D6" s="2308"/>
      <c r="E6" s="2308"/>
      <c r="F6" s="1852"/>
    </row>
    <row r="7" spans="1:10" ht="11.25" customHeight="1" thickBot="1" x14ac:dyDescent="0.3">
      <c r="A7" s="1850"/>
      <c r="B7" s="1851"/>
      <c r="C7" s="2309">
        <f>COVER!A13</f>
        <v>47071222026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2072</v>
      </c>
      <c r="D26" s="1865" t="s">
        <v>2072</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2072</v>
      </c>
      <c r="D31" s="1865" t="s">
        <v>2072</v>
      </c>
      <c r="E31" s="1868"/>
      <c r="F31" s="1867" t="s">
        <v>2086</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C12" sqref="C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Polo CUSD 222</v>
      </c>
      <c r="J6" s="2318"/>
      <c r="Q6" s="1664"/>
    </row>
    <row r="7" spans="1:17" x14ac:dyDescent="0.2">
      <c r="A7" s="2319" t="s">
        <v>869</v>
      </c>
      <c r="B7" s="2320"/>
      <c r="C7" s="2320"/>
      <c r="D7" s="2320"/>
      <c r="E7" s="2321"/>
      <c r="F7" s="1017"/>
      <c r="G7" s="1009"/>
      <c r="H7" s="1016" t="s">
        <v>372</v>
      </c>
      <c r="I7" s="2322">
        <f>COVER!A13</f>
        <v>47071222026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134455</v>
      </c>
      <c r="F12" s="1039"/>
      <c r="G12" s="1811">
        <f t="shared" ref="G12:G18" si="0">SUM(E12:F12)</f>
        <v>134455</v>
      </c>
      <c r="H12" s="1040">
        <v>132253</v>
      </c>
      <c r="I12" s="1039"/>
      <c r="J12" s="1811">
        <f t="shared" ref="J12:J18" si="1">SUM(H12:I12)</f>
        <v>132253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134455</v>
      </c>
      <c r="F19" s="1813">
        <f t="shared" si="2"/>
        <v>0</v>
      </c>
      <c r="G19" s="1813">
        <f t="shared" si="2"/>
        <v>134455</v>
      </c>
      <c r="H19" s="1813">
        <f t="shared" si="2"/>
        <v>132253</v>
      </c>
      <c r="I19" s="1813">
        <f t="shared" si="2"/>
        <v>0</v>
      </c>
      <c r="J19" s="1813">
        <f t="shared" si="2"/>
        <v>132253</v>
      </c>
    </row>
    <row r="20" spans="1:10" ht="13.5" thickTop="1" x14ac:dyDescent="0.2">
      <c r="A20" s="1035">
        <v>9</v>
      </c>
      <c r="B20" s="2329" t="s">
        <v>1981</v>
      </c>
      <c r="C20" s="2329"/>
      <c r="D20" s="2330"/>
      <c r="E20" s="1046"/>
      <c r="F20" s="1046"/>
      <c r="G20" s="1046"/>
      <c r="H20" s="1046"/>
      <c r="I20" s="1046"/>
      <c r="J20" s="1814">
        <f>IF(AND(G19&gt;0,J19&gt;0),(((J19-G19)/G19)),"Enter Budget Data")</f>
        <v>-1.6377226581384106E-2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Polo CUSD 222</v>
      </c>
    </row>
    <row r="65" spans="2:2" x14ac:dyDescent="0.2">
      <c r="B65" s="1070">
        <f>COVER!A13</f>
        <v>47071222026</v>
      </c>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50177" r:id="rId4">
          <objectPr defaultSize="0" r:id="rId5">
            <anchor moveWithCells="1">
              <from>
                <xdr:col>1</xdr:col>
                <xdr:colOff>542925</xdr:colOff>
                <xdr:row>3</xdr:row>
                <xdr:rowOff>19050</xdr:rowOff>
              </from>
              <to>
                <xdr:col>1</xdr:col>
                <xdr:colOff>1457325</xdr:colOff>
                <xdr:row>7</xdr:row>
                <xdr:rowOff>57150</xdr:rowOff>
              </to>
            </anchor>
          </objectPr>
        </oleObject>
      </mc:Choice>
      <mc:Fallback>
        <oleObject progId="Acrobat.Document.2015"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J7" zoomScale="110" zoomScaleNormal="110" workbookViewId="0">
      <selection activeCell="N14" sqref="N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4473391</v>
      </c>
      <c r="C8" s="1815">
        <f>'Acct Summary 7-8'!D8</f>
        <v>403182</v>
      </c>
      <c r="D8" s="1815">
        <f>'Acct Summary 7-8'!F8</f>
        <v>317191</v>
      </c>
      <c r="E8" s="1815">
        <f>'Acct Summary 7-8'!I8</f>
        <v>40012</v>
      </c>
      <c r="F8" s="1815">
        <f>SUM(B8:E8)</f>
        <v>5233776</v>
      </c>
    </row>
    <row r="9" spans="1:8" s="1079" customFormat="1" ht="14.25" customHeight="1" thickBot="1" x14ac:dyDescent="0.25">
      <c r="A9" s="1078" t="s">
        <v>1369</v>
      </c>
      <c r="B9" s="1816">
        <f>'Acct Summary 7-8'!C17</f>
        <v>4601566</v>
      </c>
      <c r="C9" s="1816">
        <f>'Acct Summary 7-8'!D17</f>
        <v>486680</v>
      </c>
      <c r="D9" s="1816">
        <f>'Acct Summary 7-8'!F17</f>
        <v>301753</v>
      </c>
      <c r="E9" s="1815"/>
      <c r="F9" s="1815">
        <f>SUM(B9:E9)</f>
        <v>5389999</v>
      </c>
    </row>
    <row r="10" spans="1:8" s="1079" customFormat="1" ht="14.25" thickTop="1" thickBot="1" x14ac:dyDescent="0.25">
      <c r="A10" s="1080" t="s">
        <v>1370</v>
      </c>
      <c r="B10" s="1817">
        <f>(B8-B9)</f>
        <v>-128175</v>
      </c>
      <c r="C10" s="1817">
        <f>(C8-C9)</f>
        <v>-83498</v>
      </c>
      <c r="D10" s="1817">
        <f>(D8-D9)</f>
        <v>15438</v>
      </c>
      <c r="E10" s="1816">
        <f>(E8-E9)</f>
        <v>40012</v>
      </c>
      <c r="F10" s="1818">
        <f>SUM(F8-F9)</f>
        <v>-156223</v>
      </c>
    </row>
    <row r="11" spans="1:8" s="1079" customFormat="1" ht="14.25" thickTop="1" thickBot="1" x14ac:dyDescent="0.25">
      <c r="A11" s="1081" t="s">
        <v>1985</v>
      </c>
      <c r="B11" s="1819">
        <f>'Acct Summary 7-8'!C81</f>
        <v>2624608</v>
      </c>
      <c r="C11" s="1819">
        <f>'Acct Summary 7-8'!D81</f>
        <v>259537</v>
      </c>
      <c r="D11" s="1819">
        <f>'Acct Summary 7-8'!F81</f>
        <v>597533</v>
      </c>
      <c r="E11" s="1819">
        <f>'Acct Summary 7-8'!I81</f>
        <v>1786578</v>
      </c>
      <c r="F11" s="1820">
        <f>SUM(B11:E11)</f>
        <v>5268256</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X29" sqref="X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47071222026</v>
      </c>
    </row>
    <row r="3" spans="1:2" x14ac:dyDescent="0.2">
      <c r="A3" t="s">
        <v>956</v>
      </c>
      <c r="B3" s="138" t="str">
        <f>COVER!A15</f>
        <v>OGLE</v>
      </c>
    </row>
    <row r="4" spans="1:2" x14ac:dyDescent="0.2">
      <c r="A4" t="s">
        <v>1007</v>
      </c>
      <c r="B4" s="138" t="str">
        <f>COVER!A17</f>
        <v>Polo CUSD 222</v>
      </c>
    </row>
    <row r="5" spans="1:2" x14ac:dyDescent="0.2">
      <c r="A5" t="s">
        <v>704</v>
      </c>
      <c r="B5" s="138" t="str">
        <f>COVER!A38</f>
        <v>CHRIS RADEMACHER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066-004023</v>
      </c>
    </row>
    <row r="16" spans="1:2" x14ac:dyDescent="0.2">
      <c r="A16" t="s">
        <v>422</v>
      </c>
      <c r="B16" s="138" t="str">
        <f>COVER!T13</f>
        <v>Wipfli LLP</v>
      </c>
    </row>
    <row r="17" spans="1:2" x14ac:dyDescent="0.2">
      <c r="A17" t="s">
        <v>884</v>
      </c>
      <c r="B17" s="138">
        <f>COVER!T15</f>
        <v>0</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2811312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2817675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193067</v>
      </c>
      <c r="C91" s="2" t="s">
        <v>573</v>
      </c>
      <c r="D91" s="2" t="str">
        <f t="shared" si="0"/>
        <v>Error?</v>
      </c>
    </row>
    <row r="92" spans="1:4" x14ac:dyDescent="0.2">
      <c r="A92" s="5">
        <v>31</v>
      </c>
      <c r="B92" s="138">
        <f>'Assets-Liab 5-6'!C39</f>
        <v>2554608</v>
      </c>
      <c r="D92" s="2" t="str">
        <f t="shared" si="0"/>
        <v>Error?</v>
      </c>
    </row>
    <row r="93" spans="1:4" x14ac:dyDescent="0.2">
      <c r="A93" s="5">
        <v>32</v>
      </c>
      <c r="B93" s="138">
        <f>'Assets-Liab 5-6'!C41</f>
        <v>2817675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259537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259537</v>
      </c>
      <c r="D123" s="2" t="str">
        <f t="shared" si="0"/>
        <v>Error?</v>
      </c>
    </row>
    <row r="124" spans="1:4" x14ac:dyDescent="0.2">
      <c r="A124" s="5">
        <v>63</v>
      </c>
      <c r="B124" s="138">
        <f>'Assets-Liab 5-6'!D41</f>
        <v>259537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174141</v>
      </c>
      <c r="C139" s="2" t="s">
        <v>573</v>
      </c>
      <c r="D139" s="2" t="str">
        <f t="shared" si="1"/>
        <v>Error?</v>
      </c>
    </row>
    <row r="140" spans="1:4" x14ac:dyDescent="0.2">
      <c r="A140" s="5">
        <v>79</v>
      </c>
      <c r="B140" s="138">
        <f>'Assets-Liab 5-6'!E39</f>
        <v>-174141</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416815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597533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597533</v>
      </c>
      <c r="D170" s="2" t="str">
        <f t="shared" si="1"/>
        <v>Error?</v>
      </c>
    </row>
    <row r="171" spans="1:4" x14ac:dyDescent="0.2">
      <c r="A171" s="5">
        <v>110</v>
      </c>
      <c r="B171" s="138">
        <f>'Assets-Liab 5-6'!F41</f>
        <v>597533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164386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484511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212259</v>
      </c>
      <c r="D189" s="2" t="str">
        <f t="shared" si="1"/>
        <v>Error?</v>
      </c>
    </row>
    <row r="190" spans="1:4" x14ac:dyDescent="0.2">
      <c r="A190" s="5">
        <v>129</v>
      </c>
      <c r="B190" s="138">
        <f>'Assets-Liab 5-6'!G41</f>
        <v>484511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88929</v>
      </c>
      <c r="D273" s="2" t="str">
        <f t="shared" si="3"/>
        <v>Error?</v>
      </c>
    </row>
    <row r="274" spans="1:4" x14ac:dyDescent="0.2">
      <c r="A274" s="5">
        <v>213</v>
      </c>
      <c r="B274" s="138">
        <f>'Assets-Liab 5-6'!M17</f>
        <v>9305899</v>
      </c>
      <c r="D274" s="2" t="str">
        <f t="shared" si="3"/>
        <v>Error?</v>
      </c>
    </row>
    <row r="275" spans="1:4" x14ac:dyDescent="0.2">
      <c r="A275" s="5">
        <v>214</v>
      </c>
      <c r="B275" s="138">
        <f>'Assets-Liab 5-6'!M18</f>
        <v>1439022</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10833850</v>
      </c>
      <c r="C279" s="2" t="s">
        <v>573</v>
      </c>
      <c r="D279" s="2" t="str">
        <f t="shared" si="3"/>
        <v>Error?</v>
      </c>
    </row>
    <row r="280" spans="1:4" x14ac:dyDescent="0.2">
      <c r="A280" s="5">
        <v>219</v>
      </c>
      <c r="B280" s="138">
        <f>'Assets-Liab 5-6'!M40</f>
        <v>10833850</v>
      </c>
      <c r="D280" s="2" t="str">
        <f t="shared" si="3"/>
        <v>Error?</v>
      </c>
    </row>
    <row r="281" spans="1:4" x14ac:dyDescent="0.2">
      <c r="A281" s="5">
        <v>220</v>
      </c>
      <c r="B281" s="138">
        <f>'Assets-Liab 5-6'!M41</f>
        <v>10833850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2237000</v>
      </c>
      <c r="D283" s="2" t="str">
        <f t="shared" si="3"/>
        <v>Error?</v>
      </c>
    </row>
    <row r="284" spans="1:4" x14ac:dyDescent="0.2">
      <c r="A284" s="5">
        <v>223</v>
      </c>
      <c r="B284" s="138">
        <f>'Assets-Liab 5-6'!N23</f>
        <v>2237000</v>
      </c>
      <c r="C284" s="2" t="s">
        <v>573</v>
      </c>
      <c r="D284" s="2" t="str">
        <f t="shared" si="3"/>
        <v>Error?</v>
      </c>
    </row>
    <row r="285" spans="1:4" x14ac:dyDescent="0.2">
      <c r="A285" s="5">
        <v>224</v>
      </c>
      <c r="B285" s="138">
        <f>'Assets-Liab 5-6'!N36</f>
        <v>2237000</v>
      </c>
      <c r="D285" s="2" t="str">
        <f t="shared" si="3"/>
        <v>Error?</v>
      </c>
    </row>
    <row r="286" spans="1:4" x14ac:dyDescent="0.2">
      <c r="A286" s="10">
        <v>225</v>
      </c>
      <c r="D286" s="2" t="str">
        <f t="shared" si="3"/>
        <v>OK</v>
      </c>
    </row>
    <row r="287" spans="1:4" x14ac:dyDescent="0.2">
      <c r="A287" s="5">
        <v>226</v>
      </c>
      <c r="B287" s="138">
        <f>'Assets-Liab 5-6'!N37</f>
        <v>2237000</v>
      </c>
      <c r="C287" s="2" t="s">
        <v>573</v>
      </c>
      <c r="D287" s="2" t="str">
        <f t="shared" si="3"/>
        <v>Error?</v>
      </c>
    </row>
    <row r="288" spans="1:4" x14ac:dyDescent="0.2">
      <c r="A288" s="5">
        <v>227</v>
      </c>
      <c r="B288" s="138">
        <f>'Assets-Liab 5-6'!N41</f>
        <v>2237000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1948671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143544</v>
      </c>
      <c r="D717" s="2" t="str">
        <f t="shared" si="10"/>
        <v>Error?</v>
      </c>
    </row>
    <row r="718" spans="1:4" x14ac:dyDescent="0.2">
      <c r="A718" s="5">
        <v>657</v>
      </c>
      <c r="B718" s="138">
        <f>'Expenditures 15-22'!C14</f>
        <v>134155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2655589</v>
      </c>
      <c r="C720" s="2" t="s">
        <v>573</v>
      </c>
      <c r="D720" s="2" t="str">
        <f t="shared" si="10"/>
        <v>Error?</v>
      </c>
    </row>
    <row r="721" spans="1:4" x14ac:dyDescent="0.2">
      <c r="A721" s="5">
        <v>660</v>
      </c>
      <c r="B721" s="138">
        <f>'Expenditures 15-22'!C36</f>
        <v>26350</v>
      </c>
      <c r="D721" s="2" t="str">
        <f t="shared" si="10"/>
        <v>Error?</v>
      </c>
    </row>
    <row r="722" spans="1:4" x14ac:dyDescent="0.2">
      <c r="A722" s="5">
        <v>661</v>
      </c>
      <c r="B722" s="138">
        <f>'Expenditures 15-22'!C37</f>
        <v>62121</v>
      </c>
      <c r="D722" s="2" t="str">
        <f t="shared" si="10"/>
        <v>Error?</v>
      </c>
    </row>
    <row r="723" spans="1:4" x14ac:dyDescent="0.2">
      <c r="A723" s="5">
        <v>662</v>
      </c>
      <c r="B723" s="138">
        <f>'Expenditures 15-22'!C38</f>
        <v>18189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177</v>
      </c>
      <c r="D726" s="2" t="str">
        <f t="shared" si="10"/>
        <v>Error?</v>
      </c>
    </row>
    <row r="727" spans="1:4" x14ac:dyDescent="0.2">
      <c r="A727" s="5">
        <v>666</v>
      </c>
      <c r="B727" s="138">
        <f>'Expenditures 15-22'!C42</f>
        <v>106837</v>
      </c>
      <c r="C727" s="2" t="s">
        <v>573</v>
      </c>
      <c r="D727" s="2" t="str">
        <f t="shared" si="10"/>
        <v>Error?</v>
      </c>
    </row>
    <row r="728" spans="1:4" x14ac:dyDescent="0.2">
      <c r="A728" s="5">
        <v>667</v>
      </c>
      <c r="B728" s="138">
        <f>'Expenditures 15-22'!C44</f>
        <v>21683</v>
      </c>
      <c r="D728" s="2" t="str">
        <f t="shared" si="10"/>
        <v>Error?</v>
      </c>
    </row>
    <row r="729" spans="1:4" x14ac:dyDescent="0.2">
      <c r="A729" s="5">
        <v>668</v>
      </c>
      <c r="B729" s="138">
        <f>'Expenditures 15-22'!C45</f>
        <v>26174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47857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106855</v>
      </c>
      <c r="D733" s="2" t="str">
        <f t="shared" si="10"/>
        <v>Error?</v>
      </c>
    </row>
    <row r="734" spans="1:4" x14ac:dyDescent="0.2">
      <c r="A734" s="5">
        <v>673</v>
      </c>
      <c r="B734" s="138">
        <f>'Expenditures 15-22'!C53</f>
        <v>106855</v>
      </c>
      <c r="C734" s="2" t="s">
        <v>573</v>
      </c>
      <c r="D734" s="2" t="str">
        <f t="shared" si="10"/>
        <v>Error?</v>
      </c>
    </row>
    <row r="735" spans="1:4" x14ac:dyDescent="0.2">
      <c r="A735" s="5">
        <v>674</v>
      </c>
      <c r="B735" s="138">
        <f>'Expenditures 15-22'!C55</f>
        <v>299316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299316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48395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55487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103882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664747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3320336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354922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37059</v>
      </c>
      <c r="D775" s="2" t="str">
        <f t="shared" si="11"/>
        <v>Error?</v>
      </c>
    </row>
    <row r="776" spans="1:4" x14ac:dyDescent="0.2">
      <c r="A776" s="5">
        <v>715</v>
      </c>
      <c r="B776" s="138">
        <f>'Expenditures 15-22'!D14</f>
        <v>14596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483842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14102</v>
      </c>
      <c r="D780" s="2" t="str">
        <f t="shared" si="11"/>
        <v>Error?</v>
      </c>
    </row>
    <row r="781" spans="1:4" x14ac:dyDescent="0.2">
      <c r="A781" s="5">
        <v>720</v>
      </c>
      <c r="B781" s="138">
        <f>'Expenditures 15-22'!D38</f>
        <v>1846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15948</v>
      </c>
      <c r="C785" s="2" t="s">
        <v>573</v>
      </c>
      <c r="D785" s="2" t="str">
        <f t="shared" si="11"/>
        <v>Error?</v>
      </c>
    </row>
    <row r="786" spans="1:4" x14ac:dyDescent="0.2">
      <c r="A786" s="5">
        <v>725</v>
      </c>
      <c r="B786" s="138">
        <f>'Expenditures 15-22'!D44</f>
        <v>9916</v>
      </c>
      <c r="D786" s="2" t="str">
        <f t="shared" si="11"/>
        <v>Error?</v>
      </c>
    </row>
    <row r="787" spans="1:4" x14ac:dyDescent="0.2">
      <c r="A787" s="5">
        <v>726</v>
      </c>
      <c r="B787" s="138">
        <f>'Expenditures 15-22'!D45</f>
        <v>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9928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26253</v>
      </c>
      <c r="D791" s="2" t="str">
        <f t="shared" si="11"/>
        <v>Error?</v>
      </c>
    </row>
    <row r="792" spans="1:4" x14ac:dyDescent="0.2">
      <c r="A792" s="5">
        <v>731</v>
      </c>
      <c r="B792" s="138">
        <f>'Expenditures 15-22'!D53</f>
        <v>26253</v>
      </c>
      <c r="C792" s="2" t="s">
        <v>573</v>
      </c>
      <c r="D792" s="2" t="str">
        <f t="shared" si="11"/>
        <v>Error?</v>
      </c>
    </row>
    <row r="793" spans="1:4" x14ac:dyDescent="0.2">
      <c r="A793" s="5">
        <v>732</v>
      </c>
      <c r="B793" s="138">
        <f>'Expenditures 15-22'!D55</f>
        <v>55254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55254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4538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4556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111939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595781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31864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300</v>
      </c>
      <c r="D833" s="2" t="str">
        <f t="shared" si="12"/>
        <v>Error?</v>
      </c>
    </row>
    <row r="834" spans="1:4" x14ac:dyDescent="0.2">
      <c r="A834" s="5">
        <v>773</v>
      </c>
      <c r="B834" s="138">
        <f>'Expenditures 15-22'!E14</f>
        <v>19202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72720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49</v>
      </c>
      <c r="D838" s="2" t="str">
        <f t="shared" si="12"/>
        <v>Error?</v>
      </c>
    </row>
    <row r="839" spans="1:4" x14ac:dyDescent="0.2">
      <c r="A839" s="5">
        <v>778</v>
      </c>
      <c r="B839" s="138">
        <f>'Expenditures 15-22'!E38</f>
        <v>351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400</v>
      </c>
      <c r="C843" s="2" t="s">
        <v>573</v>
      </c>
      <c r="D843" s="2" t="str">
        <f t="shared" si="12"/>
        <v>Error?</v>
      </c>
    </row>
    <row r="844" spans="1:4" x14ac:dyDescent="0.2">
      <c r="A844" s="5">
        <v>783</v>
      </c>
      <c r="B844" s="138">
        <f>'Expenditures 15-22'!E44</f>
        <v>8446</v>
      </c>
      <c r="D844" s="2" t="str">
        <f t="shared" si="12"/>
        <v>Error?</v>
      </c>
    </row>
    <row r="845" spans="1:4" x14ac:dyDescent="0.2">
      <c r="A845" s="5">
        <v>784</v>
      </c>
      <c r="B845" s="138">
        <f>'Expenditures 15-22'!E45</f>
        <v>3684</v>
      </c>
      <c r="D845" s="2" t="str">
        <f t="shared" si="12"/>
        <v>Error?</v>
      </c>
    </row>
    <row r="846" spans="1:4" x14ac:dyDescent="0.2">
      <c r="A846" s="5">
        <v>785</v>
      </c>
      <c r="B846" s="138">
        <f>'Expenditures 15-22'!E46</f>
        <v>5817</v>
      </c>
      <c r="D846" s="2" t="str">
        <f t="shared" si="12"/>
        <v>Error?</v>
      </c>
    </row>
    <row r="847" spans="1:4" x14ac:dyDescent="0.2">
      <c r="A847" s="5">
        <v>786</v>
      </c>
      <c r="B847" s="138">
        <f>'Expenditures 15-22'!E47</f>
        <v>17947</v>
      </c>
      <c r="C847" s="2" t="s">
        <v>573</v>
      </c>
      <c r="D847" s="2" t="str">
        <f t="shared" si="12"/>
        <v>Error?</v>
      </c>
    </row>
    <row r="848" spans="1:4" x14ac:dyDescent="0.2">
      <c r="A848" s="5">
        <v>787</v>
      </c>
      <c r="B848" s="138">
        <f>'Expenditures 15-22'!E49</f>
        <v>33468</v>
      </c>
      <c r="D848" s="2" t="str">
        <f t="shared" si="12"/>
        <v>Error?</v>
      </c>
    </row>
    <row r="849" spans="1:4" x14ac:dyDescent="0.2">
      <c r="A849" s="5">
        <v>788</v>
      </c>
      <c r="B849" s="138">
        <f>'Expenditures 15-22'!E50</f>
        <v>1108</v>
      </c>
      <c r="D849" s="2" t="str">
        <f t="shared" si="12"/>
        <v>Error?</v>
      </c>
    </row>
    <row r="850" spans="1:4" x14ac:dyDescent="0.2">
      <c r="A850" s="5">
        <v>789</v>
      </c>
      <c r="B850" s="138">
        <f>'Expenditures 15-22'!E53</f>
        <v>34576</v>
      </c>
      <c r="C850" s="2" t="s">
        <v>573</v>
      </c>
      <c r="D850" s="2" t="str">
        <f t="shared" si="12"/>
        <v>Error?</v>
      </c>
    </row>
    <row r="851" spans="1:4" x14ac:dyDescent="0.2">
      <c r="A851" s="5">
        <v>790</v>
      </c>
      <c r="B851" s="138">
        <f>'Expenditures 15-22'!E55</f>
        <v>1860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4102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58885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133898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62318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4918</v>
      </c>
      <c r="D891" s="2" t="str">
        <f t="shared" si="12"/>
        <v>Error?</v>
      </c>
    </row>
    <row r="892" spans="1:4" x14ac:dyDescent="0.2">
      <c r="A892" s="5">
        <v>831</v>
      </c>
      <c r="B892" s="138">
        <f>'Expenditures 15-22'!F14</f>
        <v>15148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114283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2943</v>
      </c>
      <c r="C905" s="2" t="s">
        <v>573</v>
      </c>
      <c r="D905" s="2" t="str">
        <f t="shared" si="13"/>
        <v>Error?</v>
      </c>
    </row>
    <row r="906" spans="1:4" x14ac:dyDescent="0.2">
      <c r="A906" s="5">
        <v>845</v>
      </c>
      <c r="B906" s="138">
        <f>'Expenditures 15-22'!F49</f>
        <v>7041</v>
      </c>
      <c r="D906" s="2" t="str">
        <f t="shared" si="13"/>
        <v>Error?</v>
      </c>
    </row>
    <row r="907" spans="1:4" x14ac:dyDescent="0.2">
      <c r="A907" s="5">
        <v>846</v>
      </c>
      <c r="B907" s="138">
        <f>'Expenditures 15-22'!F50</f>
        <v>239</v>
      </c>
      <c r="D907" s="2" t="str">
        <f t="shared" si="13"/>
        <v>Error?</v>
      </c>
    </row>
    <row r="908" spans="1:4" x14ac:dyDescent="0.2">
      <c r="A908" s="5">
        <v>847</v>
      </c>
      <c r="B908" s="138">
        <f>'Expenditures 15-22'!F53</f>
        <v>7280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129256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132833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143198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257481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45105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7281</v>
      </c>
      <c r="D949" s="2" t="str">
        <f t="shared" si="13"/>
        <v>Error?</v>
      </c>
    </row>
    <row r="950" spans="1:4" x14ac:dyDescent="0.2">
      <c r="A950" s="5">
        <v>889</v>
      </c>
      <c r="B950" s="138">
        <f>'Expenditures 15-22'!G14</f>
        <v>6825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63393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63393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14884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17380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32264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4334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4334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4334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194079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230677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2457764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193102</v>
      </c>
      <c r="C1105" s="2" t="s">
        <v>573</v>
      </c>
      <c r="D1105" s="2" t="str">
        <f t="shared" si="16"/>
        <v>Error?</v>
      </c>
    </row>
    <row r="1106" spans="1:4" x14ac:dyDescent="0.2">
      <c r="A1106" s="5">
        <v>1045</v>
      </c>
      <c r="B1106" s="138">
        <f>'Expenditures 15-22'!K14</f>
        <v>207306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3422091</v>
      </c>
      <c r="C1108" s="2" t="s">
        <v>573</v>
      </c>
      <c r="D1108" s="2" t="str">
        <f t="shared" si="16"/>
        <v>Error?</v>
      </c>
    </row>
    <row r="1109" spans="1:4" x14ac:dyDescent="0.2">
      <c r="A1109" s="5">
        <v>1048</v>
      </c>
      <c r="B1109" s="138">
        <f>'Expenditures 15-22'!K36</f>
        <v>26350</v>
      </c>
      <c r="C1109" s="2" t="s">
        <v>573</v>
      </c>
      <c r="D1109" s="2" t="str">
        <f t="shared" si="16"/>
        <v>Error?</v>
      </c>
    </row>
    <row r="1110" spans="1:4" x14ac:dyDescent="0.2">
      <c r="A1110" s="5">
        <v>1049</v>
      </c>
      <c r="B1110" s="138">
        <f>'Expenditures 15-22'!K37</f>
        <v>76414</v>
      </c>
      <c r="C1110" s="2" t="s">
        <v>573</v>
      </c>
      <c r="D1110" s="2" t="str">
        <f t="shared" si="16"/>
        <v>Error?</v>
      </c>
    </row>
    <row r="1111" spans="1:4" x14ac:dyDescent="0.2">
      <c r="A1111" s="5">
        <v>1050</v>
      </c>
      <c r="B1111" s="138">
        <f>'Expenditures 15-22'!K38</f>
        <v>20386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177</v>
      </c>
      <c r="C1114" s="2" t="s">
        <v>573</v>
      </c>
      <c r="D1114" s="2" t="str">
        <f t="shared" si="16"/>
        <v>Error?</v>
      </c>
    </row>
    <row r="1115" spans="1:4" x14ac:dyDescent="0.2">
      <c r="A1115" s="5">
        <v>1054</v>
      </c>
      <c r="B1115" s="138">
        <f>'Expenditures 15-22'!K42</f>
        <v>123327</v>
      </c>
      <c r="C1115" s="2" t="s">
        <v>573</v>
      </c>
      <c r="D1115" s="2" t="str">
        <f t="shared" si="16"/>
        <v>Error?</v>
      </c>
    </row>
    <row r="1116" spans="1:4" x14ac:dyDescent="0.2">
      <c r="A1116" s="5">
        <v>1055</v>
      </c>
      <c r="B1116" s="138">
        <f>'Expenditures 15-22'!K44</f>
        <v>40045</v>
      </c>
      <c r="C1116" s="2" t="s">
        <v>573</v>
      </c>
      <c r="D1116" s="2" t="str">
        <f t="shared" si="16"/>
        <v>Error?</v>
      </c>
    </row>
    <row r="1117" spans="1:4" x14ac:dyDescent="0.2">
      <c r="A1117" s="5">
        <v>1056</v>
      </c>
      <c r="B1117" s="138">
        <f>'Expenditures 15-22'!K45</f>
        <v>32813</v>
      </c>
      <c r="C1117" s="2" t="s">
        <v>573</v>
      </c>
      <c r="D1117" s="2" t="str">
        <f t="shared" si="16"/>
        <v>Error?</v>
      </c>
    </row>
    <row r="1118" spans="1:4" x14ac:dyDescent="0.2">
      <c r="A1118" s="5">
        <v>1057</v>
      </c>
      <c r="B1118" s="138">
        <f>'Expenditures 15-22'!K46</f>
        <v>5817</v>
      </c>
      <c r="C1118" s="2" t="s">
        <v>573</v>
      </c>
      <c r="D1118" s="2" t="str">
        <f t="shared" si="16"/>
        <v>Error?</v>
      </c>
    </row>
    <row r="1119" spans="1:4" x14ac:dyDescent="0.2">
      <c r="A1119" s="5">
        <v>1058</v>
      </c>
      <c r="B1119" s="138">
        <f>'Expenditures 15-22'!K47</f>
        <v>78675</v>
      </c>
      <c r="C1119" s="2" t="s">
        <v>573</v>
      </c>
      <c r="D1119" s="2" t="str">
        <f t="shared" si="16"/>
        <v>Error?</v>
      </c>
    </row>
    <row r="1120" spans="1:4" x14ac:dyDescent="0.2">
      <c r="A1120" s="5">
        <v>1059</v>
      </c>
      <c r="B1120" s="138">
        <f>'Expenditures 15-22'!K49</f>
        <v>44843</v>
      </c>
      <c r="C1120" s="2" t="s">
        <v>573</v>
      </c>
      <c r="D1120" s="2" t="str">
        <f t="shared" si="16"/>
        <v>Error?</v>
      </c>
    </row>
    <row r="1121" spans="1:4" x14ac:dyDescent="0.2">
      <c r="A1121" s="5">
        <v>1060</v>
      </c>
      <c r="B1121" s="138">
        <f>'Expenditures 15-22'!K50</f>
        <v>134455</v>
      </c>
      <c r="C1121" s="2" t="s">
        <v>573</v>
      </c>
      <c r="D1121" s="2" t="str">
        <f t="shared" si="16"/>
        <v>Error?</v>
      </c>
    </row>
    <row r="1122" spans="1:4" x14ac:dyDescent="0.2">
      <c r="A1122" s="5">
        <v>1061</v>
      </c>
      <c r="B1122" s="138">
        <f>'Expenditures 15-22'!K53</f>
        <v>179298</v>
      </c>
      <c r="C1122" s="2" t="s">
        <v>573</v>
      </c>
      <c r="D1122" s="2" t="str">
        <f t="shared" si="16"/>
        <v>Error?</v>
      </c>
    </row>
    <row r="1123" spans="1:4" x14ac:dyDescent="0.2">
      <c r="A1123" s="5">
        <v>1062</v>
      </c>
      <c r="B1123" s="138">
        <f>'Expenditures 15-22'!K55</f>
        <v>356430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356430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52644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192729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245373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983103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196372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4601566</v>
      </c>
      <c r="C1152" s="2" t="s">
        <v>573</v>
      </c>
      <c r="D1152" s="2" t="str">
        <f t="shared" si="17"/>
        <v>Error?</v>
      </c>
    </row>
    <row r="1153" spans="1:4" x14ac:dyDescent="0.2">
      <c r="A1153" s="5">
        <v>1092</v>
      </c>
      <c r="B1153" s="138">
        <f>'Expenditures 15-22'!K115</f>
        <v>-128175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152799</v>
      </c>
      <c r="D1221" s="2" t="str">
        <f t="shared" si="18"/>
        <v>Error?</v>
      </c>
    </row>
    <row r="1222" spans="1:4" x14ac:dyDescent="0.2">
      <c r="A1222" s="10">
        <v>1161</v>
      </c>
      <c r="D1222" s="2" t="str">
        <f t="shared" si="18"/>
        <v>OK</v>
      </c>
    </row>
    <row r="1223" spans="1:4" x14ac:dyDescent="0.2">
      <c r="A1223" s="5">
        <v>1162</v>
      </c>
      <c r="B1223" s="138">
        <f>'Expenditures 15-22'!C127</f>
        <v>152799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152799</v>
      </c>
      <c r="C1225" s="2" t="s">
        <v>573</v>
      </c>
      <c r="D1225" s="2" t="str">
        <f t="shared" si="18"/>
        <v>Error?</v>
      </c>
    </row>
    <row r="1226" spans="1:4" x14ac:dyDescent="0.2">
      <c r="A1226" s="5">
        <v>1165</v>
      </c>
      <c r="B1226" s="138">
        <f>'Expenditures 15-22'!C151</f>
        <v>152799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18713</v>
      </c>
      <c r="D1229" s="2" t="str">
        <f t="shared" si="18"/>
        <v>Error?</v>
      </c>
    </row>
    <row r="1230" spans="1:4" x14ac:dyDescent="0.2">
      <c r="A1230" s="10">
        <v>1169</v>
      </c>
      <c r="D1230" s="2" t="str">
        <f t="shared" si="18"/>
        <v>OK</v>
      </c>
    </row>
    <row r="1231" spans="1:4" x14ac:dyDescent="0.2">
      <c r="A1231" s="5">
        <v>1170</v>
      </c>
      <c r="B1231" s="138">
        <f>'Expenditures 15-22'!D127</f>
        <v>18713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18713</v>
      </c>
      <c r="C1233" s="2" t="s">
        <v>573</v>
      </c>
      <c r="D1233" s="2" t="str">
        <f t="shared" si="18"/>
        <v>Error?</v>
      </c>
    </row>
    <row r="1234" spans="1:4" x14ac:dyDescent="0.2">
      <c r="A1234" s="5">
        <v>1173</v>
      </c>
      <c r="B1234" s="138">
        <f>'Expenditures 15-22'!D151</f>
        <v>18713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102773</v>
      </c>
      <c r="D1237" s="2" t="str">
        <f t="shared" si="18"/>
        <v>Error?</v>
      </c>
    </row>
    <row r="1238" spans="1:4" x14ac:dyDescent="0.2">
      <c r="A1238" s="10">
        <v>1177</v>
      </c>
      <c r="D1238" s="2" t="str">
        <f t="shared" si="18"/>
        <v>OK</v>
      </c>
    </row>
    <row r="1239" spans="1:4" x14ac:dyDescent="0.2">
      <c r="A1239" s="5">
        <v>1178</v>
      </c>
      <c r="B1239" s="138">
        <f>'Expenditures 15-22'!E127</f>
        <v>102773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102773</v>
      </c>
      <c r="C1241" s="2" t="s">
        <v>573</v>
      </c>
      <c r="D1241" s="2" t="str">
        <f t="shared" si="18"/>
        <v>Error?</v>
      </c>
    </row>
    <row r="1242" spans="1:4" x14ac:dyDescent="0.2">
      <c r="A1242" s="5">
        <v>1181</v>
      </c>
      <c r="B1242" s="138">
        <f>'Expenditures 15-22'!E151</f>
        <v>102773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199051</v>
      </c>
      <c r="D1245" s="2" t="str">
        <f t="shared" si="18"/>
        <v>Error?</v>
      </c>
    </row>
    <row r="1246" spans="1:4" x14ac:dyDescent="0.2">
      <c r="A1246" s="10">
        <v>1185</v>
      </c>
      <c r="D1246" s="2" t="str">
        <f t="shared" si="18"/>
        <v>OK</v>
      </c>
    </row>
    <row r="1247" spans="1:4" x14ac:dyDescent="0.2">
      <c r="A1247" s="5">
        <v>1186</v>
      </c>
      <c r="B1247" s="138">
        <f>'Expenditures 15-22'!F127</f>
        <v>199051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199051</v>
      </c>
      <c r="C1249" s="2" t="s">
        <v>573</v>
      </c>
      <c r="D1249" s="2" t="str">
        <f t="shared" si="18"/>
        <v>Error?</v>
      </c>
    </row>
    <row r="1250" spans="1:4" x14ac:dyDescent="0.2">
      <c r="A1250" s="5">
        <v>1189</v>
      </c>
      <c r="B1250" s="138">
        <f>'Expenditures 15-22'!F151</f>
        <v>199051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7920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7920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7920</v>
      </c>
      <c r="C1258" s="2" t="s">
        <v>573</v>
      </c>
      <c r="D1258" s="2" t="str">
        <f t="shared" si="18"/>
        <v>Error?</v>
      </c>
    </row>
    <row r="1259" spans="1:4" x14ac:dyDescent="0.2">
      <c r="A1259" s="5">
        <v>1198</v>
      </c>
      <c r="B1259" s="138">
        <f>'Expenditures 15-22'!G151</f>
        <v>7920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5424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5424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481256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481256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481256</v>
      </c>
      <c r="C1281" s="2" t="s">
        <v>573</v>
      </c>
      <c r="D1281" s="2" t="str">
        <f t="shared" si="19"/>
        <v>Error?</v>
      </c>
    </row>
    <row r="1282" spans="1:4" x14ac:dyDescent="0.2">
      <c r="A1282" s="5">
        <v>1221</v>
      </c>
      <c r="B1282" s="138">
        <f>'Expenditures 15-22'!K139</f>
        <v>5424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486680</v>
      </c>
      <c r="C1288" s="2" t="s">
        <v>573</v>
      </c>
      <c r="D1288" s="2" t="str">
        <f t="shared" si="19"/>
        <v>Error?</v>
      </c>
    </row>
    <row r="1289" spans="1:4" x14ac:dyDescent="0.2">
      <c r="A1289" s="5">
        <v>1228</v>
      </c>
      <c r="B1289" s="138">
        <f>'Expenditures 15-22'!K152</f>
        <v>-83498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90784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613000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703784</v>
      </c>
      <c r="C1317" s="2" t="s">
        <v>573</v>
      </c>
      <c r="D1317" s="2" t="str">
        <f t="shared" si="19"/>
        <v>Error?</v>
      </c>
    </row>
    <row r="1318" spans="1:4" x14ac:dyDescent="0.2">
      <c r="A1318" s="5">
        <v>1257</v>
      </c>
      <c r="B1318" s="138">
        <f>'Expenditures 15-22'!H174</f>
        <v>703784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90784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613000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703784</v>
      </c>
      <c r="C1331" s="2" t="s">
        <v>573</v>
      </c>
      <c r="D1331" s="2" t="str">
        <f t="shared" si="19"/>
        <v>Error?</v>
      </c>
    </row>
    <row r="1332" spans="1:4" x14ac:dyDescent="0.2">
      <c r="A1332" s="5">
        <v>1271</v>
      </c>
      <c r="B1332" s="138">
        <f>'Expenditures 15-22'!K174</f>
        <v>703784</v>
      </c>
      <c r="C1332" s="2" t="s">
        <v>573</v>
      </c>
      <c r="D1332" s="2" t="str">
        <f t="shared" si="19"/>
        <v>Error?</v>
      </c>
    </row>
    <row r="1333" spans="1:4" x14ac:dyDescent="0.2">
      <c r="A1333" s="5">
        <v>1272</v>
      </c>
      <c r="B1333" s="138">
        <f>'Expenditures 15-22'!K175</f>
        <v>-60605</v>
      </c>
      <c r="C1333" s="2" t="s">
        <v>573</v>
      </c>
      <c r="D1333" s="2" t="str">
        <f t="shared" si="19"/>
        <v>Error?</v>
      </c>
    </row>
    <row r="1334" spans="1:4" x14ac:dyDescent="0.2">
      <c r="A1334" s="10">
        <v>1273</v>
      </c>
      <c r="D1334" s="2" t="str">
        <f t="shared" si="19"/>
        <v>OK</v>
      </c>
    </row>
    <row r="1335" spans="1:4" x14ac:dyDescent="0.2">
      <c r="A1335" s="5">
        <v>1274</v>
      </c>
      <c r="B1335" s="138">
        <f>'Expenditures 15-22'!C182</f>
        <v>169099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169099</v>
      </c>
      <c r="C1339" s="2" t="s">
        <v>573</v>
      </c>
      <c r="D1339" s="2" t="str">
        <f t="shared" si="19"/>
        <v>Error?</v>
      </c>
    </row>
    <row r="1340" spans="1:4" x14ac:dyDescent="0.2">
      <c r="A1340" s="5">
        <v>1279</v>
      </c>
      <c r="B1340" s="138">
        <f>'Expenditures 15-22'!C210</f>
        <v>169099</v>
      </c>
      <c r="C1340" s="2" t="s">
        <v>573</v>
      </c>
      <c r="D1340" s="2" t="str">
        <f t="shared" si="19"/>
        <v>Error?</v>
      </c>
    </row>
    <row r="1341" spans="1:4" x14ac:dyDescent="0.2">
      <c r="A1341" s="5">
        <v>1280</v>
      </c>
      <c r="B1341" s="138">
        <f>'Expenditures 15-22'!D182</f>
        <v>21978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21978</v>
      </c>
      <c r="C1345" s="2" t="s">
        <v>573</v>
      </c>
      <c r="D1345" s="2" t="str">
        <f t="shared" si="20"/>
        <v>Error?</v>
      </c>
    </row>
    <row r="1346" spans="1:4" x14ac:dyDescent="0.2">
      <c r="A1346" s="5">
        <v>1285</v>
      </c>
      <c r="B1346" s="138">
        <f>'Expenditures 15-22'!D210</f>
        <v>21978</v>
      </c>
      <c r="C1346" s="2" t="s">
        <v>573</v>
      </c>
      <c r="D1346" s="2" t="str">
        <f t="shared" si="20"/>
        <v>Error?</v>
      </c>
    </row>
    <row r="1347" spans="1:4" x14ac:dyDescent="0.2">
      <c r="A1347" s="5">
        <v>1286</v>
      </c>
      <c r="B1347" s="138">
        <f>'Expenditures 15-22'!E182</f>
        <v>4990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4990</v>
      </c>
      <c r="C1353" s="2" t="s">
        <v>573</v>
      </c>
      <c r="D1353" s="2" t="str">
        <f t="shared" si="20"/>
        <v>Error?</v>
      </c>
    </row>
    <row r="1354" spans="1:4" x14ac:dyDescent="0.2">
      <c r="A1354" s="5">
        <v>1293</v>
      </c>
      <c r="B1354" s="138">
        <f>'Expenditures 15-22'!F182</f>
        <v>50896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50896</v>
      </c>
      <c r="C1358" s="2" t="s">
        <v>573</v>
      </c>
      <c r="D1358" s="2" t="str">
        <f t="shared" si="20"/>
        <v>Error?</v>
      </c>
    </row>
    <row r="1359" spans="1:4" x14ac:dyDescent="0.2">
      <c r="A1359" s="5">
        <v>1298</v>
      </c>
      <c r="B1359" s="138">
        <f>'Expenditures 15-22'!F210</f>
        <v>50896</v>
      </c>
      <c r="C1359" s="2" t="s">
        <v>573</v>
      </c>
      <c r="D1359" s="2" t="str">
        <f t="shared" si="20"/>
        <v>Error?</v>
      </c>
    </row>
    <row r="1360" spans="1:4" x14ac:dyDescent="0.2">
      <c r="A1360" s="5">
        <v>1299</v>
      </c>
      <c r="B1360" s="138">
        <f>'Expenditures 15-22'!G182</f>
        <v>51069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51069</v>
      </c>
      <c r="C1364" s="2" t="s">
        <v>573</v>
      </c>
      <c r="D1364" s="2" t="str">
        <f t="shared" si="20"/>
        <v>Error?</v>
      </c>
    </row>
    <row r="1365" spans="1:4" x14ac:dyDescent="0.2">
      <c r="A1365" s="5">
        <v>1304</v>
      </c>
      <c r="B1365" s="138">
        <f>'Expenditures 15-22'!G210</f>
        <v>51069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3721</v>
      </c>
      <c r="D1369" s="2" t="str">
        <f t="shared" si="20"/>
        <v>Error?</v>
      </c>
    </row>
    <row r="1370" spans="1:4" x14ac:dyDescent="0.2">
      <c r="A1370" s="5">
        <v>1309</v>
      </c>
      <c r="B1370" s="138">
        <f>'Expenditures 15-22'!H184</f>
        <v>3721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3721</v>
      </c>
      <c r="C1376" s="2" t="s">
        <v>573</v>
      </c>
      <c r="D1376" s="2" t="str">
        <f t="shared" si="20"/>
        <v>Error?</v>
      </c>
    </row>
    <row r="1377" spans="1:4" x14ac:dyDescent="0.2">
      <c r="A1377" s="5">
        <v>1316</v>
      </c>
      <c r="B1377" s="138">
        <f>'Expenditures 15-22'!K182</f>
        <v>298032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3721</v>
      </c>
      <c r="C1380" s="2" t="s">
        <v>573</v>
      </c>
      <c r="D1380" s="2" t="str">
        <f t="shared" si="20"/>
        <v>Error?</v>
      </c>
    </row>
    <row r="1381" spans="1:4" x14ac:dyDescent="0.2">
      <c r="A1381" s="5">
        <v>1320</v>
      </c>
      <c r="B1381" s="138">
        <f>'Expenditures 15-22'!K184</f>
        <v>301753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301753</v>
      </c>
      <c r="C1388" s="2" t="s">
        <v>573</v>
      </c>
      <c r="D1388" s="2" t="str">
        <f t="shared" si="20"/>
        <v>Error?</v>
      </c>
    </row>
    <row r="1389" spans="1:4" x14ac:dyDescent="0.2">
      <c r="A1389" s="5">
        <v>1328</v>
      </c>
      <c r="B1389" s="138">
        <f>'Expenditures 15-22'!K211</f>
        <v>15438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2021</v>
      </c>
      <c r="D1407" s="2" t="str">
        <f t="shared" ref="D1407:D1470" si="21">IF(ISBLANK(B1407),"OK",IF(A1407-B1407=0,"OK","Error?"))</f>
        <v>Error?</v>
      </c>
    </row>
    <row r="1408" spans="1:4" x14ac:dyDescent="0.2">
      <c r="A1408" s="5">
        <v>1347</v>
      </c>
      <c r="B1408" s="138">
        <f>'Expenditures 15-22'!D223</f>
        <v>4995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71350</v>
      </c>
      <c r="C1410" s="2" t="s">
        <v>573</v>
      </c>
      <c r="D1410" s="2" t="str">
        <f t="shared" si="21"/>
        <v>Error?</v>
      </c>
    </row>
    <row r="1411" spans="1:4" x14ac:dyDescent="0.2">
      <c r="A1411" s="5">
        <v>1350</v>
      </c>
      <c r="B1411" s="138">
        <f>'Expenditures 15-22'!D232</f>
        <v>3637</v>
      </c>
      <c r="D1411" s="2" t="str">
        <f t="shared" si="21"/>
        <v>Error?</v>
      </c>
    </row>
    <row r="1412" spans="1:4" x14ac:dyDescent="0.2">
      <c r="A1412" s="5">
        <v>1351</v>
      </c>
      <c r="B1412" s="138">
        <f>'Expenditures 15-22'!D233</f>
        <v>885</v>
      </c>
      <c r="D1412" s="2" t="str">
        <f t="shared" si="21"/>
        <v>Error?</v>
      </c>
    </row>
    <row r="1413" spans="1:4" x14ac:dyDescent="0.2">
      <c r="A1413" s="5">
        <v>1352</v>
      </c>
      <c r="B1413" s="138">
        <f>'Expenditures 15-22'!D234</f>
        <v>2492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14</v>
      </c>
      <c r="D1416" s="2" t="str">
        <f t="shared" si="21"/>
        <v>Error?</v>
      </c>
    </row>
    <row r="1417" spans="1:4" x14ac:dyDescent="0.2">
      <c r="A1417" s="5">
        <v>1356</v>
      </c>
      <c r="B1417" s="138">
        <f>'Expenditures 15-22'!D238</f>
        <v>7028</v>
      </c>
      <c r="C1417" s="2" t="s">
        <v>573</v>
      </c>
      <c r="D1417" s="2" t="str">
        <f t="shared" si="21"/>
        <v>Error?</v>
      </c>
    </row>
    <row r="1418" spans="1:4" x14ac:dyDescent="0.2">
      <c r="A1418" s="5">
        <v>1357</v>
      </c>
      <c r="B1418" s="138">
        <f>'Expenditures 15-22'!D240</f>
        <v>16</v>
      </c>
      <c r="D1418" s="2" t="str">
        <f t="shared" si="21"/>
        <v>Error?</v>
      </c>
    </row>
    <row r="1419" spans="1:4" x14ac:dyDescent="0.2">
      <c r="A1419" s="5">
        <v>1358</v>
      </c>
      <c r="B1419" s="138">
        <f>'Expenditures 15-22'!D241</f>
        <v>3146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3162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1484</v>
      </c>
      <c r="D1423" s="2" t="str">
        <f t="shared" si="21"/>
        <v>Error?</v>
      </c>
    </row>
    <row r="1424" spans="1:4" x14ac:dyDescent="0.2">
      <c r="A1424" s="5">
        <v>1363</v>
      </c>
      <c r="B1424" s="138">
        <f>'Expenditures 15-22'!D257</f>
        <v>19049</v>
      </c>
      <c r="C1424" s="2" t="s">
        <v>573</v>
      </c>
      <c r="D1424" s="2" t="str">
        <f t="shared" si="21"/>
        <v>Error?</v>
      </c>
    </row>
    <row r="1425" spans="1:4" x14ac:dyDescent="0.2">
      <c r="A1425" s="5">
        <v>1364</v>
      </c>
      <c r="B1425" s="138">
        <f>'Expenditures 15-22'!D259</f>
        <v>19364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19364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6197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18838</v>
      </c>
      <c r="D1431" s="2" t="str">
        <f t="shared" si="21"/>
        <v>Error?</v>
      </c>
    </row>
    <row r="1432" spans="1:4" x14ac:dyDescent="0.2">
      <c r="A1432" s="5">
        <v>1371</v>
      </c>
      <c r="B1432" s="138">
        <f>'Expenditures 15-22'!D267</f>
        <v>16026</v>
      </c>
      <c r="D1432" s="2" t="str">
        <f t="shared" si="21"/>
        <v>Error?</v>
      </c>
    </row>
    <row r="1433" spans="1:4" x14ac:dyDescent="0.2">
      <c r="A1433" s="5">
        <v>1372</v>
      </c>
      <c r="B1433" s="138">
        <f>'Expenditures 15-22'!D268</f>
        <v>7465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48526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97129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168479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2021</v>
      </c>
      <c r="C1471" s="2" t="s">
        <v>573</v>
      </c>
      <c r="D1471" s="2" t="str">
        <f t="shared" ref="D1471:D1534" si="22">IF(ISBLANK(B1471),"OK",IF(A1471-B1471=0,"OK","Error?"))</f>
        <v>Error?</v>
      </c>
    </row>
    <row r="1472" spans="1:4" x14ac:dyDescent="0.2">
      <c r="A1472" s="5">
        <v>1411</v>
      </c>
      <c r="B1472" s="138">
        <f>'Expenditures 15-22'!K223</f>
        <v>4995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71350</v>
      </c>
      <c r="C1474" s="2" t="s">
        <v>573</v>
      </c>
      <c r="D1474" s="2" t="str">
        <f t="shared" si="22"/>
        <v>Error?</v>
      </c>
    </row>
    <row r="1475" spans="1:4" x14ac:dyDescent="0.2">
      <c r="A1475" s="5">
        <v>1414</v>
      </c>
      <c r="B1475" s="138">
        <f>'Expenditures 15-22'!K232</f>
        <v>3637</v>
      </c>
      <c r="C1475" s="2" t="s">
        <v>573</v>
      </c>
      <c r="D1475" s="2" t="str">
        <f t="shared" si="22"/>
        <v>Error?</v>
      </c>
    </row>
    <row r="1476" spans="1:4" x14ac:dyDescent="0.2">
      <c r="A1476" s="5">
        <v>1415</v>
      </c>
      <c r="B1476" s="138">
        <f>'Expenditures 15-22'!K233</f>
        <v>885</v>
      </c>
      <c r="C1476" s="2" t="s">
        <v>573</v>
      </c>
      <c r="D1476" s="2" t="str">
        <f t="shared" si="22"/>
        <v>Error?</v>
      </c>
    </row>
    <row r="1477" spans="1:4" x14ac:dyDescent="0.2">
      <c r="A1477" s="5">
        <v>1416</v>
      </c>
      <c r="B1477" s="138">
        <f>'Expenditures 15-22'!K234</f>
        <v>2492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14</v>
      </c>
      <c r="C1480" s="2" t="s">
        <v>573</v>
      </c>
      <c r="D1480" s="2" t="str">
        <f t="shared" si="22"/>
        <v>Error?</v>
      </c>
    </row>
    <row r="1481" spans="1:4" x14ac:dyDescent="0.2">
      <c r="A1481" s="5">
        <v>1420</v>
      </c>
      <c r="B1481" s="138">
        <f>'Expenditures 15-22'!K238</f>
        <v>7028</v>
      </c>
      <c r="C1481" s="2" t="s">
        <v>573</v>
      </c>
      <c r="D1481" s="2" t="str">
        <f t="shared" si="22"/>
        <v>Error?</v>
      </c>
    </row>
    <row r="1482" spans="1:4" x14ac:dyDescent="0.2">
      <c r="A1482" s="5">
        <v>1421</v>
      </c>
      <c r="B1482" s="138">
        <f>'Expenditures 15-22'!K240</f>
        <v>16</v>
      </c>
      <c r="C1482" s="2" t="s">
        <v>573</v>
      </c>
      <c r="D1482" s="2" t="str">
        <f t="shared" si="22"/>
        <v>Error?</v>
      </c>
    </row>
    <row r="1483" spans="1:4" x14ac:dyDescent="0.2">
      <c r="A1483" s="5">
        <v>1422</v>
      </c>
      <c r="B1483" s="138">
        <f>'Expenditures 15-22'!K241</f>
        <v>3146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3162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1484</v>
      </c>
      <c r="C1487" s="2" t="s">
        <v>573</v>
      </c>
      <c r="D1487" s="2" t="str">
        <f t="shared" si="22"/>
        <v>Error?</v>
      </c>
    </row>
    <row r="1488" spans="1:4" x14ac:dyDescent="0.2">
      <c r="A1488" s="5">
        <v>1427</v>
      </c>
      <c r="B1488" s="138">
        <f>'Expenditures 15-22'!K257</f>
        <v>19049</v>
      </c>
      <c r="C1488" s="2" t="s">
        <v>573</v>
      </c>
      <c r="D1488" s="2" t="str">
        <f t="shared" si="22"/>
        <v>Error?</v>
      </c>
    </row>
    <row r="1489" spans="1:4" x14ac:dyDescent="0.2">
      <c r="A1489" s="5">
        <v>1428</v>
      </c>
      <c r="B1489" s="138">
        <f>'Expenditures 15-22'!K259</f>
        <v>19364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19364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6197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18838</v>
      </c>
      <c r="C1495" s="2" t="s">
        <v>573</v>
      </c>
      <c r="D1495" s="2" t="str">
        <f t="shared" si="22"/>
        <v>Error?</v>
      </c>
    </row>
    <row r="1496" spans="1:4" x14ac:dyDescent="0.2">
      <c r="A1496" s="5">
        <v>1435</v>
      </c>
      <c r="B1496" s="138">
        <f>'Expenditures 15-22'!K267</f>
        <v>16026</v>
      </c>
      <c r="C1496" s="2" t="s">
        <v>573</v>
      </c>
      <c r="D1496" s="2" t="str">
        <f t="shared" si="22"/>
        <v>Error?</v>
      </c>
    </row>
    <row r="1497" spans="1:4" x14ac:dyDescent="0.2">
      <c r="A1497" s="5">
        <v>1436</v>
      </c>
      <c r="B1497" s="138">
        <f>'Expenditures 15-22'!K268</f>
        <v>7465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48526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97129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168479</v>
      </c>
      <c r="C1517" s="2" t="s">
        <v>573</v>
      </c>
      <c r="D1517" s="2" t="str">
        <f t="shared" si="22"/>
        <v>Error?</v>
      </c>
    </row>
    <row r="1518" spans="1:4" x14ac:dyDescent="0.2">
      <c r="A1518" s="5">
        <v>1457</v>
      </c>
      <c r="B1518" s="138">
        <f>'Expenditures 15-22'!K296</f>
        <v>13459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2752783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2624608</v>
      </c>
      <c r="C1630" s="2" t="s">
        <v>573</v>
      </c>
      <c r="D1630" s="2" t="str">
        <f t="shared" si="24"/>
        <v>Error?</v>
      </c>
    </row>
    <row r="1631" spans="1:4" x14ac:dyDescent="0.2">
      <c r="A1631" s="5">
        <v>1570</v>
      </c>
      <c r="B1631" s="138">
        <f>'Acct Summary 7-8'!D79</f>
        <v>268035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259537</v>
      </c>
      <c r="C1644" s="2" t="s">
        <v>573</v>
      </c>
      <c r="D1644" s="2" t="str">
        <f t="shared" si="24"/>
        <v>Error?</v>
      </c>
    </row>
    <row r="1645" spans="1:4" x14ac:dyDescent="0.2">
      <c r="A1645" s="5">
        <v>1584</v>
      </c>
      <c r="B1645" s="138">
        <f>'Acct Summary 7-8'!E79</f>
        <v>-113536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-174141</v>
      </c>
      <c r="C1658" s="2" t="s">
        <v>573</v>
      </c>
      <c r="D1658" s="2" t="str">
        <f t="shared" si="24"/>
        <v>Error?</v>
      </c>
    </row>
    <row r="1659" spans="1:4" x14ac:dyDescent="0.2">
      <c r="A1659" s="5">
        <v>1598</v>
      </c>
      <c r="B1659" s="138">
        <f>'Acct Summary 7-8'!F79</f>
        <v>582095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597533</v>
      </c>
      <c r="C1672" s="2" t="s">
        <v>573</v>
      </c>
      <c r="D1672" s="2" t="str">
        <f t="shared" si="25"/>
        <v>Error?</v>
      </c>
    </row>
    <row r="1673" spans="1:4" x14ac:dyDescent="0.2">
      <c r="A1673" s="5">
        <v>1612</v>
      </c>
      <c r="B1673" s="138">
        <f>'Acct Summary 7-8'!G79</f>
        <v>471052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484511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1851847</v>
      </c>
      <c r="C1744" s="2" t="s">
        <v>573</v>
      </c>
      <c r="D1744" s="2" t="str">
        <f t="shared" si="26"/>
        <v>Error?</v>
      </c>
    </row>
    <row r="1745" spans="1:5" x14ac:dyDescent="0.2">
      <c r="A1745" s="5">
        <v>1684</v>
      </c>
      <c r="B1745" s="138">
        <f>'Tax Sched 23'!B5</f>
        <v>370575</v>
      </c>
      <c r="C1745" s="2" t="s">
        <v>573</v>
      </c>
      <c r="D1745" s="2" t="str">
        <f t="shared" si="26"/>
        <v>Error?</v>
      </c>
    </row>
    <row r="1746" spans="1:5" x14ac:dyDescent="0.2">
      <c r="A1746" s="5">
        <v>1685</v>
      </c>
      <c r="B1746" s="138">
        <f>'Tax Sched 23'!B6</f>
        <v>643179</v>
      </c>
      <c r="C1746" s="2" t="s">
        <v>573</v>
      </c>
      <c r="D1746" s="2" t="str">
        <f t="shared" si="26"/>
        <v>Error?</v>
      </c>
    </row>
    <row r="1747" spans="1:5" x14ac:dyDescent="0.2">
      <c r="A1747" s="5">
        <v>1686</v>
      </c>
      <c r="B1747" s="138">
        <f>'Tax Sched 23'!B7</f>
        <v>148231</v>
      </c>
      <c r="C1747" s="2" t="s">
        <v>573</v>
      </c>
      <c r="D1747" s="2" t="str">
        <f t="shared" si="26"/>
        <v>Error?</v>
      </c>
    </row>
    <row r="1748" spans="1:5" x14ac:dyDescent="0.2">
      <c r="A1748" s="5">
        <v>1687</v>
      </c>
      <c r="B1748" s="138">
        <f>'Tax Sched 23'!B8</f>
        <v>44227</v>
      </c>
      <c r="C1748" s="2" t="s">
        <v>573</v>
      </c>
      <c r="D1748" s="2" t="str">
        <f t="shared" si="26"/>
        <v>Error?</v>
      </c>
    </row>
    <row r="1749" spans="1:5" x14ac:dyDescent="0.2">
      <c r="A1749" s="5">
        <v>1688</v>
      </c>
      <c r="B1749" s="138">
        <f>'Tax Sched 23'!B10</f>
        <v>37059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454137</v>
      </c>
      <c r="C1752" s="2" t="s">
        <v>573</v>
      </c>
      <c r="D1752" s="2" t="str">
        <f t="shared" si="26"/>
        <v>Error?</v>
      </c>
    </row>
    <row r="1753" spans="1:5" x14ac:dyDescent="0.2">
      <c r="A1753" s="5">
        <v>1692</v>
      </c>
      <c r="B1753" s="138">
        <f>'Tax Sched 23'!B12</f>
        <v>37059</v>
      </c>
      <c r="C1753" s="2" t="s">
        <v>573</v>
      </c>
      <c r="D1753" s="2" t="str">
        <f t="shared" si="26"/>
        <v>Error?</v>
      </c>
    </row>
    <row r="1754" spans="1:5" x14ac:dyDescent="0.2">
      <c r="A1754" s="5">
        <v>1693</v>
      </c>
      <c r="B1754" s="138">
        <f>'Tax Sched 23'!B14</f>
        <v>29646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3785698</v>
      </c>
      <c r="C1759" s="2" t="s">
        <v>573</v>
      </c>
      <c r="D1759" s="2" t="str">
        <f t="shared" si="26"/>
        <v>Error?</v>
      </c>
    </row>
    <row r="1760" spans="1:5" x14ac:dyDescent="0.2">
      <c r="A1760" s="5">
        <v>1699</v>
      </c>
      <c r="B1760" s="138">
        <f>'Tax Sched 23'!D4</f>
        <v>837875</v>
      </c>
      <c r="C1760" s="2" t="s">
        <v>573</v>
      </c>
      <c r="D1760" s="2" t="str">
        <f t="shared" si="26"/>
        <v>Error?</v>
      </c>
    </row>
    <row r="1761" spans="1:5" x14ac:dyDescent="0.2">
      <c r="A1761" s="5">
        <v>1700</v>
      </c>
      <c r="B1761" s="138">
        <f>'Tax Sched 23'!D5</f>
        <v>167708</v>
      </c>
      <c r="C1761" s="2" t="s">
        <v>573</v>
      </c>
      <c r="D1761" s="2" t="str">
        <f t="shared" si="26"/>
        <v>Error?</v>
      </c>
    </row>
    <row r="1762" spans="1:5" s="8" customFormat="1" x14ac:dyDescent="0.2">
      <c r="A1762" s="5">
        <v>1701</v>
      </c>
      <c r="B1762" s="138">
        <f>'Tax Sched 23'!D6</f>
        <v>288162</v>
      </c>
      <c r="C1762" s="2" t="s">
        <v>573</v>
      </c>
      <c r="D1762" s="2" t="str">
        <f t="shared" si="26"/>
        <v>Error?</v>
      </c>
      <c r="E1762" s="9"/>
    </row>
    <row r="1763" spans="1:5" x14ac:dyDescent="0.2">
      <c r="A1763" s="5">
        <v>1702</v>
      </c>
      <c r="B1763" s="138">
        <f>'Tax Sched 23'!D7</f>
        <v>67084</v>
      </c>
      <c r="C1763" s="2" t="s">
        <v>573</v>
      </c>
      <c r="D1763" s="2" t="str">
        <f t="shared" si="26"/>
        <v>Error?</v>
      </c>
    </row>
    <row r="1764" spans="1:5" x14ac:dyDescent="0.2">
      <c r="A1764" s="5">
        <v>1703</v>
      </c>
      <c r="B1764" s="138">
        <f>'Tax Sched 23'!D8</f>
        <v>20467</v>
      </c>
      <c r="C1764" s="2" t="s">
        <v>573</v>
      </c>
      <c r="D1764" s="2" t="str">
        <f t="shared" si="26"/>
        <v>Error?</v>
      </c>
    </row>
    <row r="1765" spans="1:5" x14ac:dyDescent="0.2">
      <c r="A1765" s="5">
        <v>1704</v>
      </c>
      <c r="B1765" s="138">
        <f>'Tax Sched 23'!D10</f>
        <v>16772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204674</v>
      </c>
      <c r="C1768" s="2" t="s">
        <v>573</v>
      </c>
      <c r="D1768" s="2" t="str">
        <f t="shared" si="26"/>
        <v>Error?</v>
      </c>
    </row>
    <row r="1769" spans="1:5" x14ac:dyDescent="0.2">
      <c r="A1769" s="5">
        <v>1708</v>
      </c>
      <c r="B1769" s="138">
        <f>'Tax Sched 23'!D12</f>
        <v>16772</v>
      </c>
      <c r="C1769" s="2" t="s">
        <v>573</v>
      </c>
      <c r="D1769" s="2" t="str">
        <f t="shared" si="26"/>
        <v>Error?</v>
      </c>
    </row>
    <row r="1770" spans="1:5" x14ac:dyDescent="0.2">
      <c r="A1770" s="5">
        <v>1709</v>
      </c>
      <c r="B1770" s="138">
        <f>'Tax Sched 23'!D14</f>
        <v>13416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1711106</v>
      </c>
      <c r="C1775" s="2" t="s">
        <v>573</v>
      </c>
      <c r="D1775" s="2" t="str">
        <f t="shared" si="26"/>
        <v>Error?</v>
      </c>
    </row>
    <row r="1776" spans="1:5" x14ac:dyDescent="0.2">
      <c r="A1776" s="5">
        <v>1715</v>
      </c>
      <c r="B1776" s="138">
        <f>'Tax Sched 23'!C4</f>
        <v>1013972</v>
      </c>
      <c r="D1776" s="2" t="str">
        <f t="shared" si="26"/>
        <v>Error?</v>
      </c>
    </row>
    <row r="1777" spans="1:4" x14ac:dyDescent="0.2">
      <c r="A1777" s="5">
        <v>1716</v>
      </c>
      <c r="B1777" s="138">
        <f>'Tax Sched 23'!C5</f>
        <v>202867</v>
      </c>
      <c r="D1777" s="2" t="str">
        <f t="shared" si="26"/>
        <v>Error?</v>
      </c>
    </row>
    <row r="1778" spans="1:4" x14ac:dyDescent="0.2">
      <c r="A1778" s="5">
        <v>1717</v>
      </c>
      <c r="B1778" s="138">
        <f>'Tax Sched 23'!C6</f>
        <v>355017</v>
      </c>
      <c r="D1778" s="2" t="str">
        <f t="shared" si="26"/>
        <v>Error?</v>
      </c>
    </row>
    <row r="1779" spans="1:4" x14ac:dyDescent="0.2">
      <c r="A1779" s="5">
        <v>1718</v>
      </c>
      <c r="B1779" s="138">
        <f>'Tax Sched 23'!C7</f>
        <v>81147</v>
      </c>
      <c r="D1779" s="2" t="str">
        <f t="shared" si="26"/>
        <v>Error?</v>
      </c>
    </row>
    <row r="1780" spans="1:4" x14ac:dyDescent="0.2">
      <c r="A1780" s="5">
        <v>1719</v>
      </c>
      <c r="B1780" s="138">
        <f>'Tax Sched 23'!C8</f>
        <v>23760</v>
      </c>
      <c r="D1780" s="2" t="str">
        <f t="shared" si="26"/>
        <v>Error?</v>
      </c>
    </row>
    <row r="1781" spans="1:4" x14ac:dyDescent="0.2">
      <c r="A1781" s="5">
        <v>1720</v>
      </c>
      <c r="B1781" s="138">
        <f>'Tax Sched 23'!C10</f>
        <v>20287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249463</v>
      </c>
      <c r="D1784" s="2" t="str">
        <f t="shared" si="26"/>
        <v>Error?</v>
      </c>
    </row>
    <row r="1785" spans="1:4" x14ac:dyDescent="0.2">
      <c r="A1785" s="5">
        <v>1724</v>
      </c>
      <c r="B1785" s="138">
        <f>'Tax Sched 23'!C12</f>
        <v>20287</v>
      </c>
      <c r="D1785" s="2" t="str">
        <f t="shared" si="26"/>
        <v>Error?</v>
      </c>
    </row>
    <row r="1786" spans="1:4" x14ac:dyDescent="0.2">
      <c r="A1786" s="5">
        <v>1725</v>
      </c>
      <c r="B1786" s="138">
        <f>'Tax Sched 23'!C14</f>
        <v>16230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2074592</v>
      </c>
      <c r="C1791" s="2" t="s">
        <v>573</v>
      </c>
      <c r="D1791" s="2" t="str">
        <f t="shared" ref="D1791:D1854" si="27">IF(ISBLANK(B1791),"OK",IF(A1791-B1791=0,"OK","Error?"))</f>
        <v>Error?</v>
      </c>
    </row>
    <row r="1792" spans="1:4" x14ac:dyDescent="0.2">
      <c r="A1792" s="5">
        <v>1731</v>
      </c>
      <c r="B1792" s="138">
        <f>'Tax Sched 23'!F4</f>
        <v>1119944</v>
      </c>
      <c r="C1792" s="2" t="s">
        <v>573</v>
      </c>
      <c r="D1792" s="2" t="str">
        <f t="shared" si="27"/>
        <v>Error?</v>
      </c>
    </row>
    <row r="1793" spans="1:4" x14ac:dyDescent="0.2">
      <c r="A1793" s="5">
        <v>1732</v>
      </c>
      <c r="B1793" s="138">
        <f>'Tax Sched 23'!F5</f>
        <v>224066</v>
      </c>
      <c r="C1793" s="2" t="s">
        <v>573</v>
      </c>
      <c r="D1793" s="2" t="str">
        <f t="shared" si="27"/>
        <v>Error?</v>
      </c>
    </row>
    <row r="1794" spans="1:4" x14ac:dyDescent="0.2">
      <c r="A1794" s="5">
        <v>1733</v>
      </c>
      <c r="B1794" s="138">
        <f>'Tax Sched 23'!F6</f>
        <v>392082</v>
      </c>
      <c r="C1794" s="2" t="s">
        <v>573</v>
      </c>
      <c r="D1794" s="2" t="str">
        <f t="shared" si="27"/>
        <v>Error?</v>
      </c>
    </row>
    <row r="1795" spans="1:4" x14ac:dyDescent="0.2">
      <c r="A1795" s="5">
        <v>1734</v>
      </c>
      <c r="B1795" s="138">
        <f>'Tax Sched 23'!F7</f>
        <v>89626</v>
      </c>
      <c r="C1795" s="2" t="s">
        <v>573</v>
      </c>
      <c r="D1795" s="2" t="str">
        <f t="shared" si="27"/>
        <v>Error?</v>
      </c>
    </row>
    <row r="1796" spans="1:4" x14ac:dyDescent="0.2">
      <c r="A1796" s="5">
        <v>1735</v>
      </c>
      <c r="B1796" s="138">
        <f>'Tax Sched 23'!F8</f>
        <v>26242</v>
      </c>
      <c r="C1796" s="2" t="s">
        <v>573</v>
      </c>
      <c r="D1796" s="2" t="str">
        <f t="shared" si="27"/>
        <v>Error?</v>
      </c>
    </row>
    <row r="1797" spans="1:4" x14ac:dyDescent="0.2">
      <c r="A1797" s="5">
        <v>1736</v>
      </c>
      <c r="B1797" s="138">
        <f>'Tax Sched 23'!F10</f>
        <v>22406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275536</v>
      </c>
      <c r="C1800" s="2" t="s">
        <v>573</v>
      </c>
      <c r="D1800" s="2" t="str">
        <f t="shared" si="27"/>
        <v>Error?</v>
      </c>
    </row>
    <row r="1801" spans="1:4" x14ac:dyDescent="0.2">
      <c r="A1801" s="5">
        <v>1740</v>
      </c>
      <c r="B1801" s="138">
        <f>'Tax Sched 23'!F12</f>
        <v>22406</v>
      </c>
      <c r="C1801" s="2" t="s">
        <v>573</v>
      </c>
      <c r="D1801" s="2" t="str">
        <f t="shared" si="27"/>
        <v>Error?</v>
      </c>
    </row>
    <row r="1802" spans="1:4" x14ac:dyDescent="0.2">
      <c r="A1802" s="5">
        <v>1741</v>
      </c>
      <c r="B1802" s="138">
        <f>'Tax Sched 23'!F14</f>
        <v>17925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2291363</v>
      </c>
      <c r="C1807" s="2" t="s">
        <v>573</v>
      </c>
      <c r="D1807" s="2" t="str">
        <f t="shared" si="27"/>
        <v>Error?</v>
      </c>
    </row>
    <row r="1808" spans="1:4" x14ac:dyDescent="0.2">
      <c r="A1808" s="5">
        <v>1747</v>
      </c>
      <c r="B1808" s="138">
        <f>'Tax Sched 23'!E4</f>
        <v>2133916</v>
      </c>
      <c r="D1808" s="2" t="str">
        <f t="shared" si="27"/>
        <v>Error?</v>
      </c>
    </row>
    <row r="1809" spans="1:4" x14ac:dyDescent="0.2">
      <c r="A1809" s="5">
        <v>1748</v>
      </c>
      <c r="B1809" s="138">
        <f>'Tax Sched 23'!E5</f>
        <v>426933</v>
      </c>
      <c r="D1809" s="2" t="str">
        <f t="shared" si="27"/>
        <v>Error?</v>
      </c>
    </row>
    <row r="1810" spans="1:4" x14ac:dyDescent="0.2">
      <c r="A1810" s="5">
        <v>1749</v>
      </c>
      <c r="B1810" s="138">
        <f>'Tax Sched 23'!E6</f>
        <v>747099</v>
      </c>
      <c r="D1810" s="2" t="str">
        <f t="shared" si="27"/>
        <v>Error?</v>
      </c>
    </row>
    <row r="1811" spans="1:4" x14ac:dyDescent="0.2">
      <c r="A1811" s="5">
        <v>1750</v>
      </c>
      <c r="B1811" s="138">
        <f>'Tax Sched 23'!E7</f>
        <v>170773</v>
      </c>
      <c r="D1811" s="2" t="str">
        <f t="shared" si="27"/>
        <v>Error?</v>
      </c>
    </row>
    <row r="1812" spans="1:4" x14ac:dyDescent="0.2">
      <c r="A1812" s="5">
        <v>1751</v>
      </c>
      <c r="B1812" s="138">
        <f>'Tax Sched 23'!E8</f>
        <v>50002</v>
      </c>
      <c r="D1812" s="2" t="str">
        <f t="shared" si="27"/>
        <v>Error?</v>
      </c>
    </row>
    <row r="1813" spans="1:4" x14ac:dyDescent="0.2">
      <c r="A1813" s="5">
        <v>1752</v>
      </c>
      <c r="B1813" s="138">
        <f>'Tax Sched 23'!E10</f>
        <v>42693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524999</v>
      </c>
      <c r="D1816" s="2" t="str">
        <f t="shared" si="27"/>
        <v>Error?</v>
      </c>
    </row>
    <row r="1817" spans="1:4" x14ac:dyDescent="0.2">
      <c r="A1817" s="5">
        <v>1756</v>
      </c>
      <c r="B1817" s="138">
        <f>'Tax Sched 23'!E12</f>
        <v>42693</v>
      </c>
      <c r="D1817" s="2" t="str">
        <f t="shared" si="27"/>
        <v>Error?</v>
      </c>
    </row>
    <row r="1818" spans="1:4" x14ac:dyDescent="0.2">
      <c r="A1818" s="5">
        <v>1757</v>
      </c>
      <c r="B1818" s="138">
        <f>'Tax Sched 23'!E14</f>
        <v>34155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4365955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2850000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29646</v>
      </c>
      <c r="D1972" s="2" t="str">
        <f t="shared" si="29"/>
        <v>Error?</v>
      </c>
    </row>
    <row r="1973" spans="1:5" x14ac:dyDescent="0.2">
      <c r="A1973" s="5">
        <v>1912</v>
      </c>
      <c r="B1973" s="138">
        <f>'Rest Tax Levies-Tort Im 25'!H6</f>
        <v>445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30091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30091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88929</v>
      </c>
      <c r="D2008" s="2" t="str">
        <f t="shared" si="30"/>
        <v>Error?</v>
      </c>
    </row>
    <row r="2009" spans="1:4" x14ac:dyDescent="0.2">
      <c r="A2009" s="5">
        <v>1948</v>
      </c>
      <c r="B2009" s="138">
        <f>'Cap Outlay Deprec 26'!C8</f>
        <v>6433206</v>
      </c>
      <c r="D2009" s="2" t="str">
        <f t="shared" si="30"/>
        <v>Error?</v>
      </c>
    </row>
    <row r="2010" spans="1:4" x14ac:dyDescent="0.2">
      <c r="A2010" s="5">
        <v>1949</v>
      </c>
      <c r="B2010" s="138">
        <f>'Cap Outlay Deprec 26'!C10</f>
        <v>847546</v>
      </c>
      <c r="D2010" s="2" t="str">
        <f t="shared" si="30"/>
        <v>Error?</v>
      </c>
    </row>
    <row r="2011" spans="1:4" x14ac:dyDescent="0.2">
      <c r="A2011" s="5">
        <v>1950</v>
      </c>
      <c r="B2011" s="138">
        <f>'Cap Outlay Deprec 26'!C12</f>
        <v>636832</v>
      </c>
      <c r="D2011" s="2" t="str">
        <f t="shared" si="30"/>
        <v>Error?</v>
      </c>
    </row>
    <row r="2012" spans="1:4" x14ac:dyDescent="0.2">
      <c r="A2012" s="5">
        <v>1951</v>
      </c>
      <c r="B2012" s="138">
        <f>'Cap Outlay Deprec 26'!C13</f>
        <v>820949</v>
      </c>
      <c r="D2012" s="2" t="str">
        <f t="shared" si="30"/>
        <v>Error?</v>
      </c>
    </row>
    <row r="2013" spans="1:4" x14ac:dyDescent="0.2">
      <c r="A2013" s="5">
        <v>1952</v>
      </c>
      <c r="B2013" s="138">
        <f>'Cap Outlay Deprec 26'!C16</f>
        <v>8827462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2025147</v>
      </c>
      <c r="D2016" s="2" t="str">
        <f t="shared" si="30"/>
        <v>Error?</v>
      </c>
    </row>
    <row r="2017" spans="1:4" x14ac:dyDescent="0.2">
      <c r="A2017" s="5">
        <v>1956</v>
      </c>
      <c r="B2017" s="138">
        <f>'Cap Outlay Deprec 26'!D12</f>
        <v>78251</v>
      </c>
      <c r="D2017" s="2" t="str">
        <f t="shared" si="30"/>
        <v>Error?</v>
      </c>
    </row>
    <row r="2018" spans="1:4" x14ac:dyDescent="0.2">
      <c r="A2018" s="5">
        <v>1957</v>
      </c>
      <c r="B2018" s="138">
        <f>'Cap Outlay Deprec 26'!D13</f>
        <v>51069</v>
      </c>
      <c r="D2018" s="2" t="str">
        <f t="shared" si="30"/>
        <v>Error?</v>
      </c>
    </row>
    <row r="2019" spans="1:4" x14ac:dyDescent="0.2">
      <c r="A2019" s="5">
        <v>1958</v>
      </c>
      <c r="B2019" s="138">
        <f>'Cap Outlay Deprec 26'!D16</f>
        <v>2154467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148079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148079</v>
      </c>
      <c r="C2025" s="2" t="s">
        <v>573</v>
      </c>
      <c r="D2025" s="2" t="str">
        <f t="shared" si="30"/>
        <v>Error?</v>
      </c>
    </row>
    <row r="2026" spans="1:4" x14ac:dyDescent="0.2">
      <c r="A2026" s="5">
        <v>1965</v>
      </c>
      <c r="B2026" s="138">
        <f>'Cap Outlay Deprec 26'!F5</f>
        <v>88929</v>
      </c>
      <c r="C2026" s="2" t="s">
        <v>573</v>
      </c>
      <c r="D2026" s="2" t="str">
        <f t="shared" si="30"/>
        <v>Error?</v>
      </c>
    </row>
    <row r="2027" spans="1:4" x14ac:dyDescent="0.2">
      <c r="A2027" s="5">
        <v>1966</v>
      </c>
      <c r="B2027" s="138">
        <f>'Cap Outlay Deprec 26'!F8</f>
        <v>6433206</v>
      </c>
      <c r="C2027" s="2" t="s">
        <v>573</v>
      </c>
      <c r="D2027" s="2" t="str">
        <f t="shared" si="30"/>
        <v>Error?</v>
      </c>
    </row>
    <row r="2028" spans="1:4" x14ac:dyDescent="0.2">
      <c r="A2028" s="5">
        <v>1967</v>
      </c>
      <c r="B2028" s="138">
        <f>'Cap Outlay Deprec 26'!F10</f>
        <v>2872693</v>
      </c>
      <c r="C2028" s="2" t="s">
        <v>573</v>
      </c>
      <c r="D2028" s="2" t="str">
        <f t="shared" si="30"/>
        <v>Error?</v>
      </c>
    </row>
    <row r="2029" spans="1:4" x14ac:dyDescent="0.2">
      <c r="A2029" s="5">
        <v>1968</v>
      </c>
      <c r="B2029" s="138">
        <f>'Cap Outlay Deprec 26'!F12</f>
        <v>567004</v>
      </c>
      <c r="C2029" s="2" t="s">
        <v>573</v>
      </c>
      <c r="D2029" s="2" t="str">
        <f t="shared" si="30"/>
        <v>Error?</v>
      </c>
    </row>
    <row r="2030" spans="1:4" x14ac:dyDescent="0.2">
      <c r="A2030" s="5">
        <v>1969</v>
      </c>
      <c r="B2030" s="138">
        <f>'Cap Outlay Deprec 26'!F13</f>
        <v>872018</v>
      </c>
      <c r="C2030" s="2" t="s">
        <v>573</v>
      </c>
      <c r="D2030" s="2" t="str">
        <f t="shared" si="30"/>
        <v>Error?</v>
      </c>
    </row>
    <row r="2031" spans="1:4" x14ac:dyDescent="0.2">
      <c r="A2031" s="5">
        <v>1970</v>
      </c>
      <c r="B2031" s="138">
        <f>'Cap Outlay Deprec 26'!F16</f>
        <v>10833850</v>
      </c>
      <c r="C2031" s="2" t="s">
        <v>573</v>
      </c>
      <c r="D2031" s="2" t="str">
        <f t="shared" si="30"/>
        <v>Error?</v>
      </c>
    </row>
    <row r="2032" spans="1:4" x14ac:dyDescent="0.2">
      <c r="A2032" s="10">
        <v>1971</v>
      </c>
      <c r="D2032" s="2" t="str">
        <f t="shared" si="30"/>
        <v>OK</v>
      </c>
    </row>
    <row r="2033" spans="1:4" x14ac:dyDescent="0.2">
      <c r="A2033" s="5">
        <v>1972</v>
      </c>
      <c r="B2033" s="138">
        <f>'Cap Outlay Deprec 26'!H8</f>
        <v>3648613</v>
      </c>
      <c r="D2033" s="2" t="str">
        <f t="shared" si="30"/>
        <v>Error?</v>
      </c>
    </row>
    <row r="2034" spans="1:4" x14ac:dyDescent="0.2">
      <c r="A2034" s="5">
        <v>1973</v>
      </c>
      <c r="B2034" s="138">
        <f>'Cap Outlay Deprec 26'!H10</f>
        <v>516706</v>
      </c>
      <c r="D2034" s="2" t="str">
        <f t="shared" si="30"/>
        <v>Error?</v>
      </c>
    </row>
    <row r="2035" spans="1:4" x14ac:dyDescent="0.2">
      <c r="A2035" s="5">
        <v>1974</v>
      </c>
      <c r="B2035" s="138">
        <f>'Cap Outlay Deprec 26'!H12</f>
        <v>425083</v>
      </c>
      <c r="D2035" s="2" t="str">
        <f t="shared" si="30"/>
        <v>Error?</v>
      </c>
    </row>
    <row r="2036" spans="1:4" x14ac:dyDescent="0.2">
      <c r="A2036" s="5">
        <v>1975</v>
      </c>
      <c r="B2036" s="138">
        <f>'Cap Outlay Deprec 26'!H13</f>
        <v>630873</v>
      </c>
      <c r="D2036" s="2" t="str">
        <f t="shared" si="30"/>
        <v>Error?</v>
      </c>
    </row>
    <row r="2037" spans="1:4" x14ac:dyDescent="0.2">
      <c r="A2037" s="5">
        <v>1976</v>
      </c>
      <c r="B2037" s="138">
        <f>'Cap Outlay Deprec 26'!H16</f>
        <v>5221275</v>
      </c>
      <c r="C2037" s="2" t="s">
        <v>573</v>
      </c>
      <c r="D2037" s="2" t="str">
        <f t="shared" si="30"/>
        <v>Error?</v>
      </c>
    </row>
    <row r="2038" spans="1:4" x14ac:dyDescent="0.2">
      <c r="A2038" s="10">
        <v>1977</v>
      </c>
      <c r="D2038" s="2" t="str">
        <f t="shared" si="30"/>
        <v>OK</v>
      </c>
    </row>
    <row r="2039" spans="1:4" x14ac:dyDescent="0.2">
      <c r="A2039" s="5">
        <v>1978</v>
      </c>
      <c r="B2039" s="138">
        <f>'Cap Outlay Deprec 26'!I8</f>
        <v>128664</v>
      </c>
      <c r="D2039" s="2" t="str">
        <f t="shared" si="30"/>
        <v>Error?</v>
      </c>
    </row>
    <row r="2040" spans="1:4" x14ac:dyDescent="0.2">
      <c r="A2040" s="5">
        <v>1979</v>
      </c>
      <c r="B2040" s="138">
        <f>'Cap Outlay Deprec 26'!I10</f>
        <v>143734</v>
      </c>
      <c r="D2040" s="2" t="str">
        <f t="shared" si="30"/>
        <v>Error?</v>
      </c>
    </row>
    <row r="2041" spans="1:4" x14ac:dyDescent="0.2">
      <c r="A2041" s="5">
        <v>1980</v>
      </c>
      <c r="B2041" s="138">
        <f>'Cap Outlay Deprec 26'!I12</f>
        <v>71509</v>
      </c>
      <c r="D2041" s="2" t="str">
        <f t="shared" si="30"/>
        <v>Error?</v>
      </c>
    </row>
    <row r="2042" spans="1:4" x14ac:dyDescent="0.2">
      <c r="A2042" s="5">
        <v>1981</v>
      </c>
      <c r="B2042" s="138">
        <f>'Cap Outlay Deprec 26'!I13</f>
        <v>68423</v>
      </c>
      <c r="D2042" s="2" t="str">
        <f t="shared" si="30"/>
        <v>Error?</v>
      </c>
    </row>
    <row r="2043" spans="1:4" x14ac:dyDescent="0.2">
      <c r="A2043" s="5">
        <v>1982</v>
      </c>
      <c r="B2043" s="138">
        <f>'Cap Outlay Deprec 26'!I16</f>
        <v>412330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148079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148079</v>
      </c>
      <c r="C2049" s="2" t="s">
        <v>573</v>
      </c>
      <c r="D2049" s="2" t="str">
        <f t="shared" si="31"/>
        <v>Error?</v>
      </c>
    </row>
    <row r="2050" spans="1:4" x14ac:dyDescent="0.2">
      <c r="A2050" s="10">
        <v>1989</v>
      </c>
      <c r="D2050" s="2" t="str">
        <f t="shared" si="31"/>
        <v>OK</v>
      </c>
    </row>
    <row r="2051" spans="1:4" x14ac:dyDescent="0.2">
      <c r="A2051" s="5">
        <v>1990</v>
      </c>
      <c r="B2051" s="138">
        <f>'Cap Outlay Deprec 26'!K8</f>
        <v>3777277</v>
      </c>
      <c r="C2051" s="2" t="s">
        <v>573</v>
      </c>
      <c r="D2051" s="2" t="str">
        <f t="shared" si="31"/>
        <v>Error?</v>
      </c>
    </row>
    <row r="2052" spans="1:4" x14ac:dyDescent="0.2">
      <c r="A2052" s="5">
        <v>1991</v>
      </c>
      <c r="B2052" s="138">
        <f>'Cap Outlay Deprec 26'!K10</f>
        <v>660440</v>
      </c>
      <c r="C2052" s="2" t="s">
        <v>573</v>
      </c>
      <c r="D2052" s="2" t="str">
        <f t="shared" si="31"/>
        <v>Error?</v>
      </c>
    </row>
    <row r="2053" spans="1:4" x14ac:dyDescent="0.2">
      <c r="A2053" s="5">
        <v>1992</v>
      </c>
      <c r="B2053" s="138">
        <f>'Cap Outlay Deprec 26'!K12</f>
        <v>348513</v>
      </c>
      <c r="C2053" s="2" t="s">
        <v>573</v>
      </c>
      <c r="D2053" s="2" t="str">
        <f t="shared" si="31"/>
        <v>Error?</v>
      </c>
    </row>
    <row r="2054" spans="1:4" x14ac:dyDescent="0.2">
      <c r="A2054" s="5">
        <v>1993</v>
      </c>
      <c r="B2054" s="138">
        <f>'Cap Outlay Deprec 26'!K13</f>
        <v>699296</v>
      </c>
      <c r="C2054" s="2" t="s">
        <v>573</v>
      </c>
      <c r="D2054" s="2" t="str">
        <f t="shared" si="31"/>
        <v>Error?</v>
      </c>
    </row>
    <row r="2055" spans="1:4" x14ac:dyDescent="0.2">
      <c r="A2055" s="5">
        <v>1994</v>
      </c>
      <c r="B2055" s="138">
        <f>'Cap Outlay Deprec 26'!K16</f>
        <v>5485526</v>
      </c>
      <c r="C2055" s="2" t="s">
        <v>573</v>
      </c>
      <c r="D2055" s="2" t="str">
        <f t="shared" si="31"/>
        <v>Error?</v>
      </c>
    </row>
    <row r="2056" spans="1:4" x14ac:dyDescent="0.2">
      <c r="A2056" s="5">
        <v>1995</v>
      </c>
      <c r="B2056" s="138">
        <f>'Cap Outlay Deprec 26'!L5</f>
        <v>88929</v>
      </c>
      <c r="C2056" s="2" t="s">
        <v>573</v>
      </c>
      <c r="D2056" s="2" t="str">
        <f t="shared" si="31"/>
        <v>Error?</v>
      </c>
    </row>
    <row r="2057" spans="1:4" x14ac:dyDescent="0.2">
      <c r="A2057" s="5">
        <v>1996</v>
      </c>
      <c r="B2057" s="138">
        <f>'Cap Outlay Deprec 26'!L8</f>
        <v>2655929</v>
      </c>
      <c r="C2057" s="2" t="s">
        <v>573</v>
      </c>
      <c r="D2057" s="2" t="str">
        <f t="shared" si="31"/>
        <v>Error?</v>
      </c>
    </row>
    <row r="2058" spans="1:4" x14ac:dyDescent="0.2">
      <c r="A2058" s="5">
        <v>1997</v>
      </c>
      <c r="B2058" s="138">
        <f>'Cap Outlay Deprec 26'!L10</f>
        <v>2212253</v>
      </c>
      <c r="C2058" s="2" t="s">
        <v>573</v>
      </c>
      <c r="D2058" s="2" t="str">
        <f t="shared" si="31"/>
        <v>Error?</v>
      </c>
    </row>
    <row r="2059" spans="1:4" x14ac:dyDescent="0.2">
      <c r="A2059" s="5">
        <v>1998</v>
      </c>
      <c r="B2059" s="138">
        <f>'Cap Outlay Deprec 26'!L12</f>
        <v>218491</v>
      </c>
      <c r="C2059" s="2" t="s">
        <v>573</v>
      </c>
      <c r="D2059" s="2" t="str">
        <f t="shared" si="31"/>
        <v>Error?</v>
      </c>
    </row>
    <row r="2060" spans="1:4" x14ac:dyDescent="0.2">
      <c r="A2060" s="5">
        <v>1999</v>
      </c>
      <c r="B2060" s="138">
        <f>'Cap Outlay Deprec 26'!L13</f>
        <v>172722</v>
      </c>
      <c r="C2060" s="2" t="s">
        <v>573</v>
      </c>
      <c r="D2060" s="2" t="str">
        <f t="shared" si="31"/>
        <v>Error?</v>
      </c>
    </row>
    <row r="2061" spans="1:4" x14ac:dyDescent="0.2">
      <c r="A2061" s="5">
        <v>2000</v>
      </c>
      <c r="B2061" s="138">
        <f>'Cap Outlay Deprec 26'!L16</f>
        <v>5348324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194079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196372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5424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5424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70000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272252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2309459</v>
      </c>
      <c r="C2551" s="2" t="s">
        <v>573</v>
      </c>
      <c r="D2551" s="2" t="str">
        <f t="shared" si="38"/>
        <v>Error?</v>
      </c>
    </row>
    <row r="2552" spans="1:4" x14ac:dyDescent="0.2">
      <c r="A2552" s="10">
        <v>2491</v>
      </c>
      <c r="D2552" s="2" t="str">
        <f t="shared" si="38"/>
        <v>OK</v>
      </c>
    </row>
    <row r="2553" spans="1:4" x14ac:dyDescent="0.2">
      <c r="A2553" s="5">
        <v>2492</v>
      </c>
      <c r="B2553" s="138">
        <f>'Acct Summary 7-8'!C6</f>
        <v>1746157</v>
      </c>
      <c r="C2553" s="2" t="s">
        <v>573</v>
      </c>
      <c r="D2553" s="2" t="str">
        <f t="shared" si="38"/>
        <v>Error?</v>
      </c>
    </row>
    <row r="2554" spans="1:4" x14ac:dyDescent="0.2">
      <c r="A2554" s="5">
        <v>2493</v>
      </c>
      <c r="B2554" s="138">
        <f>'Acct Summary 7-8'!C7</f>
        <v>417775</v>
      </c>
      <c r="C2554" s="2" t="s">
        <v>573</v>
      </c>
      <c r="D2554" s="2" t="str">
        <f t="shared" si="38"/>
        <v>Error?</v>
      </c>
    </row>
    <row r="2555" spans="1:4" x14ac:dyDescent="0.2">
      <c r="A2555" s="5">
        <v>2494</v>
      </c>
      <c r="B2555" s="138">
        <f>'Acct Summary 7-8'!C8</f>
        <v>4473391</v>
      </c>
      <c r="C2555" s="2" t="s">
        <v>573</v>
      </c>
      <c r="D2555" s="2" t="str">
        <f t="shared" si="38"/>
        <v>Error?</v>
      </c>
    </row>
    <row r="2556" spans="1:4" x14ac:dyDescent="0.2">
      <c r="A2556" s="5">
        <v>2495</v>
      </c>
      <c r="B2556" s="138">
        <f>'Acct Summary 7-8'!C12</f>
        <v>3422091</v>
      </c>
      <c r="C2556" s="2" t="s">
        <v>573</v>
      </c>
      <c r="D2556" s="2" t="str">
        <f t="shared" si="38"/>
        <v>Error?</v>
      </c>
    </row>
    <row r="2557" spans="1:4" x14ac:dyDescent="0.2">
      <c r="A2557" s="5">
        <v>2496</v>
      </c>
      <c r="B2557" s="138">
        <f>'Acct Summary 7-8'!C13</f>
        <v>983103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196372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4601566</v>
      </c>
      <c r="C2561" s="2" t="s">
        <v>573</v>
      </c>
      <c r="D2561" s="2" t="str">
        <f t="shared" si="39"/>
        <v>Error?</v>
      </c>
    </row>
    <row r="2562" spans="1:4" x14ac:dyDescent="0.2">
      <c r="A2562" s="5">
        <v>2501</v>
      </c>
      <c r="B2562" s="138">
        <f>'Acct Summary 7-8'!C20</f>
        <v>-128175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403182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403182</v>
      </c>
      <c r="C2568" s="2" t="s">
        <v>573</v>
      </c>
      <c r="D2568" s="2" t="str">
        <f t="shared" si="39"/>
        <v>Error?</v>
      </c>
    </row>
    <row r="2569" spans="1:4" x14ac:dyDescent="0.2">
      <c r="A2569" s="5">
        <v>2508</v>
      </c>
      <c r="B2569" s="138">
        <f>'Acct Summary 7-8'!D13</f>
        <v>481256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5424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486680</v>
      </c>
      <c r="C2573" s="2" t="s">
        <v>573</v>
      </c>
      <c r="D2573" s="2" t="str">
        <f t="shared" si="39"/>
        <v>Error?</v>
      </c>
    </row>
    <row r="2574" spans="1:4" x14ac:dyDescent="0.2">
      <c r="A2574" s="5">
        <v>2513</v>
      </c>
      <c r="B2574" s="138">
        <f>'Acct Summary 7-8'!D20</f>
        <v>-83498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150025</v>
      </c>
      <c r="C2591" s="2" t="s">
        <v>573</v>
      </c>
      <c r="D2591" s="2" t="str">
        <f t="shared" si="39"/>
        <v>Error?</v>
      </c>
    </row>
    <row r="2592" spans="1:4" x14ac:dyDescent="0.2">
      <c r="A2592" s="10">
        <v>2531</v>
      </c>
      <c r="D2592" s="2" t="str">
        <f t="shared" si="39"/>
        <v>OK</v>
      </c>
    </row>
    <row r="2593" spans="1:4" x14ac:dyDescent="0.2">
      <c r="A2593" s="5">
        <v>2532</v>
      </c>
      <c r="B2593" s="138">
        <f>'Acct Summary 7-8'!F6</f>
        <v>167166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317191</v>
      </c>
      <c r="C2595" s="2" t="s">
        <v>573</v>
      </c>
      <c r="D2595" s="2" t="str">
        <f t="shared" si="39"/>
        <v>Error?</v>
      </c>
    </row>
    <row r="2596" spans="1:4" x14ac:dyDescent="0.2">
      <c r="A2596" s="5">
        <v>2535</v>
      </c>
      <c r="B2596" s="138">
        <f>'Acct Summary 7-8'!F13</f>
        <v>301753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301753</v>
      </c>
      <c r="C2600" s="2" t="s">
        <v>573</v>
      </c>
      <c r="D2600" s="2" t="str">
        <f t="shared" si="39"/>
        <v>Error?</v>
      </c>
    </row>
    <row r="2601" spans="1:4" x14ac:dyDescent="0.2">
      <c r="A2601" s="5">
        <v>2540</v>
      </c>
      <c r="B2601" s="138">
        <f>'Acct Summary 7-8'!F20</f>
        <v>15438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181938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181938</v>
      </c>
      <c r="C2606" s="2" t="s">
        <v>573</v>
      </c>
      <c r="D2606" s="2" t="str">
        <f t="shared" si="39"/>
        <v>Error?</v>
      </c>
    </row>
    <row r="2607" spans="1:4" x14ac:dyDescent="0.2">
      <c r="A2607" s="5">
        <v>2546</v>
      </c>
      <c r="B2607" s="138">
        <f>'Acct Summary 7-8'!G12</f>
        <v>71350</v>
      </c>
      <c r="C2607" s="2" t="s">
        <v>573</v>
      </c>
      <c r="D2607" s="2" t="str">
        <f t="shared" si="39"/>
        <v>Error?</v>
      </c>
    </row>
    <row r="2608" spans="1:4" x14ac:dyDescent="0.2">
      <c r="A2608" s="5">
        <v>2547</v>
      </c>
      <c r="B2608" s="138">
        <f>'Acct Summary 7-8'!G13</f>
        <v>97129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168479</v>
      </c>
      <c r="C2612" s="2" t="s">
        <v>573</v>
      </c>
      <c r="D2612" s="2" t="str">
        <f t="shared" si="39"/>
        <v>Error?</v>
      </c>
    </row>
    <row r="2613" spans="1:4" x14ac:dyDescent="0.2">
      <c r="A2613" s="5">
        <v>2552</v>
      </c>
      <c r="B2613" s="138">
        <f>'Acct Summary 7-8'!G20</f>
        <v>13459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643179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643179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703784</v>
      </c>
      <c r="C2634" s="2" t="s">
        <v>573</v>
      </c>
      <c r="D2634" s="2" t="str">
        <f t="shared" si="40"/>
        <v>Error?</v>
      </c>
    </row>
    <row r="2635" spans="1:4" x14ac:dyDescent="0.2">
      <c r="A2635" s="5">
        <v>2574</v>
      </c>
      <c r="B2635" s="138">
        <f>'Acct Summary 7-8'!E17</f>
        <v>703784</v>
      </c>
      <c r="C2635" s="2" t="s">
        <v>573</v>
      </c>
      <c r="D2635" s="2" t="str">
        <f t="shared" si="40"/>
        <v>Error?</v>
      </c>
    </row>
    <row r="2636" spans="1:4" x14ac:dyDescent="0.2">
      <c r="A2636" s="5">
        <v>2575</v>
      </c>
      <c r="B2636" s="138">
        <f>'Acct Summary 7-8'!E20</f>
        <v>-60605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2293</v>
      </c>
      <c r="C2789" s="2" t="s">
        <v>573</v>
      </c>
      <c r="D2789" s="2" t="str">
        <f t="shared" si="42"/>
        <v>Error?</v>
      </c>
    </row>
    <row r="2790" spans="1:4" x14ac:dyDescent="0.2">
      <c r="A2790" s="5">
        <v>2729</v>
      </c>
      <c r="B2790" s="138">
        <f>'Expenditures 15-22'!E102</f>
        <v>2293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218150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1786578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136377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1786578</v>
      </c>
      <c r="D2912" s="2" t="str">
        <f t="shared" si="44"/>
        <v>Error?</v>
      </c>
    </row>
    <row r="2913" spans="1:4" x14ac:dyDescent="0.2">
      <c r="A2913" s="5">
        <v>2852</v>
      </c>
      <c r="B2913" s="138">
        <f>'Assets-Liab 5-6'!I41</f>
        <v>1786578</v>
      </c>
      <c r="C2913" s="2" t="s">
        <v>573</v>
      </c>
      <c r="D2913" s="2" t="str">
        <f t="shared" si="44"/>
        <v>Error?</v>
      </c>
    </row>
    <row r="2914" spans="1:4" x14ac:dyDescent="0.2">
      <c r="A2914" s="5">
        <v>2853</v>
      </c>
      <c r="B2914" s="138">
        <f>'Assets-Liab 5-6'!L33</f>
        <v>136377</v>
      </c>
      <c r="D2914" s="2" t="str">
        <f t="shared" si="44"/>
        <v>Error?</v>
      </c>
    </row>
    <row r="2915" spans="1:4" x14ac:dyDescent="0.2">
      <c r="A2915" s="10">
        <v>2854</v>
      </c>
      <c r="D2915" s="2" t="str">
        <f t="shared" si="44"/>
        <v>OK</v>
      </c>
    </row>
    <row r="2916" spans="1:4" x14ac:dyDescent="0.2">
      <c r="A2916" s="5">
        <v>2855</v>
      </c>
      <c r="B2916" s="138">
        <f>'Assets-Liab 5-6'!L34</f>
        <v>136377</v>
      </c>
      <c r="C2916" s="2" t="s">
        <v>573</v>
      </c>
      <c r="D2916" s="2" t="str">
        <f t="shared" si="44"/>
        <v>Error?</v>
      </c>
    </row>
    <row r="2917" spans="1:4" x14ac:dyDescent="0.2">
      <c r="A2917" s="5">
        <v>2856</v>
      </c>
      <c r="B2917" s="138">
        <f>'Assets-Liab 5-6'!L41</f>
        <v>136377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2293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171995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22084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171995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22084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2293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5424</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5424</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67073</v>
      </c>
      <c r="D3055" s="2" t="str">
        <f t="shared" si="46"/>
        <v>Error?</v>
      </c>
    </row>
    <row r="3056" spans="1:4" x14ac:dyDescent="0.2">
      <c r="A3056" s="5">
        <v>2995</v>
      </c>
      <c r="B3056" s="138">
        <f>'Expenditures 15-22'!D10</f>
        <v>10899</v>
      </c>
      <c r="D3056" s="2" t="str">
        <f t="shared" si="46"/>
        <v>Error?</v>
      </c>
    </row>
    <row r="3057" spans="1:4" x14ac:dyDescent="0.2">
      <c r="A3057" s="5">
        <v>2996</v>
      </c>
      <c r="B3057" s="138">
        <f>'Expenditures 15-22'!E10</f>
        <v>17510</v>
      </c>
      <c r="D3057" s="2" t="str">
        <f t="shared" si="46"/>
        <v>Error?</v>
      </c>
    </row>
    <row r="3058" spans="1:4" x14ac:dyDescent="0.2">
      <c r="A3058" s="5">
        <v>2997</v>
      </c>
      <c r="B3058" s="138">
        <f>'Expenditures 15-22'!F10</f>
        <v>19631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115113</v>
      </c>
      <c r="C3062" s="2" t="s">
        <v>573</v>
      </c>
      <c r="D3062" s="2" t="str">
        <f t="shared" si="46"/>
        <v>Error?</v>
      </c>
    </row>
    <row r="3063" spans="1:4" x14ac:dyDescent="0.2">
      <c r="A3063" s="10">
        <v>3002</v>
      </c>
      <c r="D3063" s="2" t="str">
        <f t="shared" si="46"/>
        <v>OK</v>
      </c>
    </row>
    <row r="3064" spans="1:4" x14ac:dyDescent="0.2">
      <c r="A3064" s="5">
        <v>3003</v>
      </c>
      <c r="B3064" s="138">
        <f>'Expenditures 15-22'!D219</f>
        <v>9022</v>
      </c>
      <c r="D3064" s="2" t="str">
        <f t="shared" si="46"/>
        <v>Error?</v>
      </c>
    </row>
    <row r="3065" spans="1:4" x14ac:dyDescent="0.2">
      <c r="A3065" s="5">
        <v>3004</v>
      </c>
      <c r="B3065" s="138">
        <f>'Expenditures 15-22'!K219</f>
        <v>9022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40012</v>
      </c>
      <c r="C3225" s="2" t="s">
        <v>573</v>
      </c>
      <c r="D3225" s="2" t="str">
        <f t="shared" si="49"/>
        <v>Error?</v>
      </c>
    </row>
    <row r="3226" spans="1:4" x14ac:dyDescent="0.2">
      <c r="A3226" s="5">
        <v>3165</v>
      </c>
      <c r="B3226" s="138">
        <f>'Acct Summary 7-8'!I8</f>
        <v>40012</v>
      </c>
      <c r="C3226" s="2" t="s">
        <v>573</v>
      </c>
      <c r="D3226" s="2" t="str">
        <f t="shared" si="49"/>
        <v>Error?</v>
      </c>
    </row>
    <row r="3227" spans="1:4" x14ac:dyDescent="0.2">
      <c r="A3227" s="5">
        <v>3166</v>
      </c>
      <c r="B3227" s="138">
        <f>'Acct Summary 7-8'!I20</f>
        <v>40012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-128175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75000</v>
      </c>
      <c r="C3238" s="2" t="s">
        <v>573</v>
      </c>
      <c r="D3238" s="2" t="str">
        <f t="shared" si="49"/>
        <v>Error?</v>
      </c>
    </row>
    <row r="3239" spans="1:4" x14ac:dyDescent="0.2">
      <c r="A3239" s="5">
        <v>3178</v>
      </c>
      <c r="B3239" s="138">
        <f>'Acct Summary 7-8'!D78</f>
        <v>-8498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15438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13459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-60605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75000</v>
      </c>
      <c r="C3318" s="2" t="s">
        <v>573</v>
      </c>
      <c r="D3318" s="2" t="str">
        <f t="shared" si="50"/>
        <v>Error?</v>
      </c>
    </row>
    <row r="3319" spans="1:4" x14ac:dyDescent="0.2">
      <c r="A3319" s="5">
        <v>3258</v>
      </c>
      <c r="B3319" s="138">
        <f>'Acct Summary 7-8'!I77</f>
        <v>-75000</v>
      </c>
      <c r="C3319" s="2" t="s">
        <v>573</v>
      </c>
      <c r="D3319" s="2" t="str">
        <f t="shared" si="50"/>
        <v>Error?</v>
      </c>
    </row>
    <row r="3320" spans="1:4" x14ac:dyDescent="0.2">
      <c r="A3320" s="5">
        <v>3259</v>
      </c>
      <c r="B3320" s="138">
        <f>'Acct Summary 7-8'!I78</f>
        <v>-34988</v>
      </c>
      <c r="C3320" s="2" t="s">
        <v>573</v>
      </c>
      <c r="D3320" s="2" t="str">
        <f t="shared" si="50"/>
        <v>Error?</v>
      </c>
    </row>
    <row r="3321" spans="1:4" x14ac:dyDescent="0.2">
      <c r="A3321" s="5">
        <v>3260</v>
      </c>
      <c r="B3321" s="138">
        <f>'Acct Summary 7-8'!I79</f>
        <v>1821566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1786578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273530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53568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4182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334209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33643</v>
      </c>
      <c r="D3387" s="2" t="str">
        <f t="shared" si="51"/>
        <v>Error?</v>
      </c>
    </row>
    <row r="3388" spans="1:4" x14ac:dyDescent="0.2">
      <c r="A3388" s="5">
        <v>3327</v>
      </c>
      <c r="B3388" s="138">
        <f>'Expenditures 15-22'!D217</f>
        <v>17894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33643</v>
      </c>
      <c r="C3390" s="2" t="s">
        <v>573</v>
      </c>
      <c r="D3390" s="2" t="str">
        <f t="shared" si="51"/>
        <v>Error?</v>
      </c>
    </row>
    <row r="3391" spans="1:4" x14ac:dyDescent="0.2">
      <c r="A3391" s="5">
        <v>3330</v>
      </c>
      <c r="B3391" s="138">
        <f>'Expenditures 15-22'!K217</f>
        <v>17894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6363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259537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180718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320125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1201220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136377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132679</v>
      </c>
      <c r="C3446" s="2" t="s">
        <v>573</v>
      </c>
      <c r="D3446" s="2" t="str">
        <f t="shared" si="52"/>
        <v>Error?</v>
      </c>
    </row>
    <row r="3447" spans="1:4" x14ac:dyDescent="0.2">
      <c r="A3447" s="5">
        <v>3386</v>
      </c>
      <c r="B3447" s="138">
        <f>'Tax Sched 23'!D16</f>
        <v>61404</v>
      </c>
      <c r="C3447" s="2" t="s">
        <v>573</v>
      </c>
      <c r="D3447" s="2" t="str">
        <f t="shared" si="52"/>
        <v>Error?</v>
      </c>
    </row>
    <row r="3448" spans="1:4" x14ac:dyDescent="0.2">
      <c r="A3448" s="5">
        <v>3387</v>
      </c>
      <c r="B3448" s="138">
        <f>'Tax Sched 23'!C16</f>
        <v>71275</v>
      </c>
      <c r="D3448" s="2" t="str">
        <f t="shared" si="52"/>
        <v>Error?</v>
      </c>
    </row>
    <row r="3449" spans="1:4" x14ac:dyDescent="0.2">
      <c r="A3449" s="5">
        <v>3388</v>
      </c>
      <c r="B3449" s="138">
        <f>'Tax Sched 23'!F16</f>
        <v>78724</v>
      </c>
      <c r="C3449" s="2" t="s">
        <v>573</v>
      </c>
      <c r="D3449" s="2" t="str">
        <f t="shared" si="52"/>
        <v>Error?</v>
      </c>
    </row>
    <row r="3450" spans="1:4" x14ac:dyDescent="0.2">
      <c r="A3450" s="5">
        <v>3389</v>
      </c>
      <c r="B3450" s="138">
        <f>'Tax Sched 23'!E16</f>
        <v>149999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30701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30701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30701</v>
      </c>
      <c r="D3567" s="2" t="str">
        <f t="shared" si="54"/>
        <v>Error?</v>
      </c>
    </row>
    <row r="3568" spans="1:4" x14ac:dyDescent="0.2">
      <c r="A3568" s="5">
        <v>3507</v>
      </c>
      <c r="B3568" s="138">
        <f>'Assets-Liab 5-6'!K41</f>
        <v>30701</v>
      </c>
      <c r="C3568" s="2" t="s">
        <v>573</v>
      </c>
      <c r="D3568" s="2" t="str">
        <f t="shared" si="54"/>
        <v>Error?</v>
      </c>
    </row>
    <row r="3569" spans="1:4" x14ac:dyDescent="0.2">
      <c r="A3569" s="5">
        <v>3508</v>
      </c>
      <c r="B3569" s="138">
        <f>'Acct Summary 7-8'!K4</f>
        <v>37059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37059</v>
      </c>
      <c r="C3571" s="2" t="s">
        <v>573</v>
      </c>
      <c r="D3571" s="2" t="str">
        <f t="shared" si="54"/>
        <v>Error?</v>
      </c>
    </row>
    <row r="3572" spans="1:4" x14ac:dyDescent="0.2">
      <c r="A3572" s="5">
        <v>3511</v>
      </c>
      <c r="B3572" s="138">
        <f>'Acct Summary 7-8'!K13</f>
        <v>2032402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2032402</v>
      </c>
      <c r="C3575" s="2" t="s">
        <v>573</v>
      </c>
      <c r="D3575" s="2" t="str">
        <f t="shared" si="54"/>
        <v>Error?</v>
      </c>
    </row>
    <row r="3576" spans="1:4" x14ac:dyDescent="0.2">
      <c r="A3576" s="5">
        <v>3515</v>
      </c>
      <c r="B3576" s="138">
        <f>'Acct Summary 7-8'!K20</f>
        <v>-1995343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-1995343</v>
      </c>
      <c r="C3588" s="2" t="s">
        <v>573</v>
      </c>
      <c r="D3588" s="2" t="str">
        <f t="shared" si="55"/>
        <v>Error?</v>
      </c>
    </row>
    <row r="3589" spans="1:4" x14ac:dyDescent="0.2">
      <c r="A3589" s="5">
        <v>3528</v>
      </c>
      <c r="B3589" s="138">
        <f>'Acct Summary 7-8'!K79</f>
        <v>2026044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30701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4449</v>
      </c>
      <c r="D3639" s="2" t="str">
        <f t="shared" si="55"/>
        <v>Error?</v>
      </c>
    </row>
    <row r="3640" spans="1:4" x14ac:dyDescent="0.2">
      <c r="A3640" s="5">
        <v>3579</v>
      </c>
      <c r="B3640" s="138">
        <f>'Expenditures 15-22'!F350</f>
        <v>4449</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4449</v>
      </c>
      <c r="C3642" s="2" t="s">
        <v>573</v>
      </c>
      <c r="D3642" s="2" t="str">
        <f t="shared" si="55"/>
        <v>Error?</v>
      </c>
    </row>
    <row r="3643" spans="1:4" x14ac:dyDescent="0.2">
      <c r="A3643" s="5">
        <v>3582</v>
      </c>
      <c r="B3643" s="138">
        <f>'Expenditures 15-22'!F367</f>
        <v>4449</v>
      </c>
      <c r="C3643" s="2" t="s">
        <v>573</v>
      </c>
      <c r="D3643" s="2" t="str">
        <f t="shared" si="55"/>
        <v>Error?</v>
      </c>
    </row>
    <row r="3644" spans="1:4" x14ac:dyDescent="0.2">
      <c r="A3644" s="10">
        <v>3583</v>
      </c>
      <c r="D3644" s="2" t="str">
        <f t="shared" si="55"/>
        <v>OK</v>
      </c>
    </row>
    <row r="3645" spans="1:4" x14ac:dyDescent="0.2">
      <c r="A3645" s="5">
        <v>3584</v>
      </c>
      <c r="B3645" s="138">
        <f>'Expenditures 15-22'!G348</f>
        <v>2025147</v>
      </c>
      <c r="D3645" s="2" t="str">
        <f t="shared" si="55"/>
        <v>Error?</v>
      </c>
    </row>
    <row r="3646" spans="1:4" x14ac:dyDescent="0.2">
      <c r="A3646" s="5">
        <v>3585</v>
      </c>
      <c r="B3646" s="138">
        <f>'Expenditures 15-22'!G349</f>
        <v>2806</v>
      </c>
      <c r="D3646" s="2" t="str">
        <f t="shared" si="55"/>
        <v>Error?</v>
      </c>
    </row>
    <row r="3647" spans="1:4" x14ac:dyDescent="0.2">
      <c r="A3647" s="5">
        <v>3586</v>
      </c>
      <c r="B3647" s="138">
        <f>'Expenditures 15-22'!G350</f>
        <v>2027953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2027953</v>
      </c>
      <c r="C3649" s="2" t="s">
        <v>573</v>
      </c>
      <c r="D3649" s="2" t="str">
        <f t="shared" si="56"/>
        <v>Error?</v>
      </c>
    </row>
    <row r="3650" spans="1:4" x14ac:dyDescent="0.2">
      <c r="A3650" s="5">
        <v>3589</v>
      </c>
      <c r="B3650" s="138">
        <f>'Expenditures 15-22'!G367</f>
        <v>2027953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2025147</v>
      </c>
      <c r="C3668" s="2" t="s">
        <v>573</v>
      </c>
      <c r="D3668" s="2" t="str">
        <f t="shared" si="56"/>
        <v>Error?</v>
      </c>
    </row>
    <row r="3669" spans="1:4" x14ac:dyDescent="0.2">
      <c r="A3669" s="5">
        <v>3608</v>
      </c>
      <c r="B3669" s="138">
        <f>'Expenditures 15-22'!K349</f>
        <v>7255</v>
      </c>
      <c r="C3669" s="2" t="s">
        <v>573</v>
      </c>
      <c r="D3669" s="2" t="str">
        <f t="shared" si="56"/>
        <v>Error?</v>
      </c>
    </row>
    <row r="3670" spans="1:4" x14ac:dyDescent="0.2">
      <c r="A3670" s="5">
        <v>3609</v>
      </c>
      <c r="B3670" s="138">
        <f>'Expenditures 15-22'!K350</f>
        <v>2032402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2032402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2032402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-1995343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37059</v>
      </c>
      <c r="C3725" s="2" t="s">
        <v>573</v>
      </c>
      <c r="D3725" s="2" t="str">
        <f t="shared" si="57"/>
        <v>Error?</v>
      </c>
    </row>
    <row r="3726" spans="1:4" x14ac:dyDescent="0.2">
      <c r="A3726" s="5">
        <v>3665</v>
      </c>
      <c r="B3726" s="138">
        <f>'Tax Sched 23'!D13</f>
        <v>16772</v>
      </c>
      <c r="C3726" s="2" t="s">
        <v>573</v>
      </c>
      <c r="D3726" s="2" t="str">
        <f t="shared" si="57"/>
        <v>Error?</v>
      </c>
    </row>
    <row r="3727" spans="1:4" x14ac:dyDescent="0.2">
      <c r="A3727" s="5">
        <v>3666</v>
      </c>
      <c r="B3727" s="138">
        <f>'Tax Sched 23'!C13</f>
        <v>20287</v>
      </c>
      <c r="D3727" s="2" t="str">
        <f t="shared" si="57"/>
        <v>Error?</v>
      </c>
    </row>
    <row r="3728" spans="1:4" x14ac:dyDescent="0.2">
      <c r="A3728" s="5">
        <v>3667</v>
      </c>
      <c r="B3728" s="138">
        <f>'Tax Sched 23'!F13</f>
        <v>22406</v>
      </c>
      <c r="C3728" s="2" t="s">
        <v>573</v>
      </c>
      <c r="D3728" s="2" t="str">
        <f t="shared" si="57"/>
        <v>Error?</v>
      </c>
    </row>
    <row r="3729" spans="1:4" x14ac:dyDescent="0.2">
      <c r="A3729" s="5">
        <v>3668</v>
      </c>
      <c r="B3729" s="138">
        <f>'Tax Sched 23'!E13</f>
        <v>42693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2160564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6633955</v>
      </c>
      <c r="C4122" s="2" t="s">
        <v>573</v>
      </c>
      <c r="D4122" s="2" t="str">
        <f t="shared" si="63"/>
        <v>Error?</v>
      </c>
    </row>
    <row r="4123" spans="1:4" x14ac:dyDescent="0.2">
      <c r="A4123" s="5">
        <v>4062</v>
      </c>
      <c r="B4123" s="138">
        <f>'Acct Summary 7-8'!D10</f>
        <v>403182</v>
      </c>
      <c r="C4123" s="2" t="s">
        <v>573</v>
      </c>
      <c r="D4123" s="2" t="str">
        <f t="shared" si="63"/>
        <v>Error?</v>
      </c>
    </row>
    <row r="4124" spans="1:4" x14ac:dyDescent="0.2">
      <c r="A4124" s="5">
        <v>4063</v>
      </c>
      <c r="B4124" s="138">
        <f>'Acct Summary 7-8'!E10</f>
        <v>643179</v>
      </c>
      <c r="C4124" s="2" t="s">
        <v>573</v>
      </c>
      <c r="D4124" s="2" t="str">
        <f t="shared" si="63"/>
        <v>Error?</v>
      </c>
    </row>
    <row r="4125" spans="1:4" x14ac:dyDescent="0.2">
      <c r="A4125" s="5">
        <v>4064</v>
      </c>
      <c r="B4125" s="138">
        <f>'Acct Summary 7-8'!F10</f>
        <v>317191</v>
      </c>
      <c r="C4125" s="2" t="s">
        <v>573</v>
      </c>
      <c r="D4125" s="2" t="str">
        <f t="shared" si="63"/>
        <v>Error?</v>
      </c>
    </row>
    <row r="4126" spans="1:4" x14ac:dyDescent="0.2">
      <c r="A4126" s="5">
        <v>4065</v>
      </c>
      <c r="B4126" s="138">
        <f>'Acct Summary 7-8'!G10</f>
        <v>181938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40012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37059</v>
      </c>
      <c r="C4130" s="2" t="s">
        <v>573</v>
      </c>
      <c r="D4130" s="2" t="str">
        <f t="shared" si="63"/>
        <v>Error?</v>
      </c>
    </row>
    <row r="4131" spans="1:4" x14ac:dyDescent="0.2">
      <c r="A4131" s="5">
        <v>4070</v>
      </c>
      <c r="B4131" s="138">
        <f>'Acct Summary 7-8'!C18</f>
        <v>2160564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6762130</v>
      </c>
      <c r="C4136" s="2" t="s">
        <v>573</v>
      </c>
      <c r="D4136" s="2" t="str">
        <f t="shared" si="63"/>
        <v>Error?</v>
      </c>
    </row>
    <row r="4137" spans="1:4" x14ac:dyDescent="0.2">
      <c r="A4137" s="5">
        <v>4076</v>
      </c>
      <c r="B4137" s="138">
        <f>'Acct Summary 7-8'!D19</f>
        <v>486680</v>
      </c>
      <c r="C4137" s="2" t="s">
        <v>573</v>
      </c>
      <c r="D4137" s="2" t="str">
        <f t="shared" si="63"/>
        <v>Error?</v>
      </c>
    </row>
    <row r="4138" spans="1:4" x14ac:dyDescent="0.2">
      <c r="A4138" s="5">
        <v>4077</v>
      </c>
      <c r="B4138" s="138">
        <f>'Acct Summary 7-8'!E19</f>
        <v>703784</v>
      </c>
      <c r="C4138" s="2" t="s">
        <v>573</v>
      </c>
      <c r="D4138" s="2" t="str">
        <f t="shared" si="63"/>
        <v>Error?</v>
      </c>
    </row>
    <row r="4139" spans="1:4" x14ac:dyDescent="0.2">
      <c r="A4139" s="5">
        <v>4078</v>
      </c>
      <c r="B4139" s="138">
        <f>'Acct Summary 7-8'!F19</f>
        <v>301753</v>
      </c>
      <c r="C4139" s="2" t="s">
        <v>573</v>
      </c>
      <c r="D4139" s="2" t="str">
        <f t="shared" si="63"/>
        <v>Error?</v>
      </c>
    </row>
    <row r="4140" spans="1:4" x14ac:dyDescent="0.2">
      <c r="A4140" s="5">
        <v>4079</v>
      </c>
      <c r="B4140" s="138">
        <f>'Acct Summary 7-8'!G19</f>
        <v>168479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2032402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2237000</v>
      </c>
      <c r="C4171" s="2" t="s">
        <v>573</v>
      </c>
      <c r="D4171" s="2" t="str">
        <f t="shared" si="64"/>
        <v>Error?</v>
      </c>
    </row>
    <row r="4172" spans="1:4" x14ac:dyDescent="0.2">
      <c r="A4172" s="5">
        <v>4111</v>
      </c>
      <c r="B4172" s="138">
        <f>'Short-Term Long-Term Debt 24'!J49</f>
        <v>2237000</v>
      </c>
      <c r="C4172" s="2" t="s">
        <v>573</v>
      </c>
      <c r="D4172" s="2" t="str">
        <f t="shared" si="64"/>
        <v>Error?</v>
      </c>
    </row>
    <row r="4173" spans="1:4" x14ac:dyDescent="0.2">
      <c r="A4173" s="5">
        <v>4112</v>
      </c>
      <c r="B4173" s="138">
        <f>'Short-Term Long-Term Debt 24'!H49</f>
        <v>613000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3200</v>
      </c>
      <c r="C4268" s="2" t="s">
        <v>573</v>
      </c>
      <c r="D4268" s="2" t="str">
        <f t="shared" si="65"/>
        <v>Error?</v>
      </c>
    </row>
    <row r="4269" spans="1:5" x14ac:dyDescent="0.2">
      <c r="A4269" s="12">
        <v>4208</v>
      </c>
      <c r="B4269" s="138">
        <f>'FP Info 3'!J16</f>
        <v>5268256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33748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19768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23319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2248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47282</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85386590</v>
      </c>
      <c r="D4995" s="2" t="str">
        <f t="shared" si="77"/>
        <v>Error?</v>
      </c>
    </row>
    <row r="4996" spans="1:4" x14ac:dyDescent="0.2">
      <c r="A4996" s="12">
        <v>4935</v>
      </c>
      <c r="B4996" s="138">
        <f>'FP Info 3'!H31</f>
        <v>11783349.420000002</v>
      </c>
      <c r="D4996" s="2" t="str">
        <f t="shared" si="77"/>
        <v>Error?</v>
      </c>
    </row>
    <row r="4997" spans="1:4" x14ac:dyDescent="0.2">
      <c r="A4997" s="12">
        <v>4936</v>
      </c>
      <c r="B4997" s="138">
        <f>'FP Info 3'!H37</f>
        <v>2237000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37059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1851847</v>
      </c>
      <c r="D5061" s="2" t="str">
        <f t="shared" si="78"/>
        <v>Error?</v>
      </c>
    </row>
    <row r="5062" spans="1:4" x14ac:dyDescent="0.2">
      <c r="A5062" s="10">
        <v>5001</v>
      </c>
      <c r="D5062" s="2" t="str">
        <f t="shared" si="78"/>
        <v>OK</v>
      </c>
    </row>
    <row r="5063" spans="1:4" x14ac:dyDescent="0.2">
      <c r="A5063" s="5">
        <v>5002</v>
      </c>
      <c r="B5063" s="138">
        <f>'Revenues 9-14'!C7</f>
        <v>29646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1918552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141420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141420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50208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50208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92395</v>
      </c>
      <c r="C5096" s="2" t="s">
        <v>573</v>
      </c>
      <c r="D5096" s="2" t="str">
        <f t="shared" si="78"/>
        <v>Error?</v>
      </c>
    </row>
    <row r="5097" spans="1:4" x14ac:dyDescent="0.2">
      <c r="A5097" s="5">
        <v>5036</v>
      </c>
      <c r="B5097" s="138">
        <f>'Revenues 9-14'!C77</f>
        <v>21317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20744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42061</v>
      </c>
      <c r="C5102" s="2" t="s">
        <v>573</v>
      </c>
      <c r="D5102" s="2" t="str">
        <f t="shared" si="78"/>
        <v>Error?</v>
      </c>
    </row>
    <row r="5103" spans="1:4" x14ac:dyDescent="0.2">
      <c r="A5103" s="5">
        <v>5042</v>
      </c>
      <c r="B5103" s="138">
        <f>'Revenues 9-14'!C84</f>
        <v>22014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2440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24454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33188</v>
      </c>
      <c r="D5119" s="2" t="str">
        <f t="shared" ref="D5119:D5182" si="79">IF(ISBLANK(B5119),"OK",IF(A5119-B5119=0,"OK","Error?"))</f>
        <v>Error?</v>
      </c>
    </row>
    <row r="5120" spans="1:4" x14ac:dyDescent="0.2">
      <c r="A5120" s="5">
        <v>5059</v>
      </c>
      <c r="B5120" s="138">
        <f>'Revenues 9-14'!C108</f>
        <v>40369</v>
      </c>
      <c r="C5120" s="2" t="s">
        <v>573</v>
      </c>
      <c r="D5120" s="2" t="str">
        <f t="shared" si="79"/>
        <v>Error?</v>
      </c>
    </row>
    <row r="5121" spans="1:4" x14ac:dyDescent="0.2">
      <c r="A5121" s="5">
        <v>5060</v>
      </c>
      <c r="B5121" s="138">
        <f>'Revenues 9-14'!C109</f>
        <v>2309459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1541842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1541842</v>
      </c>
      <c r="C5132" s="2" t="s">
        <v>573</v>
      </c>
      <c r="D5132" s="2" t="str">
        <f t="shared" si="79"/>
        <v>Error?</v>
      </c>
    </row>
    <row r="5133" spans="1:4" x14ac:dyDescent="0.2">
      <c r="A5133" s="5">
        <v>5072</v>
      </c>
      <c r="B5133" s="138">
        <f>'Revenues 9-14'!C125</f>
        <v>19491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19491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17376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38789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2327</v>
      </c>
      <c r="D5167" s="2" t="str">
        <f t="shared" si="79"/>
        <v>Error?</v>
      </c>
    </row>
    <row r="5168" spans="1:4" x14ac:dyDescent="0.2">
      <c r="A5168" s="5">
        <v>5107</v>
      </c>
      <c r="B5168" s="138">
        <f>'Revenues 9-14'!C148</f>
        <v>8293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133167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204315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1746157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47282</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110118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32016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142134</v>
      </c>
      <c r="C5246" s="2" t="s">
        <v>573</v>
      </c>
      <c r="D5246" s="2" t="str">
        <f t="shared" si="80"/>
        <v>Error?</v>
      </c>
    </row>
    <row r="5247" spans="1:4" x14ac:dyDescent="0.2">
      <c r="A5247" s="5">
        <v>5186</v>
      </c>
      <c r="B5247" s="138">
        <f>'Revenues 9-14'!C200</f>
        <v>119969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19768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119969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6250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25305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31555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370493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417775</v>
      </c>
      <c r="C5326" s="2" t="s">
        <v>573</v>
      </c>
      <c r="D5326" s="2" t="str">
        <f t="shared" si="82"/>
        <v>Error?</v>
      </c>
    </row>
    <row r="5327" spans="1:5" x14ac:dyDescent="0.2">
      <c r="A5327" s="5">
        <v>5266</v>
      </c>
      <c r="B5327" s="138">
        <f>'Revenues 9-14'!C268</f>
        <v>4473391</v>
      </c>
      <c r="C5327" s="2" t="s">
        <v>573</v>
      </c>
      <c r="D5327" s="2" t="str">
        <f t="shared" si="82"/>
        <v>Error?</v>
      </c>
    </row>
    <row r="5328" spans="1:5" x14ac:dyDescent="0.2">
      <c r="A5328" s="5">
        <v>5267</v>
      </c>
      <c r="B5328" s="138">
        <f>'Revenues 9-14'!D5</f>
        <v>370575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370575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189</v>
      </c>
      <c r="D5354" s="2" t="str">
        <f t="shared" si="82"/>
        <v>Error?</v>
      </c>
    </row>
    <row r="5355" spans="1:4" x14ac:dyDescent="0.2">
      <c r="A5355" s="5">
        <v>5294</v>
      </c>
      <c r="B5355" s="138">
        <f>'Revenues 9-14'!D108</f>
        <v>12607</v>
      </c>
      <c r="C5355" s="2" t="s">
        <v>573</v>
      </c>
      <c r="D5355" s="2" t="str">
        <f t="shared" si="82"/>
        <v>Error?</v>
      </c>
    </row>
    <row r="5356" spans="1:4" x14ac:dyDescent="0.2">
      <c r="A5356" s="5">
        <v>5295</v>
      </c>
      <c r="B5356" s="138">
        <f>'Revenues 9-14'!D109</f>
        <v>403182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403182</v>
      </c>
      <c r="C5508" s="2" t="s">
        <v>573</v>
      </c>
      <c r="D5508" s="2" t="str">
        <f t="shared" si="85"/>
        <v>Error?</v>
      </c>
    </row>
    <row r="5509" spans="1:4" x14ac:dyDescent="0.2">
      <c r="A5509" s="5">
        <v>5448</v>
      </c>
      <c r="B5509" s="138">
        <f>'Revenues 9-14'!E5</f>
        <v>643179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643179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643179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643179</v>
      </c>
      <c r="C5552" s="2" t="s">
        <v>573</v>
      </c>
      <c r="D5552" s="2" t="str">
        <f t="shared" si="85"/>
        <v>Error?</v>
      </c>
    </row>
    <row r="5553" spans="1:4" x14ac:dyDescent="0.2">
      <c r="A5553" s="5">
        <v>5492</v>
      </c>
      <c r="B5553" s="138">
        <f>'Revenues 9-14'!F5</f>
        <v>148231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148231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1794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150025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107661</v>
      </c>
      <c r="D5615" s="2" t="str">
        <f t="shared" si="86"/>
        <v>Error?</v>
      </c>
    </row>
    <row r="5616" spans="1:4" x14ac:dyDescent="0.2">
      <c r="A5616" s="10">
        <v>5555</v>
      </c>
      <c r="D5616" s="2" t="str">
        <f t="shared" si="86"/>
        <v>OK</v>
      </c>
    </row>
    <row r="5617" spans="1:5" x14ac:dyDescent="0.2">
      <c r="A5617" s="5">
        <v>5556</v>
      </c>
      <c r="B5617" s="138">
        <f>'Revenues 9-14'!F153</f>
        <v>59505</v>
      </c>
      <c r="D5617" s="2" t="str">
        <f t="shared" si="86"/>
        <v>Error?</v>
      </c>
    </row>
    <row r="5618" spans="1:5" x14ac:dyDescent="0.2">
      <c r="A5618" s="5">
        <v>5557</v>
      </c>
      <c r="B5618" s="138">
        <f>'Revenues 9-14'!F155</f>
        <v>167166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167166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167166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317191</v>
      </c>
      <c r="C5720" s="2" t="s">
        <v>573</v>
      </c>
      <c r="D5720" s="2" t="str">
        <f t="shared" si="88"/>
        <v>Error?</v>
      </c>
    </row>
    <row r="5721" spans="1:4" x14ac:dyDescent="0.2">
      <c r="A5721" s="5">
        <v>5660</v>
      </c>
      <c r="B5721" s="138">
        <f>'Revenues 9-14'!G5</f>
        <v>44227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132679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176906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4324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4324</v>
      </c>
      <c r="C5730" s="2" t="s">
        <v>573</v>
      </c>
      <c r="D5730" s="2" t="str">
        <f t="shared" si="88"/>
        <v>Error?</v>
      </c>
    </row>
    <row r="5731" spans="1:4" x14ac:dyDescent="0.2">
      <c r="A5731" s="5">
        <v>5670</v>
      </c>
      <c r="B5731" s="138">
        <f>'Revenues 9-14'!G65</f>
        <v>708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181938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37059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37059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2953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40012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37059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37059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37059</v>
      </c>
      <c r="C6023" s="2" t="s">
        <v>573</v>
      </c>
      <c r="D6023" s="2" t="str">
        <f t="shared" si="93"/>
        <v>Error?</v>
      </c>
    </row>
    <row r="6024" spans="1:5" x14ac:dyDescent="0.2">
      <c r="A6024" s="5">
        <v>5963</v>
      </c>
      <c r="B6024" s="138">
        <f>'Revenues 9-14'!G109</f>
        <v>181938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40012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37059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91356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19713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367208</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658527</v>
      </c>
      <c r="D6124" s="2" t="str">
        <f t="shared" si="94"/>
        <v>Error?</v>
      </c>
      <c r="E6124" s="2" t="s">
        <v>190</v>
      </c>
    </row>
    <row r="6125" spans="1:5" x14ac:dyDescent="0.2">
      <c r="A6125">
        <v>6064</v>
      </c>
      <c r="B6125" s="138">
        <f>'Assets-Liab 5-6'!C25</f>
        <v>193067</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174141</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658527</v>
      </c>
      <c r="D6215" s="2" t="str">
        <f t="shared" si="96"/>
        <v>Error?</v>
      </c>
      <c r="E6215" s="2" t="s">
        <v>190</v>
      </c>
    </row>
    <row r="6216" spans="1:5" x14ac:dyDescent="0.2">
      <c r="A6216">
        <v>6155</v>
      </c>
      <c r="B6216" s="138">
        <f>'Assets-Liab 5-6'!J41</f>
        <v>658527</v>
      </c>
      <c r="D6216" s="2" t="str">
        <f t="shared" si="96"/>
        <v>Error?</v>
      </c>
      <c r="E6216" s="2" t="s">
        <v>190</v>
      </c>
    </row>
    <row r="6217" spans="1:5" x14ac:dyDescent="0.2">
      <c r="A6217">
        <v>6156</v>
      </c>
      <c r="B6217" s="138">
        <f>'Assets-Liab 5-6'!J4</f>
        <v>295521</v>
      </c>
      <c r="D6217" s="2" t="str">
        <f t="shared" si="96"/>
        <v>Error?</v>
      </c>
      <c r="E6217" s="2" t="s">
        <v>190</v>
      </c>
    </row>
    <row r="6218" spans="1:5" x14ac:dyDescent="0.2">
      <c r="A6218">
        <v>6157</v>
      </c>
      <c r="B6218" s="138">
        <f>'Assets-Liab 5-6'!J5</f>
        <v>363006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455650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455650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455650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504279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504279</v>
      </c>
      <c r="D6229" s="2" t="str">
        <f t="shared" si="96"/>
        <v>Error?</v>
      </c>
      <c r="E6229" s="2" t="s">
        <v>190</v>
      </c>
    </row>
    <row r="6230" spans="1:5" x14ac:dyDescent="0.2">
      <c r="A6230">
        <v>6169</v>
      </c>
      <c r="B6230" s="138">
        <f>'Acct Summary 7-8'!J20</f>
        <v>-48629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-48629</v>
      </c>
      <c r="D6263" s="2" t="str">
        <f t="shared" si="96"/>
        <v>Error?</v>
      </c>
      <c r="E6263" s="2" t="s">
        <v>190</v>
      </c>
    </row>
    <row r="6264" spans="1:5" x14ac:dyDescent="0.2">
      <c r="A6264">
        <v>6203</v>
      </c>
      <c r="B6264" s="138">
        <f>'Acct Summary 7-8'!J79</f>
        <v>707156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658527</v>
      </c>
      <c r="D6266" s="2" t="str">
        <f t="shared" si="96"/>
        <v>Error?</v>
      </c>
      <c r="E6266" s="2" t="s">
        <v>190</v>
      </c>
    </row>
    <row r="6267" spans="1:5" x14ac:dyDescent="0.2">
      <c r="A6267">
        <v>6206</v>
      </c>
      <c r="B6267" s="138">
        <f>'Acct Summary 7-8'!C82</f>
        <v>-128175</v>
      </c>
      <c r="D6267" s="2" t="str">
        <f t="shared" si="96"/>
        <v>Error?</v>
      </c>
      <c r="E6267" s="2" t="s">
        <v>190</v>
      </c>
    </row>
    <row r="6268" spans="1:5" x14ac:dyDescent="0.2">
      <c r="A6268">
        <v>6207</v>
      </c>
      <c r="B6268" s="138">
        <f>'Acct Summary 7-8'!D82</f>
        <v>-8498</v>
      </c>
      <c r="D6268" s="2" t="str">
        <f t="shared" si="96"/>
        <v>Error?</v>
      </c>
      <c r="E6268" s="2" t="s">
        <v>190</v>
      </c>
    </row>
    <row r="6269" spans="1:5" x14ac:dyDescent="0.2">
      <c r="A6269">
        <v>6208</v>
      </c>
      <c r="B6269" s="138">
        <f>'Acct Summary 7-8'!E82</f>
        <v>-60605</v>
      </c>
      <c r="D6269" s="2" t="str">
        <f t="shared" si="96"/>
        <v>Error?</v>
      </c>
      <c r="E6269" s="2" t="s">
        <v>190</v>
      </c>
    </row>
    <row r="6270" spans="1:5" x14ac:dyDescent="0.2">
      <c r="A6270">
        <v>6209</v>
      </c>
      <c r="B6270" s="138">
        <f>'Acct Summary 7-8'!F82</f>
        <v>15438</v>
      </c>
      <c r="D6270" s="2" t="str">
        <f t="shared" si="96"/>
        <v>Error?</v>
      </c>
      <c r="E6270" s="2" t="s">
        <v>190</v>
      </c>
    </row>
    <row r="6271" spans="1:5" x14ac:dyDescent="0.2">
      <c r="A6271">
        <v>6210</v>
      </c>
      <c r="B6271" s="138">
        <f>'Acct Summary 7-8'!G82</f>
        <v>13459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-34988</v>
      </c>
      <c r="D6273" s="2" t="str">
        <f t="shared" si="97"/>
        <v>Error?</v>
      </c>
      <c r="E6273" s="2" t="s">
        <v>190</v>
      </c>
    </row>
    <row r="6274" spans="1:5" x14ac:dyDescent="0.2">
      <c r="A6274">
        <v>6213</v>
      </c>
      <c r="B6274" s="138">
        <f>'Acct Summary 7-8'!J82</f>
        <v>-48629</v>
      </c>
      <c r="D6274" s="2" t="str">
        <f t="shared" si="97"/>
        <v>Error?</v>
      </c>
      <c r="E6274" s="2" t="s">
        <v>190</v>
      </c>
    </row>
    <row r="6275" spans="1:5" x14ac:dyDescent="0.2">
      <c r="A6275">
        <v>6214</v>
      </c>
      <c r="B6275" s="138">
        <f>'Acct Summary 7-8'!K82</f>
        <v>-1995343</v>
      </c>
      <c r="D6275" s="2" t="str">
        <f t="shared" si="97"/>
        <v>Error?</v>
      </c>
      <c r="E6275" s="2" t="s">
        <v>190</v>
      </c>
    </row>
    <row r="6276" spans="1:5" x14ac:dyDescent="0.2">
      <c r="A6276">
        <v>6215</v>
      </c>
      <c r="B6276" s="138">
        <f>'Acct Summary 7-8'!C83</f>
        <v>-4.8835864250966241E-2</v>
      </c>
      <c r="D6276" s="2" t="str">
        <f t="shared" si="97"/>
        <v>Error?</v>
      </c>
      <c r="E6276" s="2" t="s">
        <v>190</v>
      </c>
    </row>
    <row r="6277" spans="1:5" x14ac:dyDescent="0.2">
      <c r="A6277">
        <v>6216</v>
      </c>
      <c r="B6277" s="138">
        <f>'Acct Summary 7-8'!D83</f>
        <v>-3.2742922974373596E-2</v>
      </c>
      <c r="D6277" s="2" t="str">
        <f t="shared" si="97"/>
        <v>Error?</v>
      </c>
      <c r="E6277" s="2" t="s">
        <v>190</v>
      </c>
    </row>
    <row r="6278" spans="1:5" x14ac:dyDescent="0.2">
      <c r="A6278">
        <v>6217</v>
      </c>
      <c r="B6278" s="138">
        <f>'Acct Summary 7-8'!E83</f>
        <v>0.34802257940404613</v>
      </c>
      <c r="D6278" s="2" t="str">
        <f t="shared" si="97"/>
        <v>Error?</v>
      </c>
      <c r="E6278" s="2" t="s">
        <v>190</v>
      </c>
    </row>
    <row r="6279" spans="1:5" x14ac:dyDescent="0.2">
      <c r="A6279">
        <v>6218</v>
      </c>
      <c r="B6279" s="138">
        <f>'Acct Summary 7-8'!F83</f>
        <v>2.5836229965541652E-2</v>
      </c>
      <c r="D6279" s="2" t="str">
        <f t="shared" si="97"/>
        <v>Error?</v>
      </c>
      <c r="E6279" s="2" t="s">
        <v>190</v>
      </c>
    </row>
    <row r="6280" spans="1:5" x14ac:dyDescent="0.2">
      <c r="A6280">
        <v>6219</v>
      </c>
      <c r="B6280" s="138">
        <f>'Acct Summary 7-8'!G83</f>
        <v>2.7778523088227099E-2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-1.9583807703889781E-2</v>
      </c>
      <c r="D6282" s="2" t="str">
        <f t="shared" si="97"/>
        <v>Error?</v>
      </c>
      <c r="E6282" s="2" t="s">
        <v>190</v>
      </c>
    </row>
    <row r="6283" spans="1:5" x14ac:dyDescent="0.2">
      <c r="A6283">
        <v>6222</v>
      </c>
      <c r="B6283" s="138">
        <f>'Acct Summary 7-8'!J83</f>
        <v>-7.3845111893665716E-2</v>
      </c>
      <c r="D6283" s="2" t="str">
        <f t="shared" si="97"/>
        <v>Error?</v>
      </c>
      <c r="E6283" s="2" t="s">
        <v>190</v>
      </c>
    </row>
    <row r="6284" spans="1:5" x14ac:dyDescent="0.2">
      <c r="A6284">
        <v>6223</v>
      </c>
      <c r="B6284" s="138">
        <f>'Acct Summary 7-8'!K83</f>
        <v>-64.992768965180289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454137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454137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12358</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2931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455650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21413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8546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106051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504279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455650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3775</v>
      </c>
      <c r="D7075" s="2" t="str">
        <f t="shared" si="109"/>
        <v>Error?</v>
      </c>
    </row>
    <row r="7076" spans="1:4" x14ac:dyDescent="0.2">
      <c r="A7076">
        <v>7015</v>
      </c>
      <c r="B7076" s="138">
        <f>'Expenditures 15-22'!K218</f>
        <v>3775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495</v>
      </c>
      <c r="D7089" s="2" t="str">
        <f t="shared" si="109"/>
        <v>Error?</v>
      </c>
    </row>
    <row r="7090" spans="1:4" x14ac:dyDescent="0.2">
      <c r="A7090">
        <v>7029</v>
      </c>
      <c r="B7090" s="138">
        <f>'Expenditures 15-22'!K252</f>
        <v>495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17070</v>
      </c>
      <c r="D7093" s="2" t="str">
        <f t="shared" si="109"/>
        <v>Error?</v>
      </c>
    </row>
    <row r="7094" spans="1:4" x14ac:dyDescent="0.2">
      <c r="A7094">
        <v>7033</v>
      </c>
      <c r="B7094" s="138">
        <f>'Expenditures 15-22'!K254</f>
        <v>17070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27589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27589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56634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56634</v>
      </c>
      <c r="D7153" s="2" t="str">
        <f t="shared" si="110"/>
        <v>Error?</v>
      </c>
    </row>
    <row r="7154" spans="1:4" x14ac:dyDescent="0.2">
      <c r="A7154">
        <v>7093</v>
      </c>
      <c r="B7154" s="138">
        <f>'Expenditures 15-22'!C323</f>
        <v>35618</v>
      </c>
      <c r="D7154" s="2" t="str">
        <f t="shared" si="110"/>
        <v>Error?</v>
      </c>
    </row>
    <row r="7155" spans="1:4" x14ac:dyDescent="0.2">
      <c r="A7155">
        <v>7094</v>
      </c>
      <c r="B7155" s="138">
        <f>'Expenditures 15-22'!D323</f>
        <v>7986</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43604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264360</v>
      </c>
      <c r="D7172" s="2" t="str">
        <f t="shared" si="111"/>
        <v>Error?</v>
      </c>
    </row>
    <row r="7173" spans="1:4" x14ac:dyDescent="0.2">
      <c r="A7173">
        <v>7112</v>
      </c>
      <c r="B7173" s="138">
        <f>'Expenditures 15-22'!D325</f>
        <v>47854</v>
      </c>
      <c r="D7173" s="2" t="str">
        <f t="shared" si="111"/>
        <v>Error?</v>
      </c>
    </row>
    <row r="7174" spans="1:4" x14ac:dyDescent="0.2">
      <c r="A7174">
        <v>7113</v>
      </c>
      <c r="B7174" s="138">
        <f>'Expenditures 15-22'!E325</f>
        <v>22238</v>
      </c>
      <c r="D7174" s="2" t="str">
        <f t="shared" si="111"/>
        <v>Error?</v>
      </c>
    </row>
    <row r="7175" spans="1:4" x14ac:dyDescent="0.2">
      <c r="A7175">
        <v>7114</v>
      </c>
      <c r="B7175" s="138">
        <f>'Expenditures 15-22'!F325</f>
        <v>2868</v>
      </c>
      <c r="D7175" s="2" t="str">
        <f t="shared" si="111"/>
        <v>Error?</v>
      </c>
    </row>
    <row r="7176" spans="1:4" x14ac:dyDescent="0.2">
      <c r="A7176">
        <v>7115</v>
      </c>
      <c r="B7176" s="138">
        <f>'Expenditures 15-22'!G325</f>
        <v>4132</v>
      </c>
      <c r="D7176" s="2" t="str">
        <f t="shared" si="111"/>
        <v>Error?</v>
      </c>
    </row>
    <row r="7177" spans="1:4" x14ac:dyDescent="0.2">
      <c r="A7177">
        <v>7116</v>
      </c>
      <c r="B7177" s="138">
        <f>'Expenditures 15-22'!H325</f>
        <v>35000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376452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299978</v>
      </c>
      <c r="D7199" s="2" t="str">
        <f t="shared" si="111"/>
        <v>Error?</v>
      </c>
    </row>
    <row r="7200" spans="1:4" x14ac:dyDescent="0.2">
      <c r="A7200">
        <v>7139</v>
      </c>
      <c r="B7200" s="138">
        <f>'Expenditures 15-22'!D330</f>
        <v>55840</v>
      </c>
      <c r="D7200" s="2" t="str">
        <f t="shared" si="111"/>
        <v>Error?</v>
      </c>
    </row>
    <row r="7201" spans="1:4" x14ac:dyDescent="0.2">
      <c r="A7201">
        <v>7140</v>
      </c>
      <c r="B7201" s="138">
        <f>'Expenditures 15-22'!E330</f>
        <v>106461</v>
      </c>
      <c r="D7201" s="2" t="str">
        <f t="shared" si="111"/>
        <v>Error?</v>
      </c>
    </row>
    <row r="7202" spans="1:4" x14ac:dyDescent="0.2">
      <c r="A7202">
        <v>7141</v>
      </c>
      <c r="B7202" s="138">
        <f>'Expenditures 15-22'!F330</f>
        <v>2868</v>
      </c>
      <c r="D7202" s="2" t="str">
        <f t="shared" si="111"/>
        <v>Error?</v>
      </c>
    </row>
    <row r="7203" spans="1:4" x14ac:dyDescent="0.2">
      <c r="A7203">
        <v>7142</v>
      </c>
      <c r="B7203" s="138">
        <f>'Expenditures 15-22'!G330</f>
        <v>4132</v>
      </c>
      <c r="D7203" s="2" t="str">
        <f t="shared" si="111"/>
        <v>Error?</v>
      </c>
    </row>
    <row r="7204" spans="1:4" x14ac:dyDescent="0.2">
      <c r="A7204">
        <v>7143</v>
      </c>
      <c r="B7204" s="138">
        <f>'Expenditures 15-22'!H330</f>
        <v>35000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504279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299978</v>
      </c>
      <c r="D7216" s="2" t="str">
        <f t="shared" si="111"/>
        <v>Error?</v>
      </c>
    </row>
    <row r="7217" spans="1:4" x14ac:dyDescent="0.2">
      <c r="A7217">
        <v>7156</v>
      </c>
      <c r="B7217" s="138">
        <f>'Expenditures 15-22'!D342</f>
        <v>55840</v>
      </c>
      <c r="D7217" s="2" t="str">
        <f t="shared" si="111"/>
        <v>Error?</v>
      </c>
    </row>
    <row r="7218" spans="1:4" x14ac:dyDescent="0.2">
      <c r="A7218">
        <v>7157</v>
      </c>
      <c r="B7218" s="138">
        <f>'Expenditures 15-22'!E342</f>
        <v>106461</v>
      </c>
      <c r="D7218" s="2" t="str">
        <f t="shared" si="111"/>
        <v>Error?</v>
      </c>
    </row>
    <row r="7219" spans="1:4" x14ac:dyDescent="0.2">
      <c r="A7219">
        <v>7158</v>
      </c>
      <c r="B7219" s="138">
        <f>'Expenditures 15-22'!F342</f>
        <v>2868</v>
      </c>
      <c r="D7219" s="2" t="str">
        <f t="shared" si="111"/>
        <v>Error?</v>
      </c>
    </row>
    <row r="7220" spans="1:4" x14ac:dyDescent="0.2">
      <c r="A7220">
        <v>7159</v>
      </c>
      <c r="B7220" s="138">
        <f>'Expenditures 15-22'!G342</f>
        <v>4132</v>
      </c>
      <c r="D7220" s="2" t="str">
        <f t="shared" si="111"/>
        <v>Error?</v>
      </c>
    </row>
    <row r="7221" spans="1:4" x14ac:dyDescent="0.2">
      <c r="A7221">
        <v>7160</v>
      </c>
      <c r="B7221" s="138">
        <f>'Expenditures 15-22'!H342</f>
        <v>35000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504279</v>
      </c>
      <c r="D7224" s="2" t="str">
        <f t="shared" si="111"/>
        <v>Error?</v>
      </c>
    </row>
    <row r="7225" spans="1:4" x14ac:dyDescent="0.2">
      <c r="A7225">
        <v>7164</v>
      </c>
      <c r="B7225" s="138">
        <f>'Expenditures 15-22'!K343</f>
        <v>-48629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2600</v>
      </c>
      <c r="D7247" s="2" t="str">
        <f t="shared" si="112"/>
        <v>Error?</v>
      </c>
    </row>
    <row r="7248" spans="1:4" x14ac:dyDescent="0.2">
      <c r="A7248">
        <f t="shared" si="113"/>
        <v>7187</v>
      </c>
      <c r="B7248" s="138">
        <f>'Expenditures 15-22'!F7</f>
        <v>5946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88616</v>
      </c>
      <c r="D7251" s="2" t="str">
        <f t="shared" si="112"/>
        <v>Error?</v>
      </c>
    </row>
    <row r="7252" spans="1:4" x14ac:dyDescent="0.2">
      <c r="A7252">
        <f t="shared" si="113"/>
        <v>7191</v>
      </c>
      <c r="B7252" s="138">
        <f>'Expenditures 15-22'!D9</f>
        <v>12798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4637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412330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168</v>
      </c>
      <c r="D7711" s="2" t="str">
        <f t="shared" si="126"/>
        <v>Error?</v>
      </c>
      <c r="E7711" s="2" t="s">
        <v>827</v>
      </c>
    </row>
    <row r="7712" spans="1:5" x14ac:dyDescent="0.2">
      <c r="A7712">
        <v>7651</v>
      </c>
      <c r="B7712" s="138">
        <f>'Rest Tax Levies-Tort Im 25'!K7</f>
        <v>2931</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8293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11392</v>
      </c>
      <c r="D7719" s="2" t="str">
        <f t="shared" si="126"/>
        <v>Error?</v>
      </c>
      <c r="E7719" s="2" t="s">
        <v>827</v>
      </c>
    </row>
    <row r="7720" spans="1:6" x14ac:dyDescent="0.2">
      <c r="A7720">
        <v>7659</v>
      </c>
      <c r="B7720" s="138">
        <f>'Rest Tax Levies-Tort Im 25'!H14</f>
        <v>30091</v>
      </c>
      <c r="D7720" s="2" t="str">
        <f t="shared" si="126"/>
        <v>Error?</v>
      </c>
      <c r="E7720" s="2" t="s">
        <v>827</v>
      </c>
    </row>
    <row r="7721" spans="1:6" x14ac:dyDescent="0.2">
      <c r="A7721">
        <v>7660</v>
      </c>
      <c r="B7721" s="138">
        <f>'Rest Tax Levies-Tort Im 25'!K14</f>
        <v>11392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75000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Polo CUSD 222</v>
      </c>
      <c r="B7" s="2385"/>
      <c r="C7" s="2385"/>
      <c r="D7" s="2422"/>
      <c r="E7" s="2423">
        <f>COVER!A13</f>
        <v>47071222026</v>
      </c>
      <c r="F7" s="2424"/>
      <c r="G7" s="2391" t="str">
        <f>COVER!T23</f>
        <v>066-004023</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Wipfli LLP</v>
      </c>
      <c r="H9" s="2398"/>
      <c r="I9" s="2398"/>
      <c r="J9" s="2398"/>
      <c r="K9" s="2398"/>
      <c r="L9" s="2399"/>
    </row>
    <row r="10" spans="1:29" ht="13.5" customHeight="1" x14ac:dyDescent="0.2">
      <c r="A10" s="2381" t="str">
        <f>COVER!A38</f>
        <v>CHRIS RADEMACHER</v>
      </c>
      <c r="B10" s="2382"/>
      <c r="C10" s="2382"/>
      <c r="D10" s="2382"/>
      <c r="E10" s="2382"/>
      <c r="F10" s="2383"/>
      <c r="G10" s="2397" t="str">
        <f>COVER!T17</f>
        <v>403 East 3rd Street</v>
      </c>
      <c r="H10" s="2410"/>
      <c r="I10" s="2410"/>
      <c r="J10" s="2410"/>
      <c r="K10" s="2410"/>
      <c r="L10" s="2411"/>
    </row>
    <row r="11" spans="1:29" ht="13.5" customHeight="1" x14ac:dyDescent="0.2">
      <c r="A11" s="1184" t="s">
        <v>1519</v>
      </c>
      <c r="B11" s="1185"/>
      <c r="C11" s="1186"/>
      <c r="D11" s="1191"/>
      <c r="E11" s="1186"/>
      <c r="F11" s="1190"/>
      <c r="G11" s="2397" t="str">
        <f>COVER!T19</f>
        <v>Sterling</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mschueler@wipfli.com</v>
      </c>
      <c r="J13" s="2419"/>
      <c r="K13" s="2419"/>
      <c r="L13" s="2420"/>
    </row>
    <row r="14" spans="1:29" ht="13.5" customHeight="1" x14ac:dyDescent="0.2">
      <c r="A14" s="2397" t="str">
        <f>COVER!A19</f>
        <v>100 S UNION AVENUE</v>
      </c>
      <c r="B14" s="2410"/>
      <c r="C14" s="2410"/>
      <c r="D14" s="2410"/>
      <c r="E14" s="2410"/>
      <c r="F14" s="2411"/>
      <c r="G14" s="1195" t="s">
        <v>1185</v>
      </c>
      <c r="H14" s="1193"/>
      <c r="I14" s="1193"/>
      <c r="J14" s="1193"/>
      <c r="K14" s="1193"/>
      <c r="L14" s="1194"/>
    </row>
    <row r="15" spans="1:29" ht="13.5" customHeight="1" x14ac:dyDescent="0.2">
      <c r="A15" s="2397" t="str">
        <f>COVER!A21</f>
        <v xml:space="preserve">POLO  </v>
      </c>
      <c r="B15" s="2410"/>
      <c r="C15" s="2410"/>
      <c r="D15" s="2410"/>
      <c r="E15" s="2410"/>
      <c r="F15" s="2411"/>
      <c r="G15" s="2407">
        <f>COVER!T15</f>
        <v>0</v>
      </c>
      <c r="H15" s="2408"/>
      <c r="I15" s="2408"/>
      <c r="J15" s="2408"/>
      <c r="K15" s="2408"/>
      <c r="L15" s="2409"/>
    </row>
    <row r="16" spans="1:29" ht="12.2" customHeight="1" x14ac:dyDescent="0.2">
      <c r="A16" s="2387">
        <f>COVER!A25</f>
        <v>61064</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815-626-1277</v>
      </c>
      <c r="H18" s="2385"/>
      <c r="I18" s="2385"/>
      <c r="J18" s="2385"/>
      <c r="K18" s="2384" t="str">
        <f>COVER!X21</f>
        <v>815-626-9118</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Polo CUSD 222</v>
      </c>
      <c r="B1" s="2421"/>
      <c r="C1" s="2421"/>
      <c r="D1" s="2421"/>
    </row>
    <row r="2" spans="1:11" s="1212" customFormat="1" ht="12.75" x14ac:dyDescent="0.2">
      <c r="A2" s="2426">
        <f>'Single Audit Cover'!E7</f>
        <v>47071222026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Polo CUSD 222</v>
      </c>
      <c r="B1" s="2429"/>
      <c r="C1" s="2429"/>
      <c r="D1" s="2429"/>
      <c r="E1" s="2429"/>
    </row>
    <row r="2" spans="1:5" x14ac:dyDescent="0.2">
      <c r="A2" s="2430">
        <f>'Single Audit Cover'!E7</f>
        <v>47071222026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417775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19713</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-33748</v>
      </c>
    </row>
    <row r="19" spans="1:4" ht="13.5" thickBot="1" x14ac:dyDescent="0.25">
      <c r="A19" s="1262" t="s">
        <v>1235</v>
      </c>
      <c r="D19" s="1263">
        <f>SUM(D10:D17)</f>
        <v>403740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403740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403740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Polo CUSD 222</v>
      </c>
      <c r="C1" s="2433"/>
      <c r="D1" s="2433"/>
      <c r="E1" s="2433"/>
      <c r="F1" s="2433"/>
      <c r="G1" s="2433"/>
      <c r="H1" s="2433"/>
      <c r="I1" s="2433"/>
      <c r="J1" s="2433"/>
      <c r="K1" s="2433"/>
      <c r="L1" s="2433"/>
      <c r="M1" s="2433"/>
    </row>
    <row r="2" spans="2:14" ht="15" x14ac:dyDescent="0.2">
      <c r="B2" s="2434">
        <f>'Single Audit Cover'!E7</f>
        <v>47071222026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Polo CUSD 222</v>
      </c>
      <c r="B1" s="2438"/>
      <c r="C1" s="2438"/>
      <c r="D1" s="2438"/>
      <c r="E1" s="2438"/>
      <c r="F1" s="2438"/>
    </row>
    <row r="2" spans="1:7" ht="13.5" customHeight="1" x14ac:dyDescent="0.2">
      <c r="A2" s="2434">
        <f>'Single Audit Cover'!E7</f>
        <v>47071222026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1" colorId="8" zoomScale="110" zoomScaleNormal="110" workbookViewId="0">
      <selection activeCell="F131" sqref="F1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2082</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2087</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Polo CUSD 222</v>
      </c>
      <c r="C1" s="2454"/>
      <c r="D1" s="2454"/>
      <c r="E1" s="2454"/>
      <c r="F1" s="2454"/>
      <c r="G1" s="2454"/>
      <c r="H1" s="2454"/>
      <c r="I1" s="2454"/>
      <c r="J1" s="1406"/>
    </row>
    <row r="2" spans="2:10" s="317" customFormat="1" ht="12.75" customHeight="1" x14ac:dyDescent="0.2">
      <c r="B2" s="2455">
        <f>'Single Audit Cover'!E7</f>
        <v>47071222026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Polo CUSD 222</v>
      </c>
      <c r="C1" s="2453"/>
      <c r="D1" s="2453"/>
      <c r="E1" s="2453"/>
      <c r="F1" s="2453"/>
      <c r="G1" s="2453"/>
      <c r="H1" s="2453"/>
      <c r="I1" s="2453"/>
      <c r="J1" s="2453"/>
      <c r="K1" s="2453"/>
      <c r="L1" s="1371"/>
      <c r="M1" s="1371"/>
    </row>
    <row r="2" spans="1:13" ht="12" customHeight="1" x14ac:dyDescent="0.2">
      <c r="B2" s="2455">
        <f>'Single Audit Cover'!E7</f>
        <v>47071222026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Polo CUSD 222</v>
      </c>
      <c r="C1" s="2480"/>
      <c r="D1" s="2480"/>
      <c r="E1" s="2480"/>
      <c r="F1" s="2480"/>
      <c r="G1" s="2480"/>
      <c r="H1" s="2480"/>
      <c r="I1" s="2480"/>
      <c r="J1" s="2480"/>
      <c r="K1" s="2480"/>
      <c r="L1" s="1449"/>
    </row>
    <row r="2" spans="1:12" ht="12.75" customHeight="1" x14ac:dyDescent="0.2">
      <c r="B2" s="2481">
        <f>'Single Audit Cover'!E7</f>
        <v>47071222026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Polo CUSD 222</v>
      </c>
      <c r="C1" s="2453"/>
      <c r="D1" s="2453"/>
      <c r="E1" s="1469"/>
    </row>
    <row r="2" spans="2:5" s="1279" customFormat="1" ht="12.75" customHeight="1" x14ac:dyDescent="0.2">
      <c r="B2" s="2455">
        <f>'Single Audit Cover'!E7</f>
        <v>47071222026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D13" sqref="D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85386590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5.0000000000000001E-3</v>
      </c>
      <c r="G10" s="356" t="s">
        <v>1005</v>
      </c>
      <c r="H10" s="355">
        <v>2E-3</v>
      </c>
      <c r="I10" s="356" t="s">
        <v>1006</v>
      </c>
      <c r="J10" s="1732">
        <f>ROUND(D10+F10+H10,5)</f>
        <v>3.2000000000000001E-2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5233776</v>
      </c>
      <c r="E16" s="356"/>
      <c r="F16" s="1733">
        <f>SUM('Acct Summary 7-8'!C17,'Acct Summary 7-8'!D17,'Acct Summary 7-8'!F17)</f>
        <v>5389999</v>
      </c>
      <c r="G16" s="356"/>
      <c r="H16" s="1733">
        <f>SUM(D16-F16)</f>
        <v>-156223</v>
      </c>
      <c r="I16" s="222"/>
      <c r="J16" s="1733">
        <f>SUM('Acct Summary 7-8'!C81,'Acct Summary 7-8'!D81,'Acct Summary 7-8'!F81,'Acct Summary 7-8'!I81)</f>
        <v>5268256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11783349.420000002</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2237000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D17" sqref="D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Polo CUSD 222</v>
      </c>
      <c r="E7" s="391"/>
      <c r="G7" s="252"/>
      <c r="H7" s="387"/>
      <c r="I7" s="387"/>
      <c r="J7" s="387"/>
      <c r="K7" s="387"/>
      <c r="L7" s="329"/>
      <c r="M7" s="329"/>
      <c r="N7" s="329"/>
      <c r="O7" s="329"/>
      <c r="P7" s="329"/>
    </row>
    <row r="8" spans="1:18" ht="12.75" x14ac:dyDescent="0.2">
      <c r="A8" s="329"/>
      <c r="B8" s="329"/>
      <c r="C8" s="389" t="s">
        <v>1125</v>
      </c>
      <c r="D8" s="392">
        <f>COVER!A13</f>
        <v>47071222026</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5268256</v>
      </c>
      <c r="I12" s="404"/>
      <c r="J12" s="404"/>
      <c r="K12" s="405">
        <f>TRUNC((H12/H13*100000),5)/100000</f>
        <v>1.0065879777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5233776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5389999</v>
      </c>
      <c r="I17" s="404"/>
      <c r="J17" s="416"/>
      <c r="K17" s="405">
        <f>TRUNC((H17/H18*100000),5)/100000</f>
        <v>1.0298490038000001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5233776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30.372470100000001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5094115</v>
      </c>
      <c r="I24" s="422"/>
      <c r="J24" s="422"/>
      <c r="K24" s="423">
        <f>TRUNC(((H24/H25*100000)/100000),2)</f>
        <v>340.23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14972.219440000001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2322515.2480000001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2237000</v>
      </c>
      <c r="I32" s="420"/>
      <c r="J32" s="420"/>
      <c r="K32" s="423">
        <f>TRUNC(100-((((H32/H33*100))*100)/100),2)</f>
        <v>81.010000000000005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11783349.420000002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C19" colorId="8" zoomScale="110" zoomScaleNormal="110" workbookViewId="0">
      <selection activeCell="G39" sqref="G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6363</v>
      </c>
      <c r="D4" s="466">
        <v>259537</v>
      </c>
      <c r="E4" s="466"/>
      <c r="F4" s="466">
        <v>180718</v>
      </c>
      <c r="G4" s="466">
        <v>320125</v>
      </c>
      <c r="H4" s="466"/>
      <c r="I4" s="466">
        <v>1201220</v>
      </c>
      <c r="J4" s="467">
        <v>295521</v>
      </c>
      <c r="K4" s="466">
        <v>30701</v>
      </c>
      <c r="L4" s="466">
        <v>136377</v>
      </c>
      <c r="M4" s="468"/>
      <c r="N4" s="469"/>
    </row>
    <row r="5" spans="1:14" x14ac:dyDescent="0.2">
      <c r="A5" s="463" t="s">
        <v>992</v>
      </c>
      <c r="B5" s="470">
        <v>120</v>
      </c>
      <c r="C5" s="465">
        <v>2811312</v>
      </c>
      <c r="D5" s="466"/>
      <c r="E5" s="466"/>
      <c r="F5" s="466">
        <v>416815</v>
      </c>
      <c r="G5" s="466">
        <v>164386</v>
      </c>
      <c r="H5" s="466"/>
      <c r="I5" s="466">
        <v>218150</v>
      </c>
      <c r="J5" s="467">
        <v>363006</v>
      </c>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367208</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2817675</v>
      </c>
      <c r="D13" s="1737">
        <f t="shared" ref="D13:L13" si="0">SUM(D4:D12)</f>
        <v>259537</v>
      </c>
      <c r="E13" s="1737">
        <f t="shared" si="0"/>
        <v>0</v>
      </c>
      <c r="F13" s="1737">
        <f t="shared" si="0"/>
        <v>597533</v>
      </c>
      <c r="G13" s="1737">
        <f t="shared" si="0"/>
        <v>484511</v>
      </c>
      <c r="H13" s="1737">
        <f t="shared" si="0"/>
        <v>0</v>
      </c>
      <c r="I13" s="1737">
        <f t="shared" si="0"/>
        <v>1786578</v>
      </c>
      <c r="J13" s="1737">
        <f t="shared" si="0"/>
        <v>658527</v>
      </c>
      <c r="K13" s="1737">
        <f t="shared" si="0"/>
        <v>30701</v>
      </c>
      <c r="L13" s="1737">
        <f t="shared" si="0"/>
        <v>136377</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88929</v>
      </c>
      <c r="N16" s="484"/>
    </row>
    <row r="17" spans="1:14" s="485" customFormat="1" ht="12.75" customHeight="1" x14ac:dyDescent="0.2">
      <c r="A17" s="482" t="s">
        <v>1403</v>
      </c>
      <c r="B17" s="483">
        <v>230</v>
      </c>
      <c r="C17" s="477"/>
      <c r="D17" s="477"/>
      <c r="E17" s="477"/>
      <c r="F17" s="477"/>
      <c r="G17" s="477"/>
      <c r="H17" s="477"/>
      <c r="I17" s="477"/>
      <c r="J17" s="477"/>
      <c r="K17" s="477"/>
      <c r="L17" s="477"/>
      <c r="M17" s="467">
        <v>9305899</v>
      </c>
      <c r="N17" s="484"/>
    </row>
    <row r="18" spans="1:14" s="485" customFormat="1" ht="12.75" customHeight="1" x14ac:dyDescent="0.2">
      <c r="A18" s="482" t="s">
        <v>1404</v>
      </c>
      <c r="B18" s="483">
        <v>240</v>
      </c>
      <c r="C18" s="477"/>
      <c r="D18" s="477"/>
      <c r="E18" s="477"/>
      <c r="F18" s="477"/>
      <c r="G18" s="477"/>
      <c r="H18" s="477"/>
      <c r="I18" s="477"/>
      <c r="J18" s="477"/>
      <c r="K18" s="477"/>
      <c r="L18" s="477"/>
      <c r="M18" s="467">
        <v>1439022</v>
      </c>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2237000</v>
      </c>
    </row>
    <row r="23" spans="1:14" ht="13.5" customHeight="1" thickBot="1" x14ac:dyDescent="0.25">
      <c r="A23" s="1736" t="s">
        <v>643</v>
      </c>
      <c r="B23" s="1741"/>
      <c r="C23" s="468"/>
      <c r="D23" s="468"/>
      <c r="E23" s="468"/>
      <c r="F23" s="468"/>
      <c r="G23" s="468"/>
      <c r="H23" s="468"/>
      <c r="I23" s="468"/>
      <c r="J23" s="468"/>
      <c r="K23" s="468"/>
      <c r="L23" s="468"/>
      <c r="M23" s="1688">
        <f>SUM(M15:M22)</f>
        <v>10833850</v>
      </c>
      <c r="N23" s="1688">
        <f>SUM(N21:N22)</f>
        <v>2237000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v>193067</v>
      </c>
      <c r="D25" s="478"/>
      <c r="E25" s="478">
        <v>174141</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136377</v>
      </c>
      <c r="M33" s="468"/>
      <c r="N33" s="469"/>
    </row>
    <row r="34" spans="1:14" ht="13.5" customHeight="1" thickBot="1" x14ac:dyDescent="0.25">
      <c r="A34" s="1738" t="s">
        <v>654</v>
      </c>
      <c r="B34" s="1739"/>
      <c r="C34" s="1740">
        <f>SUM(C25:C33)</f>
        <v>193067</v>
      </c>
      <c r="D34" s="1740">
        <f t="shared" ref="D34:K34" si="1">SUM(D25:D33)</f>
        <v>0</v>
      </c>
      <c r="E34" s="1740">
        <f t="shared" si="1"/>
        <v>174141</v>
      </c>
      <c r="F34" s="1740">
        <f t="shared" si="1"/>
        <v>0</v>
      </c>
      <c r="G34" s="1740">
        <f t="shared" si="1"/>
        <v>0</v>
      </c>
      <c r="H34" s="1740">
        <f t="shared" si="1"/>
        <v>0</v>
      </c>
      <c r="I34" s="1740">
        <f t="shared" si="1"/>
        <v>0</v>
      </c>
      <c r="J34" s="1740">
        <f t="shared" si="1"/>
        <v>0</v>
      </c>
      <c r="K34" s="1740">
        <f t="shared" si="1"/>
        <v>0</v>
      </c>
      <c r="L34" s="1721">
        <f>SUM(L33)</f>
        <v>136377</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2237000</v>
      </c>
    </row>
    <row r="37" spans="1:14" ht="13.5" thickBot="1" x14ac:dyDescent="0.25">
      <c r="A37" s="1736" t="s">
        <v>653</v>
      </c>
      <c r="B37" s="1741"/>
      <c r="C37" s="477"/>
      <c r="D37" s="477"/>
      <c r="E37" s="477"/>
      <c r="F37" s="477"/>
      <c r="G37" s="477"/>
      <c r="H37" s="477"/>
      <c r="I37" s="477"/>
      <c r="J37" s="477"/>
      <c r="K37" s="477"/>
      <c r="L37" s="480"/>
      <c r="M37" s="468"/>
      <c r="N37" s="1688">
        <f>SUM(N36:N36)</f>
        <v>2237000</v>
      </c>
    </row>
    <row r="38" spans="1:14" s="329" customFormat="1" ht="13.5" customHeight="1" thickTop="1" x14ac:dyDescent="0.2">
      <c r="A38" s="496" t="s">
        <v>420</v>
      </c>
      <c r="B38" s="483">
        <v>714</v>
      </c>
      <c r="C38" s="466">
        <v>70000</v>
      </c>
      <c r="D38" s="466"/>
      <c r="E38" s="466"/>
      <c r="F38" s="466"/>
      <c r="G38" s="466">
        <v>272252</v>
      </c>
      <c r="H38" s="466"/>
      <c r="I38" s="466"/>
      <c r="J38" s="467"/>
      <c r="K38" s="466"/>
      <c r="L38" s="481"/>
      <c r="M38" s="497"/>
      <c r="N38" s="497"/>
    </row>
    <row r="39" spans="1:14" s="329" customFormat="1" ht="13.5" customHeight="1" x14ac:dyDescent="0.2">
      <c r="A39" s="496" t="s">
        <v>342</v>
      </c>
      <c r="B39" s="483">
        <v>730</v>
      </c>
      <c r="C39" s="466">
        <v>2554608</v>
      </c>
      <c r="D39" s="466">
        <v>259537</v>
      </c>
      <c r="E39" s="466">
        <v>-174141</v>
      </c>
      <c r="F39" s="466">
        <v>597533</v>
      </c>
      <c r="G39" s="466">
        <v>212259</v>
      </c>
      <c r="H39" s="466"/>
      <c r="I39" s="466">
        <v>1786578</v>
      </c>
      <c r="J39" s="467">
        <v>658527</v>
      </c>
      <c r="K39" s="466">
        <v>30701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10833850</v>
      </c>
      <c r="N40" s="497"/>
    </row>
    <row r="41" spans="1:14" ht="13.5" customHeight="1" thickBot="1" x14ac:dyDescent="0.25">
      <c r="A41" s="1736" t="s">
        <v>655</v>
      </c>
      <c r="B41" s="1706"/>
      <c r="C41" s="1688">
        <f>(SUM(C34,C37,C38,C39))</f>
        <v>2817675</v>
      </c>
      <c r="D41" s="1688">
        <f t="shared" ref="D41:L41" si="2">SUM(D34,D37,D38:D39)</f>
        <v>259537</v>
      </c>
      <c r="E41" s="1688">
        <f t="shared" si="2"/>
        <v>0</v>
      </c>
      <c r="F41" s="1688">
        <f t="shared" si="2"/>
        <v>597533</v>
      </c>
      <c r="G41" s="1688">
        <f t="shared" si="2"/>
        <v>484511</v>
      </c>
      <c r="H41" s="1688">
        <f t="shared" si="2"/>
        <v>0</v>
      </c>
      <c r="I41" s="1688">
        <f t="shared" si="2"/>
        <v>1786578</v>
      </c>
      <c r="J41" s="1688">
        <f t="shared" si="2"/>
        <v>658527</v>
      </c>
      <c r="K41" s="1688">
        <f t="shared" si="2"/>
        <v>30701</v>
      </c>
      <c r="L41" s="1688">
        <f t="shared" si="2"/>
        <v>136377</v>
      </c>
      <c r="M41" s="1688">
        <f>SUM(M40)</f>
        <v>10833850</v>
      </c>
      <c r="N41" s="1688">
        <f>SUM(N37)</f>
        <v>2237000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2309459</v>
      </c>
      <c r="D4" s="1742">
        <f>'Revenues 9-14'!D109</f>
        <v>403182</v>
      </c>
      <c r="E4" s="1742">
        <f>'Revenues 9-14'!E109</f>
        <v>643179</v>
      </c>
      <c r="F4" s="1742">
        <f>'Revenues 9-14'!F109</f>
        <v>150025</v>
      </c>
      <c r="G4" s="1742">
        <f>'Revenues 9-14'!G109</f>
        <v>181938</v>
      </c>
      <c r="H4" s="1742">
        <f>'Revenues 9-14'!H109</f>
        <v>0</v>
      </c>
      <c r="I4" s="1742">
        <f>'Revenues 9-14'!I109</f>
        <v>40012</v>
      </c>
      <c r="J4" s="1742">
        <f>'Revenues 9-14'!J109</f>
        <v>455650</v>
      </c>
      <c r="K4" s="1742">
        <f>'Revenues 9-14'!K109</f>
        <v>37059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1746157</v>
      </c>
      <c r="D6" s="1743">
        <f>'Revenues 9-14'!D170</f>
        <v>0</v>
      </c>
      <c r="E6" s="1743">
        <f>'Revenues 9-14'!E170</f>
        <v>0</v>
      </c>
      <c r="F6" s="1743">
        <f>'Revenues 9-14'!F170</f>
        <v>167166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417775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4473391</v>
      </c>
      <c r="D8" s="1688">
        <f t="shared" ref="D8:K8" si="0">SUM(D4:D7)</f>
        <v>403182</v>
      </c>
      <c r="E8" s="1688">
        <f t="shared" si="0"/>
        <v>643179</v>
      </c>
      <c r="F8" s="1688">
        <f t="shared" si="0"/>
        <v>317191</v>
      </c>
      <c r="G8" s="1688">
        <f t="shared" si="0"/>
        <v>181938</v>
      </c>
      <c r="H8" s="1688">
        <f t="shared" si="0"/>
        <v>0</v>
      </c>
      <c r="I8" s="1688">
        <f t="shared" si="0"/>
        <v>40012</v>
      </c>
      <c r="J8" s="1688">
        <f t="shared" si="0"/>
        <v>455650</v>
      </c>
      <c r="K8" s="1688">
        <f t="shared" si="0"/>
        <v>37059</v>
      </c>
      <c r="L8" s="347"/>
    </row>
    <row r="9" spans="1:13" ht="15.75" thickTop="1" x14ac:dyDescent="0.2">
      <c r="A9" s="514" t="s">
        <v>1653</v>
      </c>
      <c r="B9" s="515">
        <v>3998</v>
      </c>
      <c r="C9" s="481">
        <v>2160564</v>
      </c>
      <c r="D9" s="516"/>
      <c r="E9" s="481"/>
      <c r="F9" s="481"/>
      <c r="G9" s="517"/>
      <c r="H9" s="481"/>
      <c r="I9" s="509" t="s">
        <v>1169</v>
      </c>
      <c r="J9" s="478"/>
      <c r="K9" s="481"/>
      <c r="L9" s="347"/>
    </row>
    <row r="10" spans="1:13" s="519" customFormat="1" ht="13.5" thickBot="1" x14ac:dyDescent="0.25">
      <c r="A10" s="1736" t="s">
        <v>1173</v>
      </c>
      <c r="B10" s="1709"/>
      <c r="C10" s="1688">
        <f>SUM(C8:C9)</f>
        <v>6633955</v>
      </c>
      <c r="D10" s="1688">
        <f t="shared" ref="D10:K10" si="1">SUM(D8:D9)</f>
        <v>403182</v>
      </c>
      <c r="E10" s="1688">
        <f t="shared" si="1"/>
        <v>643179</v>
      </c>
      <c r="F10" s="1688">
        <f t="shared" si="1"/>
        <v>317191</v>
      </c>
      <c r="G10" s="1688">
        <f t="shared" si="1"/>
        <v>181938</v>
      </c>
      <c r="H10" s="1688">
        <f t="shared" si="1"/>
        <v>0</v>
      </c>
      <c r="I10" s="1688">
        <f t="shared" si="1"/>
        <v>40012</v>
      </c>
      <c r="J10" s="1688">
        <f t="shared" si="1"/>
        <v>455650</v>
      </c>
      <c r="K10" s="1688">
        <f t="shared" si="1"/>
        <v>37059</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3422091</v>
      </c>
      <c r="D12" s="520" t="s">
        <v>1169</v>
      </c>
      <c r="E12" s="468" t="s">
        <v>1169</v>
      </c>
      <c r="F12" s="468" t="s">
        <v>1169</v>
      </c>
      <c r="G12" s="1742">
        <f>'Expenditures 15-22'!K229</f>
        <v>71350</v>
      </c>
      <c r="H12" s="521"/>
      <c r="I12" s="468" t="s">
        <v>1169</v>
      </c>
      <c r="J12" s="468" t="s">
        <v>1169</v>
      </c>
      <c r="K12" s="521" t="s">
        <v>1169</v>
      </c>
      <c r="L12" s="347"/>
    </row>
    <row r="13" spans="1:13" ht="15.75" customHeight="1" x14ac:dyDescent="0.2">
      <c r="A13" s="1576" t="s">
        <v>457</v>
      </c>
      <c r="B13" s="1578">
        <v>2000</v>
      </c>
      <c r="C13" s="1743">
        <f>'Expenditures 15-22'!K74</f>
        <v>983103</v>
      </c>
      <c r="D13" s="1743">
        <f>'Expenditures 15-22'!K129</f>
        <v>481256</v>
      </c>
      <c r="E13" s="469" t="s">
        <v>1169</v>
      </c>
      <c r="F13" s="1743">
        <f>'Expenditures 15-22'!K184</f>
        <v>301753</v>
      </c>
      <c r="G13" s="1743">
        <f>'Expenditures 15-22'!K279</f>
        <v>97129</v>
      </c>
      <c r="H13" s="1743">
        <f>'Expenditures 15-22'!K303</f>
        <v>0</v>
      </c>
      <c r="I13" s="468" t="s">
        <v>1169</v>
      </c>
      <c r="J13" s="1743">
        <f>'Expenditures 15-22'!K330</f>
        <v>504279</v>
      </c>
      <c r="K13" s="1747">
        <f>'Expenditures 15-22'!K352</f>
        <v>2032402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196372</v>
      </c>
      <c r="D15" s="1743">
        <f>'Expenditures 15-22'!K139</f>
        <v>5424</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703784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4601566</v>
      </c>
      <c r="D17" s="1688">
        <f t="shared" si="2"/>
        <v>486680</v>
      </c>
      <c r="E17" s="1688">
        <f t="shared" si="2"/>
        <v>703784</v>
      </c>
      <c r="F17" s="1688">
        <f t="shared" si="2"/>
        <v>301753</v>
      </c>
      <c r="G17" s="1688">
        <f t="shared" si="2"/>
        <v>168479</v>
      </c>
      <c r="H17" s="1688">
        <f t="shared" si="2"/>
        <v>0</v>
      </c>
      <c r="I17" s="468"/>
      <c r="J17" s="1688">
        <f>SUM(J12:J16)</f>
        <v>504279</v>
      </c>
      <c r="K17" s="1688">
        <f>SUM(K12:K16)</f>
        <v>2032402</v>
      </c>
      <c r="L17" s="347"/>
    </row>
    <row r="18" spans="1:12" ht="15" customHeight="1" thickTop="1" x14ac:dyDescent="0.2">
      <c r="A18" s="1744" t="s">
        <v>1654</v>
      </c>
      <c r="B18" s="1745">
        <v>4180</v>
      </c>
      <c r="C18" s="1742">
        <f t="shared" ref="C18:H18" si="3">C9</f>
        <v>2160564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6762130</v>
      </c>
      <c r="D19" s="1688">
        <f t="shared" si="4"/>
        <v>486680</v>
      </c>
      <c r="E19" s="1688">
        <f t="shared" si="4"/>
        <v>703784</v>
      </c>
      <c r="F19" s="1688">
        <f t="shared" si="4"/>
        <v>301753</v>
      </c>
      <c r="G19" s="1688">
        <f t="shared" si="4"/>
        <v>168479</v>
      </c>
      <c r="H19" s="1688">
        <f t="shared" si="4"/>
        <v>0</v>
      </c>
      <c r="I19" s="468"/>
      <c r="J19" s="1688">
        <f>SUM(J17:J18)</f>
        <v>504279</v>
      </c>
      <c r="K19" s="1688">
        <f>SUM(K17:K18)</f>
        <v>2032402</v>
      </c>
      <c r="L19" s="347"/>
    </row>
    <row r="20" spans="1:12" ht="16.5" thickTop="1" thickBot="1" x14ac:dyDescent="0.25">
      <c r="A20" s="2126" t="s">
        <v>1655</v>
      </c>
      <c r="B20" s="2127"/>
      <c r="C20" s="1746">
        <f>C8-C17</f>
        <v>-128175</v>
      </c>
      <c r="D20" s="1746">
        <f t="shared" ref="D20:K20" si="5">D8-D17</f>
        <v>-83498</v>
      </c>
      <c r="E20" s="1746">
        <f t="shared" si="5"/>
        <v>-60605</v>
      </c>
      <c r="F20" s="1746">
        <f t="shared" si="5"/>
        <v>15438</v>
      </c>
      <c r="G20" s="1746">
        <f t="shared" si="5"/>
        <v>13459</v>
      </c>
      <c r="H20" s="1746">
        <f t="shared" si="5"/>
        <v>0</v>
      </c>
      <c r="I20" s="1746">
        <f t="shared" si="5"/>
        <v>40012</v>
      </c>
      <c r="J20" s="1746">
        <f t="shared" si="5"/>
        <v>-48629</v>
      </c>
      <c r="K20" s="1746">
        <f t="shared" si="5"/>
        <v>-1995343</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75000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75000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75000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75000</v>
      </c>
      <c r="J76" s="1703">
        <f t="shared" si="7"/>
        <v>0</v>
      </c>
      <c r="K76" s="1703">
        <f t="shared" si="7"/>
        <v>0</v>
      </c>
      <c r="L76" s="524"/>
    </row>
    <row r="77" spans="1:12" ht="14.25" thickTop="1" thickBot="1" x14ac:dyDescent="0.25">
      <c r="A77" s="2118" t="s">
        <v>1177</v>
      </c>
      <c r="B77" s="2119"/>
      <c r="C77" s="1703">
        <f t="shared" ref="C77:K77" si="8">C44-C76</f>
        <v>0</v>
      </c>
      <c r="D77" s="1703">
        <f t="shared" si="8"/>
        <v>75000</v>
      </c>
      <c r="E77" s="1703">
        <f t="shared" si="8"/>
        <v>0</v>
      </c>
      <c r="F77" s="1703">
        <f t="shared" si="8"/>
        <v>0</v>
      </c>
      <c r="G77" s="1703">
        <f t="shared" si="8"/>
        <v>0</v>
      </c>
      <c r="H77" s="1703">
        <f t="shared" si="8"/>
        <v>0</v>
      </c>
      <c r="I77" s="1703">
        <f t="shared" si="8"/>
        <v>-75000</v>
      </c>
      <c r="J77" s="1703">
        <f t="shared" si="8"/>
        <v>0</v>
      </c>
      <c r="K77" s="1703">
        <f t="shared" si="8"/>
        <v>0</v>
      </c>
      <c r="L77" s="347"/>
    </row>
    <row r="78" spans="1:12" ht="21.75" customHeight="1" thickTop="1" thickBot="1" x14ac:dyDescent="0.25">
      <c r="A78" s="2122" t="s">
        <v>597</v>
      </c>
      <c r="B78" s="2123"/>
      <c r="C78" s="1702">
        <f t="shared" ref="C78:K78" si="9">C20+C77</f>
        <v>-128175</v>
      </c>
      <c r="D78" s="1702">
        <f t="shared" si="9"/>
        <v>-8498</v>
      </c>
      <c r="E78" s="1702">
        <f t="shared" si="9"/>
        <v>-60605</v>
      </c>
      <c r="F78" s="1702">
        <f t="shared" si="9"/>
        <v>15438</v>
      </c>
      <c r="G78" s="1702">
        <f t="shared" si="9"/>
        <v>13459</v>
      </c>
      <c r="H78" s="1702">
        <f t="shared" si="9"/>
        <v>0</v>
      </c>
      <c r="I78" s="1702">
        <f t="shared" si="9"/>
        <v>-34988</v>
      </c>
      <c r="J78" s="1702">
        <f t="shared" si="9"/>
        <v>-48629</v>
      </c>
      <c r="K78" s="1702">
        <f t="shared" si="9"/>
        <v>-1995343</v>
      </c>
      <c r="L78" s="533"/>
    </row>
    <row r="79" spans="1:12" ht="13.5" thickTop="1" x14ac:dyDescent="0.2">
      <c r="A79" s="1494" t="s">
        <v>1949</v>
      </c>
      <c r="B79" s="534"/>
      <c r="C79" s="478">
        <v>2752783</v>
      </c>
      <c r="D79" s="535">
        <v>268035</v>
      </c>
      <c r="E79" s="535">
        <v>-113536</v>
      </c>
      <c r="F79" s="535">
        <v>582095</v>
      </c>
      <c r="G79" s="535">
        <v>471052</v>
      </c>
      <c r="H79" s="535"/>
      <c r="I79" s="535">
        <v>1821566</v>
      </c>
      <c r="J79" s="535">
        <v>707156</v>
      </c>
      <c r="K79" s="535">
        <v>2026044</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2624608</v>
      </c>
      <c r="D81" s="1688">
        <f>SUM(D78:D80)</f>
        <v>259537</v>
      </c>
      <c r="E81" s="1688">
        <f t="shared" ref="E81:K81" si="10">SUM(E78:E80)</f>
        <v>-174141</v>
      </c>
      <c r="F81" s="1688">
        <f t="shared" si="10"/>
        <v>597533</v>
      </c>
      <c r="G81" s="1688">
        <f t="shared" si="10"/>
        <v>484511</v>
      </c>
      <c r="H81" s="1688">
        <f t="shared" si="10"/>
        <v>0</v>
      </c>
      <c r="I81" s="1688">
        <f t="shared" si="10"/>
        <v>1786578</v>
      </c>
      <c r="J81" s="1688">
        <f t="shared" si="10"/>
        <v>658527</v>
      </c>
      <c r="K81" s="1688">
        <f t="shared" si="10"/>
        <v>30701</v>
      </c>
      <c r="L81" s="347"/>
    </row>
    <row r="82" spans="1:12" ht="0.75" customHeight="1" thickTop="1" thickBot="1" x14ac:dyDescent="0.25">
      <c r="A82" s="536" t="s">
        <v>343</v>
      </c>
      <c r="B82" s="537"/>
      <c r="C82" s="538">
        <f>(C81-C79)</f>
        <v>-128175</v>
      </c>
      <c r="D82" s="538">
        <f t="shared" ref="D82:K82" si="11">(D81-D79)</f>
        <v>-8498</v>
      </c>
      <c r="E82" s="538">
        <f t="shared" si="11"/>
        <v>-60605</v>
      </c>
      <c r="F82" s="538">
        <f t="shared" si="11"/>
        <v>15438</v>
      </c>
      <c r="G82" s="538">
        <f t="shared" si="11"/>
        <v>13459</v>
      </c>
      <c r="H82" s="538">
        <f t="shared" si="11"/>
        <v>0</v>
      </c>
      <c r="I82" s="538">
        <f t="shared" si="11"/>
        <v>-34988</v>
      </c>
      <c r="J82" s="538">
        <f t="shared" si="11"/>
        <v>-48629</v>
      </c>
      <c r="K82" s="538">
        <f t="shared" si="11"/>
        <v>-1995343</v>
      </c>
    </row>
    <row r="83" spans="1:12" ht="14.25" hidden="1" thickTop="1" thickBot="1" x14ac:dyDescent="0.25">
      <c r="A83" s="539" t="s">
        <v>344</v>
      </c>
      <c r="B83" s="464"/>
      <c r="C83" s="540">
        <f>C82/C81</f>
        <v>-4.8835864250966241E-2</v>
      </c>
      <c r="D83" s="540">
        <f t="shared" ref="D83:K83" si="12">D82/D81</f>
        <v>-3.2742922974373596E-2</v>
      </c>
      <c r="E83" s="540">
        <f t="shared" si="12"/>
        <v>0.34802257940404613</v>
      </c>
      <c r="F83" s="540">
        <f t="shared" si="12"/>
        <v>2.5836229965541652E-2</v>
      </c>
      <c r="G83" s="540">
        <f t="shared" si="12"/>
        <v>2.7778523088227099E-2</v>
      </c>
      <c r="H83" s="540" t="e">
        <f t="shared" si="12"/>
        <v>#DIV/0!</v>
      </c>
      <c r="I83" s="540">
        <f t="shared" si="12"/>
        <v>-1.9583807703889781E-2</v>
      </c>
      <c r="J83" s="540">
        <f t="shared" si="12"/>
        <v>-7.3845111893665716E-2</v>
      </c>
      <c r="K83" s="540">
        <f t="shared" si="12"/>
        <v>-64.992768965180289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2019 </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topLeftCell="A239" colorId="8" zoomScaleNormal="100" zoomScaleSheetLayoutView="75" workbookViewId="0">
      <selection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1851847</v>
      </c>
      <c r="D5" s="481">
        <v>370575</v>
      </c>
      <c r="E5" s="466">
        <v>643179</v>
      </c>
      <c r="F5" s="548">
        <v>148231</v>
      </c>
      <c r="G5" s="466">
        <v>44227</v>
      </c>
      <c r="H5" s="466"/>
      <c r="I5" s="466">
        <v>37059</v>
      </c>
      <c r="J5" s="467">
        <v>454137</v>
      </c>
      <c r="K5" s="466">
        <v>37059</v>
      </c>
    </row>
    <row r="6" spans="1:12" ht="15" x14ac:dyDescent="0.2">
      <c r="A6" s="463" t="s">
        <v>1662</v>
      </c>
      <c r="B6" s="470">
        <v>1130</v>
      </c>
      <c r="C6" s="466">
        <v>37059</v>
      </c>
      <c r="D6" s="466"/>
      <c r="E6" s="475"/>
      <c r="F6" s="475"/>
      <c r="G6" s="468"/>
      <c r="H6" s="468"/>
      <c r="I6" s="468"/>
      <c r="J6" s="468"/>
      <c r="K6" s="468"/>
    </row>
    <row r="7" spans="1:12" x14ac:dyDescent="0.2">
      <c r="A7" s="463" t="s">
        <v>110</v>
      </c>
      <c r="B7" s="549">
        <v>1140</v>
      </c>
      <c r="C7" s="466">
        <v>29646</v>
      </c>
      <c r="D7" s="466"/>
      <c r="E7" s="468"/>
      <c r="F7" s="467"/>
      <c r="G7" s="467"/>
      <c r="H7" s="467"/>
      <c r="I7" s="468"/>
      <c r="J7" s="468"/>
      <c r="K7" s="468"/>
    </row>
    <row r="8" spans="1:12" x14ac:dyDescent="0.2">
      <c r="A8" s="463" t="s">
        <v>413</v>
      </c>
      <c r="B8" s="470">
        <v>1150</v>
      </c>
      <c r="C8" s="475"/>
      <c r="D8" s="475"/>
      <c r="E8" s="477"/>
      <c r="F8" s="477"/>
      <c r="G8" s="481">
        <v>132679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1918552</v>
      </c>
      <c r="D12" s="1707">
        <f t="shared" si="0"/>
        <v>370575</v>
      </c>
      <c r="E12" s="1707">
        <f t="shared" si="0"/>
        <v>643179</v>
      </c>
      <c r="F12" s="1707">
        <f t="shared" si="0"/>
        <v>148231</v>
      </c>
      <c r="G12" s="1707">
        <f t="shared" si="0"/>
        <v>176906</v>
      </c>
      <c r="H12" s="1707">
        <f t="shared" si="0"/>
        <v>0</v>
      </c>
      <c r="I12" s="1707">
        <f t="shared" si="0"/>
        <v>37059</v>
      </c>
      <c r="J12" s="1707">
        <f t="shared" si="0"/>
        <v>454137</v>
      </c>
      <c r="K12" s="1688">
        <f t="shared" si="0"/>
        <v>37059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141420</v>
      </c>
      <c r="D16" s="466">
        <v>20000</v>
      </c>
      <c r="E16" s="466"/>
      <c r="F16" s="466"/>
      <c r="G16" s="466">
        <v>4324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141420</v>
      </c>
      <c r="D18" s="1710">
        <f t="shared" ref="D18:K18" si="1">SUM(D14:D17)</f>
        <v>20000</v>
      </c>
      <c r="E18" s="1710">
        <f t="shared" si="1"/>
        <v>0</v>
      </c>
      <c r="F18" s="1710">
        <f t="shared" si="1"/>
        <v>0</v>
      </c>
      <c r="G18" s="1710">
        <f t="shared" si="1"/>
        <v>4324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50208</v>
      </c>
      <c r="D65" s="466"/>
      <c r="E65" s="466"/>
      <c r="F65" s="467">
        <v>1794</v>
      </c>
      <c r="G65" s="466">
        <v>708</v>
      </c>
      <c r="H65" s="466"/>
      <c r="I65" s="466">
        <v>2953</v>
      </c>
      <c r="J65" s="467">
        <v>1513</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50208</v>
      </c>
      <c r="D67" s="1688">
        <f t="shared" ref="D67:K67" si="2">SUM(D65:D66)</f>
        <v>0</v>
      </c>
      <c r="E67" s="1688">
        <f t="shared" si="2"/>
        <v>0</v>
      </c>
      <c r="F67" s="1688">
        <f t="shared" si="2"/>
        <v>1794</v>
      </c>
      <c r="G67" s="1688">
        <f t="shared" si="2"/>
        <v>708</v>
      </c>
      <c r="H67" s="1688">
        <f t="shared" si="2"/>
        <v>0</v>
      </c>
      <c r="I67" s="1688">
        <f t="shared" si="2"/>
        <v>2953</v>
      </c>
      <c r="J67" s="1688">
        <f t="shared" si="2"/>
        <v>1513</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91356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1039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92395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21317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20744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42061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12961+9053</f>
        <v>22014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2440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24454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60</v>
      </c>
      <c r="E95" s="521"/>
      <c r="F95" s="521"/>
      <c r="G95" s="521"/>
      <c r="H95" s="521"/>
      <c r="I95" s="521"/>
      <c r="J95" s="521"/>
      <c r="K95" s="521"/>
    </row>
    <row r="96" spans="1:11" ht="12.75" customHeight="1" x14ac:dyDescent="0.2">
      <c r="A96" s="463" t="s">
        <v>391</v>
      </c>
      <c r="B96" s="470">
        <v>1920</v>
      </c>
      <c r="C96" s="551">
        <v>4000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250</v>
      </c>
      <c r="D99" s="466"/>
      <c r="E99" s="466"/>
      <c r="F99" s="466"/>
      <c r="G99" s="466"/>
      <c r="H99" s="466"/>
      <c r="I99" s="468"/>
      <c r="J99" s="467"/>
      <c r="K99" s="466"/>
    </row>
    <row r="100" spans="1:12" ht="12.75" customHeight="1" x14ac:dyDescent="0.2">
      <c r="A100" s="463" t="s">
        <v>245</v>
      </c>
      <c r="B100" s="470">
        <v>1960</v>
      </c>
      <c r="C100" s="489"/>
      <c r="D100" s="489">
        <v>12358</v>
      </c>
      <c r="E100" s="489"/>
      <c r="F100" s="489"/>
      <c r="G100" s="489"/>
      <c r="H100" s="489"/>
      <c r="I100" s="467"/>
      <c r="J100" s="489"/>
      <c r="K100" s="467"/>
    </row>
    <row r="101" spans="1:12" ht="12.75" customHeight="1" x14ac:dyDescent="0.2">
      <c r="A101" s="463" t="s">
        <v>246</v>
      </c>
      <c r="B101" s="470">
        <v>1970</v>
      </c>
      <c r="C101" s="489">
        <v>2931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33188</v>
      </c>
      <c r="D107" s="466">
        <v>189</v>
      </c>
      <c r="E107" s="466"/>
      <c r="F107" s="466"/>
      <c r="G107" s="466"/>
      <c r="H107" s="466"/>
      <c r="I107" s="466"/>
      <c r="J107" s="467"/>
      <c r="K107" s="466"/>
    </row>
    <row r="108" spans="1:12" ht="12.75" customHeight="1" thickBot="1" x14ac:dyDescent="0.25">
      <c r="A108" s="1708" t="s">
        <v>487</v>
      </c>
      <c r="B108" s="1712"/>
      <c r="C108" s="1707">
        <f>SUM(C95:C107)</f>
        <v>40369</v>
      </c>
      <c r="D108" s="1707">
        <f t="shared" ref="D108:K108" si="3">SUM(D95:D107)</f>
        <v>12607</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2309459</v>
      </c>
      <c r="D109" s="1715">
        <f t="shared" si="4"/>
        <v>403182</v>
      </c>
      <c r="E109" s="1715">
        <f t="shared" si="4"/>
        <v>643179</v>
      </c>
      <c r="F109" s="1715">
        <f t="shared" si="4"/>
        <v>150025</v>
      </c>
      <c r="G109" s="1715">
        <f t="shared" si="4"/>
        <v>181938</v>
      </c>
      <c r="H109" s="1715">
        <f t="shared" si="4"/>
        <v>0</v>
      </c>
      <c r="I109" s="1715">
        <f t="shared" si="4"/>
        <v>40012</v>
      </c>
      <c r="J109" s="1715">
        <f t="shared" si="4"/>
        <v>455650</v>
      </c>
      <c r="K109" s="1702">
        <f t="shared" si="4"/>
        <v>37059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1541842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1541842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19491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19491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17376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21413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38789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2327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8293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107661</v>
      </c>
      <c r="G152" s="467"/>
      <c r="H152" s="468"/>
      <c r="I152" s="468"/>
      <c r="J152" s="468"/>
      <c r="K152" s="468"/>
    </row>
    <row r="153" spans="1:11" ht="12.75" customHeight="1" x14ac:dyDescent="0.2">
      <c r="A153" s="463" t="s">
        <v>1057</v>
      </c>
      <c r="B153" s="562">
        <v>3510</v>
      </c>
      <c r="C153" s="551"/>
      <c r="D153" s="466"/>
      <c r="E153" s="561"/>
      <c r="F153" s="466">
        <v>59505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167166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133167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953+750+545</f>
        <v>2248</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204315</v>
      </c>
      <c r="D169" s="1722">
        <f t="shared" si="6"/>
        <v>0</v>
      </c>
      <c r="E169" s="1722">
        <f t="shared" si="6"/>
        <v>0</v>
      </c>
      <c r="F169" s="1722">
        <f t="shared" si="6"/>
        <v>167166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1746157</v>
      </c>
      <c r="D170" s="1715">
        <f t="shared" si="7"/>
        <v>0</v>
      </c>
      <c r="E170" s="1715">
        <f t="shared" si="7"/>
        <v>0</v>
      </c>
      <c r="F170" s="1715">
        <f t="shared" si="7"/>
        <v>167166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47282</v>
      </c>
      <c r="D180" s="466"/>
      <c r="E180" s="468"/>
      <c r="F180" s="466"/>
      <c r="G180" s="466"/>
      <c r="H180" s="466"/>
      <c r="I180" s="468"/>
      <c r="J180" s="468"/>
      <c r="K180" s="466"/>
    </row>
    <row r="181" spans="1:11" ht="13.5" thickBot="1" x14ac:dyDescent="0.25">
      <c r="A181" s="2152" t="s">
        <v>785</v>
      </c>
      <c r="B181" s="2153"/>
      <c r="C181" s="1707">
        <f>SUM(C177:C180)</f>
        <v>47282</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110118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32016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142134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119969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119969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19768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19768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6250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25305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31555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23319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33748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370493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417775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4473391</v>
      </c>
      <c r="D268" s="1715">
        <f t="shared" si="12"/>
        <v>403182</v>
      </c>
      <c r="E268" s="1715">
        <f t="shared" si="12"/>
        <v>643179</v>
      </c>
      <c r="F268" s="1715">
        <f t="shared" si="12"/>
        <v>317191</v>
      </c>
      <c r="G268" s="1715">
        <f t="shared" si="12"/>
        <v>181938</v>
      </c>
      <c r="H268" s="1715">
        <f t="shared" si="12"/>
        <v>0</v>
      </c>
      <c r="I268" s="1715">
        <f t="shared" si="12"/>
        <v>40012</v>
      </c>
      <c r="J268" s="1715">
        <f t="shared" si="12"/>
        <v>455650</v>
      </c>
      <c r="K268" s="1702">
        <f t="shared" si="12"/>
        <v>37059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
FOR THE YEAR ENDING JUNE 30, 2019</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topLeftCell="A345" colorId="8" zoomScale="110" zoomScaleNormal="110" workbookViewId="0">
      <selection activeCell="A351" sqref="A3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1948671</v>
      </c>
      <c r="D5" s="466">
        <f>353076+1846</f>
        <v>354922</v>
      </c>
      <c r="E5" s="466">
        <v>31864</v>
      </c>
      <c r="F5" s="466">
        <v>62318</v>
      </c>
      <c r="G5" s="466">
        <v>45105</v>
      </c>
      <c r="H5" s="466">
        <v>14884</v>
      </c>
      <c r="I5" s="467"/>
      <c r="J5" s="467"/>
      <c r="K5" s="1671">
        <f>SUM(C5:J5)</f>
        <v>2457764</v>
      </c>
      <c r="L5" s="466">
        <v>2568738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v>2600</v>
      </c>
      <c r="F7" s="467">
        <v>5946</v>
      </c>
      <c r="G7" s="467"/>
      <c r="H7" s="467"/>
      <c r="I7" s="467"/>
      <c r="J7" s="467"/>
      <c r="K7" s="1671">
        <f t="shared" ref="K7:K32" si="0">SUM(C7:J7)</f>
        <v>8546</v>
      </c>
      <c r="L7" s="466">
        <v>4000</v>
      </c>
    </row>
    <row r="8" spans="1:14" x14ac:dyDescent="0.2">
      <c r="A8" s="1504" t="s">
        <v>164</v>
      </c>
      <c r="B8" s="614">
        <v>1200</v>
      </c>
      <c r="C8" s="466">
        <v>273530</v>
      </c>
      <c r="D8" s="466">
        <v>53568</v>
      </c>
      <c r="E8" s="466">
        <v>1244</v>
      </c>
      <c r="F8" s="466">
        <v>1685</v>
      </c>
      <c r="G8" s="466">
        <v>4182</v>
      </c>
      <c r="H8" s="466"/>
      <c r="I8" s="467"/>
      <c r="J8" s="467"/>
      <c r="K8" s="1671">
        <f t="shared" si="0"/>
        <v>334209</v>
      </c>
      <c r="L8" s="466">
        <v>362566</v>
      </c>
    </row>
    <row r="9" spans="1:14" x14ac:dyDescent="0.2">
      <c r="A9" s="1504" t="s">
        <v>721</v>
      </c>
      <c r="B9" s="614" t="s">
        <v>968</v>
      </c>
      <c r="C9" s="467">
        <f>65272+1599+21745</f>
        <v>88616</v>
      </c>
      <c r="D9" s="467">
        <f>6454+5490+854</f>
        <v>12798</v>
      </c>
      <c r="E9" s="467"/>
      <c r="F9" s="467">
        <v>4637</v>
      </c>
      <c r="G9" s="467"/>
      <c r="H9" s="467"/>
      <c r="I9" s="467"/>
      <c r="J9" s="467"/>
      <c r="K9" s="1671">
        <f t="shared" si="0"/>
        <v>106051</v>
      </c>
      <c r="L9" s="466">
        <v>93463</v>
      </c>
    </row>
    <row r="10" spans="1:14" x14ac:dyDescent="0.2">
      <c r="A10" s="1504" t="s">
        <v>722</v>
      </c>
      <c r="B10" s="614">
        <v>1250</v>
      </c>
      <c r="C10" s="466">
        <v>67073</v>
      </c>
      <c r="D10" s="466">
        <f>10899</f>
        <v>10899</v>
      </c>
      <c r="E10" s="466">
        <v>17510</v>
      </c>
      <c r="F10" s="466">
        <v>19631</v>
      </c>
      <c r="G10" s="466"/>
      <c r="H10" s="466"/>
      <c r="I10" s="467"/>
      <c r="J10" s="467"/>
      <c r="K10" s="1671">
        <f t="shared" si="0"/>
        <v>115113</v>
      </c>
      <c r="L10" s="466">
        <v>103624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143544</v>
      </c>
      <c r="D13" s="466">
        <v>37059</v>
      </c>
      <c r="E13" s="466">
        <v>300</v>
      </c>
      <c r="F13" s="466">
        <v>4918</v>
      </c>
      <c r="G13" s="466">
        <v>7281</v>
      </c>
      <c r="H13" s="466"/>
      <c r="I13" s="467"/>
      <c r="J13" s="467"/>
      <c r="K13" s="1671">
        <f t="shared" si="0"/>
        <v>193102</v>
      </c>
      <c r="L13" s="466">
        <v>175402</v>
      </c>
    </row>
    <row r="14" spans="1:14" x14ac:dyDescent="0.2">
      <c r="A14" s="1504" t="s">
        <v>963</v>
      </c>
      <c r="B14" s="614">
        <v>1500</v>
      </c>
      <c r="C14" s="466">
        <v>134155</v>
      </c>
      <c r="D14" s="466">
        <v>14596</v>
      </c>
      <c r="E14" s="466">
        <v>19202</v>
      </c>
      <c r="F14" s="466">
        <v>15148</v>
      </c>
      <c r="G14" s="466">
        <v>6825</v>
      </c>
      <c r="H14" s="466">
        <v>17380</v>
      </c>
      <c r="I14" s="467"/>
      <c r="J14" s="467"/>
      <c r="K14" s="1671">
        <f t="shared" si="0"/>
        <v>207306</v>
      </c>
      <c r="L14" s="466">
        <v>217868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2655589</v>
      </c>
      <c r="D33" s="1670">
        <f t="shared" ref="D33:L33" si="1">SUM(D5:D32)</f>
        <v>483842</v>
      </c>
      <c r="E33" s="1670">
        <f t="shared" si="1"/>
        <v>72720</v>
      </c>
      <c r="F33" s="1670">
        <f t="shared" si="1"/>
        <v>114283</v>
      </c>
      <c r="G33" s="1670">
        <f t="shared" si="1"/>
        <v>63393</v>
      </c>
      <c r="H33" s="1670">
        <f t="shared" si="1"/>
        <v>32264</v>
      </c>
      <c r="I33" s="1670">
        <f t="shared" si="1"/>
        <v>0</v>
      </c>
      <c r="J33" s="1670">
        <f t="shared" si="1"/>
        <v>0</v>
      </c>
      <c r="K33" s="1670">
        <f t="shared" si="1"/>
        <v>3422091</v>
      </c>
      <c r="L33" s="1670">
        <f t="shared" si="1"/>
        <v>3525661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26350</v>
      </c>
      <c r="D36" s="481"/>
      <c r="E36" s="481"/>
      <c r="F36" s="481"/>
      <c r="G36" s="481"/>
      <c r="H36" s="481"/>
      <c r="I36" s="467"/>
      <c r="J36" s="467"/>
      <c r="K36" s="1671">
        <f t="shared" ref="K36:K41" si="2">SUM(C36:J36)</f>
        <v>26350</v>
      </c>
      <c r="L36" s="466">
        <v>25372</v>
      </c>
    </row>
    <row r="37" spans="1:14" x14ac:dyDescent="0.2">
      <c r="A37" s="1504" t="s">
        <v>1090</v>
      </c>
      <c r="B37" s="614">
        <v>2120</v>
      </c>
      <c r="C37" s="466">
        <v>62121</v>
      </c>
      <c r="D37" s="466">
        <v>14102</v>
      </c>
      <c r="E37" s="466">
        <v>49</v>
      </c>
      <c r="F37" s="466">
        <v>142</v>
      </c>
      <c r="G37" s="466"/>
      <c r="H37" s="466"/>
      <c r="I37" s="467"/>
      <c r="J37" s="467"/>
      <c r="K37" s="1671">
        <f t="shared" si="2"/>
        <v>76414</v>
      </c>
      <c r="L37" s="466">
        <v>74639</v>
      </c>
    </row>
    <row r="38" spans="1:14" x14ac:dyDescent="0.2">
      <c r="A38" s="1504" t="s">
        <v>198</v>
      </c>
      <c r="B38" s="614">
        <v>2130</v>
      </c>
      <c r="C38" s="466">
        <v>18189</v>
      </c>
      <c r="D38" s="466">
        <v>1846</v>
      </c>
      <c r="E38" s="466">
        <v>351</v>
      </c>
      <c r="F38" s="466"/>
      <c r="G38" s="466"/>
      <c r="H38" s="466"/>
      <c r="I38" s="467"/>
      <c r="J38" s="467"/>
      <c r="K38" s="1671">
        <f t="shared" si="2"/>
        <v>20386</v>
      </c>
      <c r="L38" s="466">
        <v>19466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177</v>
      </c>
      <c r="D41" s="466"/>
      <c r="E41" s="466"/>
      <c r="F41" s="466"/>
      <c r="G41" s="466"/>
      <c r="H41" s="466"/>
      <c r="I41" s="467"/>
      <c r="J41" s="467"/>
      <c r="K41" s="1671">
        <f t="shared" si="2"/>
        <v>177</v>
      </c>
      <c r="L41" s="466"/>
    </row>
    <row r="42" spans="1:14" ht="12.75" customHeight="1" thickBot="1" x14ac:dyDescent="0.25">
      <c r="A42" s="1668" t="s">
        <v>560</v>
      </c>
      <c r="B42" s="1669" t="s">
        <v>716</v>
      </c>
      <c r="C42" s="1670">
        <f>SUM(C36:C41)</f>
        <v>106837</v>
      </c>
      <c r="D42" s="1670">
        <f t="shared" ref="D42:L42" si="3">SUM(D36:D41)</f>
        <v>15948</v>
      </c>
      <c r="E42" s="1670">
        <f t="shared" si="3"/>
        <v>400</v>
      </c>
      <c r="F42" s="1670">
        <f t="shared" si="3"/>
        <v>142</v>
      </c>
      <c r="G42" s="1670">
        <f t="shared" si="3"/>
        <v>0</v>
      </c>
      <c r="H42" s="1670">
        <f t="shared" si="3"/>
        <v>0</v>
      </c>
      <c r="I42" s="1670">
        <f t="shared" si="3"/>
        <v>0</v>
      </c>
      <c r="J42" s="1670">
        <f t="shared" si="3"/>
        <v>0</v>
      </c>
      <c r="K42" s="1670">
        <f t="shared" si="3"/>
        <v>123327</v>
      </c>
      <c r="L42" s="1670">
        <f t="shared" si="3"/>
        <v>119477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21683</v>
      </c>
      <c r="D44" s="481">
        <v>9916</v>
      </c>
      <c r="E44" s="481">
        <v>8446</v>
      </c>
      <c r="F44" s="481"/>
      <c r="G44" s="481"/>
      <c r="H44" s="481"/>
      <c r="I44" s="467"/>
      <c r="J44" s="467"/>
      <c r="K44" s="1672">
        <f>SUM(C44:J44)</f>
        <v>40045</v>
      </c>
      <c r="L44" s="481">
        <v>34882</v>
      </c>
    </row>
    <row r="45" spans="1:14" x14ac:dyDescent="0.2">
      <c r="A45" s="1504" t="s">
        <v>815</v>
      </c>
      <c r="B45" s="614">
        <v>2220</v>
      </c>
      <c r="C45" s="466">
        <v>26174</v>
      </c>
      <c r="D45" s="466">
        <v>12</v>
      </c>
      <c r="E45" s="466">
        <v>3684</v>
      </c>
      <c r="F45" s="466">
        <v>2943</v>
      </c>
      <c r="G45" s="466"/>
      <c r="H45" s="466"/>
      <c r="I45" s="467"/>
      <c r="J45" s="467"/>
      <c r="K45" s="1672">
        <f>SUM(C45:J45)</f>
        <v>32813</v>
      </c>
      <c r="L45" s="466">
        <v>41004</v>
      </c>
    </row>
    <row r="46" spans="1:14" x14ac:dyDescent="0.2">
      <c r="A46" s="1504" t="s">
        <v>816</v>
      </c>
      <c r="B46" s="614">
        <v>2230</v>
      </c>
      <c r="C46" s="466"/>
      <c r="D46" s="466"/>
      <c r="E46" s="466">
        <v>5817</v>
      </c>
      <c r="F46" s="466"/>
      <c r="G46" s="466"/>
      <c r="H46" s="466"/>
      <c r="I46" s="467"/>
      <c r="J46" s="467"/>
      <c r="K46" s="1672">
        <f>SUM(C46:J46)</f>
        <v>5817</v>
      </c>
      <c r="L46" s="466">
        <v>6600</v>
      </c>
    </row>
    <row r="47" spans="1:14" ht="12.75" customHeight="1" thickBot="1" x14ac:dyDescent="0.25">
      <c r="A47" s="1668" t="s">
        <v>561</v>
      </c>
      <c r="B47" s="1669" t="s">
        <v>32</v>
      </c>
      <c r="C47" s="1670">
        <f>SUM(C44:C46)</f>
        <v>47857</v>
      </c>
      <c r="D47" s="1670">
        <f t="shared" ref="D47:K47" si="4">SUM(D44:D46)</f>
        <v>9928</v>
      </c>
      <c r="E47" s="1670">
        <f t="shared" si="4"/>
        <v>17947</v>
      </c>
      <c r="F47" s="1670">
        <f t="shared" si="4"/>
        <v>2943</v>
      </c>
      <c r="G47" s="1670">
        <f t="shared" si="4"/>
        <v>0</v>
      </c>
      <c r="H47" s="1670">
        <f t="shared" si="4"/>
        <v>0</v>
      </c>
      <c r="I47" s="1670">
        <f t="shared" si="4"/>
        <v>0</v>
      </c>
      <c r="J47" s="1670">
        <f t="shared" si="4"/>
        <v>0</v>
      </c>
      <c r="K47" s="1670">
        <f t="shared" si="4"/>
        <v>78675</v>
      </c>
      <c r="L47" s="1670">
        <f>SUM(L44:L46)</f>
        <v>82486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33468</v>
      </c>
      <c r="F49" s="481">
        <v>7041</v>
      </c>
      <c r="G49" s="481"/>
      <c r="H49" s="481">
        <v>4334</v>
      </c>
      <c r="I49" s="467"/>
      <c r="J49" s="467"/>
      <c r="K49" s="1672">
        <f>SUM(C49:J49)</f>
        <v>44843</v>
      </c>
      <c r="L49" s="481">
        <v>44000</v>
      </c>
    </row>
    <row r="50" spans="1:14" x14ac:dyDescent="0.2">
      <c r="A50" s="1504" t="s">
        <v>818</v>
      </c>
      <c r="B50" s="614">
        <v>2320</v>
      </c>
      <c r="C50" s="466">
        <v>106855</v>
      </c>
      <c r="D50" s="466">
        <v>26253</v>
      </c>
      <c r="E50" s="466">
        <v>1108</v>
      </c>
      <c r="F50" s="466">
        <v>239</v>
      </c>
      <c r="G50" s="466"/>
      <c r="H50" s="466"/>
      <c r="I50" s="467"/>
      <c r="J50" s="467"/>
      <c r="K50" s="1672">
        <f>SUM(C50:J50)</f>
        <v>134455</v>
      </c>
      <c r="L50" s="466">
        <v>127336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106855</v>
      </c>
      <c r="D53" s="1670">
        <f t="shared" ref="D53:L53" si="5">SUM(D49:D52)</f>
        <v>26253</v>
      </c>
      <c r="E53" s="1670">
        <f t="shared" si="5"/>
        <v>34576</v>
      </c>
      <c r="F53" s="1670">
        <f t="shared" si="5"/>
        <v>7280</v>
      </c>
      <c r="G53" s="1670">
        <f t="shared" si="5"/>
        <v>0</v>
      </c>
      <c r="H53" s="1670">
        <f t="shared" si="5"/>
        <v>4334</v>
      </c>
      <c r="I53" s="1670">
        <f t="shared" si="5"/>
        <v>0</v>
      </c>
      <c r="J53" s="1670">
        <f t="shared" si="5"/>
        <v>0</v>
      </c>
      <c r="K53" s="1670">
        <f t="shared" si="5"/>
        <v>179298</v>
      </c>
      <c r="L53" s="1670">
        <f t="shared" si="5"/>
        <v>171336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299316</v>
      </c>
      <c r="D55" s="481">
        <v>55254</v>
      </c>
      <c r="E55" s="481">
        <v>1860</v>
      </c>
      <c r="F55" s="481"/>
      <c r="G55" s="481"/>
      <c r="H55" s="481"/>
      <c r="I55" s="467"/>
      <c r="J55" s="467"/>
      <c r="K55" s="1672">
        <f>SUM(C55:J55)</f>
        <v>356430</v>
      </c>
      <c r="L55" s="481">
        <v>339762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299316</v>
      </c>
      <c r="D57" s="1674">
        <f t="shared" ref="D57:K57" si="6">SUM(D55:D56)</f>
        <v>55254</v>
      </c>
      <c r="E57" s="1674">
        <f t="shared" si="6"/>
        <v>1860</v>
      </c>
      <c r="F57" s="1674">
        <f t="shared" si="6"/>
        <v>0</v>
      </c>
      <c r="G57" s="1674">
        <f t="shared" si="6"/>
        <v>0</v>
      </c>
      <c r="H57" s="1674">
        <f t="shared" si="6"/>
        <v>0</v>
      </c>
      <c r="I57" s="1674">
        <f t="shared" si="6"/>
        <v>0</v>
      </c>
      <c r="J57" s="1674">
        <f t="shared" si="6"/>
        <v>0</v>
      </c>
      <c r="K57" s="1674">
        <f t="shared" si="6"/>
        <v>356430</v>
      </c>
      <c r="L57" s="1670">
        <f>SUM(L55:L56)</f>
        <v>339762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48395</v>
      </c>
      <c r="D60" s="466">
        <v>18</v>
      </c>
      <c r="E60" s="466">
        <v>654</v>
      </c>
      <c r="F60" s="466">
        <v>3577</v>
      </c>
      <c r="G60" s="466"/>
      <c r="H60" s="466"/>
      <c r="I60" s="467"/>
      <c r="J60" s="467"/>
      <c r="K60" s="1672">
        <f t="shared" si="7"/>
        <v>52644</v>
      </c>
      <c r="L60" s="466">
        <v>46000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55487</v>
      </c>
      <c r="D63" s="466">
        <v>4538</v>
      </c>
      <c r="E63" s="466">
        <v>3448</v>
      </c>
      <c r="F63" s="466">
        <v>129256</v>
      </c>
      <c r="G63" s="466"/>
      <c r="H63" s="466"/>
      <c r="I63" s="467"/>
      <c r="J63" s="467"/>
      <c r="K63" s="1672">
        <f t="shared" si="7"/>
        <v>192729</v>
      </c>
      <c r="L63" s="466">
        <v>184993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103882</v>
      </c>
      <c r="D65" s="1670">
        <f t="shared" ref="D65:L65" si="8">SUM(D59:D64)</f>
        <v>4556</v>
      </c>
      <c r="E65" s="1670">
        <f t="shared" si="8"/>
        <v>4102</v>
      </c>
      <c r="F65" s="1670">
        <f t="shared" si="8"/>
        <v>132833</v>
      </c>
      <c r="G65" s="1670">
        <f t="shared" si="8"/>
        <v>0</v>
      </c>
      <c r="H65" s="1670">
        <f t="shared" si="8"/>
        <v>0</v>
      </c>
      <c r="I65" s="1670">
        <f t="shared" si="8"/>
        <v>0</v>
      </c>
      <c r="J65" s="1670">
        <f t="shared" si="8"/>
        <v>0</v>
      </c>
      <c r="K65" s="1670">
        <f t="shared" si="8"/>
        <v>245373</v>
      </c>
      <c r="L65" s="1670">
        <f t="shared" si="8"/>
        <v>230993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664747</v>
      </c>
      <c r="D74" s="1677">
        <f t="shared" ref="D74:K74" si="10">SUM(D42,D47,D53,D57,D65,D72,D73)</f>
        <v>111939</v>
      </c>
      <c r="E74" s="1677">
        <f t="shared" si="10"/>
        <v>58885</v>
      </c>
      <c r="F74" s="1677">
        <f t="shared" si="10"/>
        <v>143198</v>
      </c>
      <c r="G74" s="1677">
        <f t="shared" si="10"/>
        <v>0</v>
      </c>
      <c r="H74" s="1677">
        <f t="shared" si="10"/>
        <v>4334</v>
      </c>
      <c r="I74" s="1677">
        <f t="shared" si="10"/>
        <v>0</v>
      </c>
      <c r="J74" s="1677">
        <f t="shared" si="10"/>
        <v>0</v>
      </c>
      <c r="K74" s="1677">
        <f t="shared" si="10"/>
        <v>983103</v>
      </c>
      <c r="L74" s="1677">
        <f>SUM(L42,L47,L53,L57,L65,L72,L73)</f>
        <v>944054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171995</v>
      </c>
      <c r="I79" s="477"/>
      <c r="J79" s="477"/>
      <c r="K79" s="1671">
        <f t="shared" si="11"/>
        <v>171995</v>
      </c>
      <c r="L79" s="466">
        <v>114800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22084</v>
      </c>
      <c r="I81" s="477"/>
      <c r="J81" s="477"/>
      <c r="K81" s="1671">
        <f t="shared" si="11"/>
        <v>22084</v>
      </c>
      <c r="L81" s="466">
        <v>25000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2293</v>
      </c>
      <c r="F83" s="616"/>
      <c r="G83" s="616"/>
      <c r="H83" s="466"/>
      <c r="I83" s="477"/>
      <c r="J83" s="477"/>
      <c r="K83" s="1671">
        <f t="shared" si="11"/>
        <v>2293</v>
      </c>
      <c r="L83" s="466">
        <v>3300</v>
      </c>
    </row>
    <row r="84" spans="1:12" ht="13.5" thickBot="1" x14ac:dyDescent="0.25">
      <c r="A84" s="1668" t="s">
        <v>1485</v>
      </c>
      <c r="B84" s="1678">
        <v>4100</v>
      </c>
      <c r="C84" s="616"/>
      <c r="D84" s="616"/>
      <c r="E84" s="1670">
        <f>SUM(E78:E83)</f>
        <v>2293</v>
      </c>
      <c r="F84" s="616"/>
      <c r="G84" s="616"/>
      <c r="H84" s="1670">
        <f>SUM(H78:H83)</f>
        <v>194079</v>
      </c>
      <c r="I84" s="477"/>
      <c r="J84" s="477"/>
      <c r="K84" s="1670">
        <f>SUM(K78:K83)</f>
        <v>196372</v>
      </c>
      <c r="L84" s="1670">
        <f>SUM(L78:L83)</f>
        <v>143100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2293</v>
      </c>
      <c r="F102" s="616"/>
      <c r="G102" s="616"/>
      <c r="H102" s="1677">
        <f>SUM(H84,H92,H100,H101)</f>
        <v>194079</v>
      </c>
      <c r="I102" s="477"/>
      <c r="J102" s="477"/>
      <c r="K102" s="1677">
        <f>SUM(K84,K92,K100,K101)</f>
        <v>196372</v>
      </c>
      <c r="L102" s="1677">
        <f>SUM(L84,L92,L100,L101)</f>
        <v>143100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3320336</v>
      </c>
      <c r="D114" s="1670">
        <f t="shared" ref="D114:K114" si="13">SUM(D33,D74,D75,D102,D112,D113)</f>
        <v>595781</v>
      </c>
      <c r="E114" s="1670">
        <f t="shared" si="13"/>
        <v>133898</v>
      </c>
      <c r="F114" s="1670">
        <f t="shared" si="13"/>
        <v>257481</v>
      </c>
      <c r="G114" s="1670">
        <f t="shared" si="13"/>
        <v>63393</v>
      </c>
      <c r="H114" s="1670">
        <f>SUM(H33,H74,H75,H102,H112,H113)</f>
        <v>230677</v>
      </c>
      <c r="I114" s="1670">
        <f t="shared" si="13"/>
        <v>0</v>
      </c>
      <c r="J114" s="1670">
        <f t="shared" si="13"/>
        <v>0</v>
      </c>
      <c r="K114" s="1670">
        <f t="shared" si="13"/>
        <v>4601566</v>
      </c>
      <c r="L114" s="1670">
        <f>SUM(L33,L74,L75,L102,L112,L113)</f>
        <v>4612815</v>
      </c>
    </row>
    <row r="115" spans="1:14" ht="13.5" thickTop="1" x14ac:dyDescent="0.2">
      <c r="A115" s="2156" t="s">
        <v>996</v>
      </c>
      <c r="B115" s="2157"/>
      <c r="C115" s="618"/>
      <c r="D115" s="618"/>
      <c r="E115" s="618"/>
      <c r="F115" s="618"/>
      <c r="G115" s="618"/>
      <c r="H115" s="618"/>
      <c r="I115" s="618"/>
      <c r="J115" s="618"/>
      <c r="K115" s="1684">
        <f>'Revenues 9-14'!C268-'Expenditures 15-22'!K114</f>
        <v>-128175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152799</v>
      </c>
      <c r="D124" s="466">
        <f>2400+16313</f>
        <v>18713</v>
      </c>
      <c r="E124" s="466">
        <v>102773</v>
      </c>
      <c r="F124" s="466">
        <v>199051</v>
      </c>
      <c r="G124" s="466">
        <v>7920</v>
      </c>
      <c r="H124" s="466"/>
      <c r="I124" s="467"/>
      <c r="J124" s="467"/>
      <c r="K124" s="1670">
        <f>SUM(C124:J124)</f>
        <v>481256</v>
      </c>
      <c r="L124" s="466">
        <v>507624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152799</v>
      </c>
      <c r="D127" s="1670">
        <f t="shared" ref="D127:L127" si="14">SUM(D122:D126)</f>
        <v>18713</v>
      </c>
      <c r="E127" s="1670">
        <f t="shared" si="14"/>
        <v>102773</v>
      </c>
      <c r="F127" s="1670">
        <f t="shared" si="14"/>
        <v>199051</v>
      </c>
      <c r="G127" s="1670">
        <f t="shared" si="14"/>
        <v>7920</v>
      </c>
      <c r="H127" s="1670">
        <f t="shared" si="14"/>
        <v>0</v>
      </c>
      <c r="I127" s="1670">
        <f t="shared" si="14"/>
        <v>0</v>
      </c>
      <c r="J127" s="1670">
        <f t="shared" si="14"/>
        <v>0</v>
      </c>
      <c r="K127" s="1670">
        <f t="shared" si="14"/>
        <v>481256</v>
      </c>
      <c r="L127" s="1670">
        <f t="shared" si="14"/>
        <v>507624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152799</v>
      </c>
      <c r="D129" s="1677">
        <f t="shared" ref="D129:L129" si="15">SUM(D120,D127,D128)</f>
        <v>18713</v>
      </c>
      <c r="E129" s="1677">
        <f t="shared" si="15"/>
        <v>102773</v>
      </c>
      <c r="F129" s="1677">
        <f t="shared" si="15"/>
        <v>199051</v>
      </c>
      <c r="G129" s="1677">
        <f t="shared" si="15"/>
        <v>7920</v>
      </c>
      <c r="H129" s="1677">
        <f t="shared" si="15"/>
        <v>0</v>
      </c>
      <c r="I129" s="1677">
        <f t="shared" si="15"/>
        <v>0</v>
      </c>
      <c r="J129" s="1677">
        <f t="shared" si="15"/>
        <v>0</v>
      </c>
      <c r="K129" s="1677">
        <f t="shared" si="15"/>
        <v>481256</v>
      </c>
      <c r="L129" s="1677">
        <f t="shared" si="15"/>
        <v>507624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v>5424</v>
      </c>
      <c r="I136" s="477"/>
      <c r="J136" s="616"/>
      <c r="K136" s="1672">
        <f>SUM(E136,H136)</f>
        <v>5424</v>
      </c>
      <c r="L136" s="466">
        <v>7400</v>
      </c>
    </row>
    <row r="137" spans="1:14" ht="12.75" customHeight="1" thickBot="1" x14ac:dyDescent="0.25">
      <c r="A137" s="1668" t="s">
        <v>480</v>
      </c>
      <c r="B137" s="1678">
        <v>4100</v>
      </c>
      <c r="C137" s="616"/>
      <c r="D137" s="616"/>
      <c r="E137" s="1670">
        <f>SUM(E133:E136)</f>
        <v>0</v>
      </c>
      <c r="F137" s="616"/>
      <c r="G137" s="616"/>
      <c r="H137" s="1670">
        <f>SUM(H133:H136)</f>
        <v>5424</v>
      </c>
      <c r="I137" s="477"/>
      <c r="J137" s="616"/>
      <c r="K137" s="1670">
        <f>SUM(K133:K136)</f>
        <v>5424</v>
      </c>
      <c r="L137" s="1670">
        <f>SUM(L133:L136)</f>
        <v>7400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5424</v>
      </c>
      <c r="I139" s="477"/>
      <c r="J139" s="616"/>
      <c r="K139" s="1672">
        <f>SUM(K137,K138)</f>
        <v>5424</v>
      </c>
      <c r="L139" s="1679">
        <f>SUM(L137,L138)</f>
        <v>7400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152799</v>
      </c>
      <c r="D151" s="1670">
        <f t="shared" ref="D151:K151" si="16">SUM(D129,D130,D139,D149,D150)</f>
        <v>18713</v>
      </c>
      <c r="E151" s="1670">
        <f t="shared" si="16"/>
        <v>102773</v>
      </c>
      <c r="F151" s="1670">
        <f t="shared" si="16"/>
        <v>199051</v>
      </c>
      <c r="G151" s="1670">
        <f t="shared" si="16"/>
        <v>7920</v>
      </c>
      <c r="H151" s="1670">
        <f t="shared" si="16"/>
        <v>5424</v>
      </c>
      <c r="I151" s="1670">
        <f t="shared" si="16"/>
        <v>0</v>
      </c>
      <c r="J151" s="1670">
        <f t="shared" si="16"/>
        <v>0</v>
      </c>
      <c r="K151" s="1670">
        <f t="shared" si="16"/>
        <v>486680</v>
      </c>
      <c r="L151" s="1670">
        <f>SUM(L129,L130,L139,L149,L150)</f>
        <v>515024</v>
      </c>
    </row>
    <row r="152" spans="1:14" ht="12.75" customHeight="1" thickTop="1" x14ac:dyDescent="0.2">
      <c r="A152" s="2176" t="s">
        <v>1178</v>
      </c>
      <c r="B152" s="2177"/>
      <c r="C152" s="618"/>
      <c r="D152" s="618"/>
      <c r="E152" s="618"/>
      <c r="F152" s="618"/>
      <c r="G152" s="618"/>
      <c r="H152" s="618"/>
      <c r="I152" s="618"/>
      <c r="J152" s="616"/>
      <c r="K152" s="1684">
        <f>'Revenues 9-14'!D268-'Expenditures 15-22'!K151</f>
        <v>-83498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90784</v>
      </c>
      <c r="I169" s="616"/>
      <c r="J169" s="616"/>
      <c r="K169" s="1671">
        <f>SUM(C169:H169)</f>
        <v>90784</v>
      </c>
      <c r="L169" s="656"/>
    </row>
    <row r="170" spans="1:14" ht="33.75" customHeight="1" x14ac:dyDescent="0.2">
      <c r="A170" s="669" t="s">
        <v>1670</v>
      </c>
      <c r="B170" s="671" t="s">
        <v>31</v>
      </c>
      <c r="C170" s="616"/>
      <c r="D170" s="616"/>
      <c r="E170" s="616"/>
      <c r="F170" s="616"/>
      <c r="G170" s="616"/>
      <c r="H170" s="569">
        <v>613000</v>
      </c>
      <c r="I170" s="616"/>
      <c r="J170" s="616"/>
      <c r="K170" s="1671">
        <f>SUM(C170:J170)</f>
        <v>613000</v>
      </c>
      <c r="L170" s="569">
        <v>702000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703784</v>
      </c>
      <c r="I172" s="638"/>
      <c r="J172" s="616"/>
      <c r="K172" s="1677">
        <f>SUM(K168,K169,K170,K171)</f>
        <v>703784</v>
      </c>
      <c r="L172" s="1677">
        <f>SUM(L168,L169,L170,L171)</f>
        <v>702000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703784</v>
      </c>
      <c r="I174" s="638"/>
      <c r="J174" s="616"/>
      <c r="K174" s="1677">
        <f>SUM(K160,K172,K173)</f>
        <v>703784</v>
      </c>
      <c r="L174" s="1677">
        <f>SUM(L160,L172,L173)</f>
        <v>702000</v>
      </c>
    </row>
    <row r="175" spans="1:14" ht="13.5" thickTop="1" x14ac:dyDescent="0.2">
      <c r="A175" s="2156" t="s">
        <v>996</v>
      </c>
      <c r="B175" s="2157"/>
      <c r="C175" s="616"/>
      <c r="D175" s="616"/>
      <c r="E175" s="616"/>
      <c r="F175" s="616"/>
      <c r="G175" s="616"/>
      <c r="H175" s="618"/>
      <c r="I175" s="616"/>
      <c r="J175" s="616"/>
      <c r="K175" s="1684">
        <f>'Revenues 9-14'!E268-'Expenditures 15-22'!K174</f>
        <v>-60605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169099</v>
      </c>
      <c r="D182" s="466">
        <v>21978</v>
      </c>
      <c r="E182" s="466">
        <v>4990</v>
      </c>
      <c r="F182" s="466">
        <v>50896</v>
      </c>
      <c r="G182" s="466">
        <v>51069</v>
      </c>
      <c r="H182" s="466"/>
      <c r="I182" s="467"/>
      <c r="J182" s="467"/>
      <c r="K182" s="1671">
        <f>SUM(C182:J182)</f>
        <v>298032</v>
      </c>
      <c r="L182" s="466">
        <v>373300</v>
      </c>
    </row>
    <row r="183" spans="1:14" ht="12.75" customHeight="1" thickBot="1" x14ac:dyDescent="0.25">
      <c r="A183" s="1509" t="s">
        <v>980</v>
      </c>
      <c r="B183" s="677">
        <v>2900</v>
      </c>
      <c r="C183" s="573"/>
      <c r="D183" s="573"/>
      <c r="E183" s="573"/>
      <c r="F183" s="573"/>
      <c r="G183" s="573"/>
      <c r="H183" s="573">
        <v>3721</v>
      </c>
      <c r="I183" s="532"/>
      <c r="J183" s="532"/>
      <c r="K183" s="1677">
        <f>SUM(C183:J183)</f>
        <v>3721</v>
      </c>
      <c r="L183" s="573"/>
    </row>
    <row r="184" spans="1:14" ht="12.75" customHeight="1" thickTop="1" thickBot="1" x14ac:dyDescent="0.25">
      <c r="A184" s="1691" t="s">
        <v>811</v>
      </c>
      <c r="B184" s="1669" t="s">
        <v>569</v>
      </c>
      <c r="C184" s="1677">
        <f>SUM(C180,C182,C183)</f>
        <v>169099</v>
      </c>
      <c r="D184" s="1677">
        <f t="shared" ref="D184:J184" si="17">SUM(D180,D182,D183)</f>
        <v>21978</v>
      </c>
      <c r="E184" s="1677">
        <f t="shared" si="17"/>
        <v>4990</v>
      </c>
      <c r="F184" s="1677">
        <f t="shared" si="17"/>
        <v>50896</v>
      </c>
      <c r="G184" s="1677">
        <f t="shared" si="17"/>
        <v>51069</v>
      </c>
      <c r="H184" s="1677">
        <f t="shared" si="17"/>
        <v>3721</v>
      </c>
      <c r="I184" s="1677">
        <f t="shared" si="17"/>
        <v>0</v>
      </c>
      <c r="J184" s="1677">
        <f t="shared" si="17"/>
        <v>0</v>
      </c>
      <c r="K184" s="1677">
        <f>SUM(K180,K182,K183)</f>
        <v>301753</v>
      </c>
      <c r="L184" s="1677">
        <f>SUM(L180, L182:L183)</f>
        <v>373300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169099</v>
      </c>
      <c r="D210" s="1670">
        <f>SUM(D184,D185)</f>
        <v>21978</v>
      </c>
      <c r="E210" s="1670">
        <f>SUM(E184,E185,E196)</f>
        <v>4990</v>
      </c>
      <c r="F210" s="1670">
        <f>SUM(F184,F185)</f>
        <v>50896</v>
      </c>
      <c r="G210" s="1670">
        <f>SUM(G184,G185)</f>
        <v>51069</v>
      </c>
      <c r="H210" s="1670">
        <f>SUM(H184,H185,H196,H208,H209)</f>
        <v>3721</v>
      </c>
      <c r="I210" s="1670">
        <f>SUM(I184,I185)</f>
        <v>0</v>
      </c>
      <c r="J210" s="1670">
        <f>SUM(J184,J185)</f>
        <v>0</v>
      </c>
      <c r="K210" s="1671">
        <f>SUM(K184,K185,K196,K208,K209)</f>
        <v>301753</v>
      </c>
      <c r="L210" s="1670">
        <f>SUM(L184,L185,L196,L208,L209)</f>
        <v>373300</v>
      </c>
    </row>
    <row r="211" spans="1:14" ht="13.5" thickTop="1" x14ac:dyDescent="0.2">
      <c r="A211" s="2156" t="s">
        <v>996</v>
      </c>
      <c r="B211" s="2157"/>
      <c r="C211" s="618"/>
      <c r="D211" s="618"/>
      <c r="E211" s="618"/>
      <c r="F211" s="618"/>
      <c r="G211" s="618"/>
      <c r="H211" s="618"/>
      <c r="I211" s="616"/>
      <c r="J211" s="616"/>
      <c r="K211" s="1684">
        <f>'Revenues 9-14'!F268-'Expenditures 15-22'!K210</f>
        <v>15438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33643</v>
      </c>
      <c r="E215" s="616"/>
      <c r="F215" s="616"/>
      <c r="G215" s="616"/>
      <c r="H215" s="616"/>
      <c r="I215" s="616"/>
      <c r="J215" s="616"/>
      <c r="K215" s="1671">
        <f>D215</f>
        <v>33643</v>
      </c>
      <c r="L215" s="466">
        <v>33923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17894</v>
      </c>
      <c r="E217" s="616"/>
      <c r="F217" s="616"/>
      <c r="G217" s="616"/>
      <c r="H217" s="616"/>
      <c r="I217" s="616"/>
      <c r="J217" s="616"/>
      <c r="K217" s="1671">
        <f t="shared" si="19"/>
        <v>17894</v>
      </c>
      <c r="L217" s="466">
        <v>19881</v>
      </c>
    </row>
    <row r="218" spans="1:14" x14ac:dyDescent="0.2">
      <c r="A218" s="1504" t="s">
        <v>278</v>
      </c>
      <c r="B218" s="614" t="s">
        <v>968</v>
      </c>
      <c r="C218" s="616"/>
      <c r="D218" s="467">
        <v>3775</v>
      </c>
      <c r="E218" s="616"/>
      <c r="F218" s="616"/>
      <c r="G218" s="616"/>
      <c r="H218" s="616"/>
      <c r="I218" s="616"/>
      <c r="J218" s="616"/>
      <c r="K218" s="1671">
        <f t="shared" si="19"/>
        <v>3775</v>
      </c>
      <c r="L218" s="466">
        <v>800</v>
      </c>
    </row>
    <row r="219" spans="1:14" x14ac:dyDescent="0.2">
      <c r="A219" s="1504" t="s">
        <v>279</v>
      </c>
      <c r="B219" s="614">
        <v>1250</v>
      </c>
      <c r="C219" s="616"/>
      <c r="D219" s="466">
        <v>9022</v>
      </c>
      <c r="E219" s="616"/>
      <c r="F219" s="616"/>
      <c r="G219" s="616"/>
      <c r="H219" s="616"/>
      <c r="I219" s="616"/>
      <c r="J219" s="616"/>
      <c r="K219" s="1671">
        <f t="shared" si="19"/>
        <v>9022</v>
      </c>
      <c r="L219" s="466">
        <v>11095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2021</v>
      </c>
      <c r="E222" s="616"/>
      <c r="F222" s="616"/>
      <c r="G222" s="616"/>
      <c r="H222" s="616"/>
      <c r="I222" s="616"/>
      <c r="J222" s="616"/>
      <c r="K222" s="1671">
        <f t="shared" si="19"/>
        <v>2021</v>
      </c>
      <c r="L222" s="466">
        <v>1900</v>
      </c>
    </row>
    <row r="223" spans="1:14" x14ac:dyDescent="0.2">
      <c r="A223" s="1504" t="s">
        <v>963</v>
      </c>
      <c r="B223" s="614">
        <v>1500</v>
      </c>
      <c r="C223" s="616"/>
      <c r="D223" s="466">
        <v>4995</v>
      </c>
      <c r="E223" s="616"/>
      <c r="F223" s="616"/>
      <c r="G223" s="616"/>
      <c r="H223" s="616"/>
      <c r="I223" s="616"/>
      <c r="J223" s="616"/>
      <c r="K223" s="1671">
        <f t="shared" si="19"/>
        <v>4995</v>
      </c>
      <c r="L223" s="466">
        <v>4800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71350</v>
      </c>
      <c r="E229" s="616"/>
      <c r="F229" s="616"/>
      <c r="G229" s="616"/>
      <c r="H229" s="616"/>
      <c r="I229" s="616"/>
      <c r="J229" s="616"/>
      <c r="K229" s="1670">
        <f>SUM(K215:K228)</f>
        <v>71350</v>
      </c>
      <c r="L229" s="1670">
        <f>SUM(L215:L228)</f>
        <v>72399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3637</v>
      </c>
      <c r="E232" s="616"/>
      <c r="F232" s="616"/>
      <c r="G232" s="616"/>
      <c r="H232" s="616"/>
      <c r="I232" s="616"/>
      <c r="J232" s="616"/>
      <c r="K232" s="1671">
        <f t="shared" ref="K232:K237" si="20">D232</f>
        <v>3637</v>
      </c>
      <c r="L232" s="466">
        <v>1980</v>
      </c>
    </row>
    <row r="233" spans="1:12" x14ac:dyDescent="0.2">
      <c r="A233" s="1504" t="s">
        <v>1090</v>
      </c>
      <c r="B233" s="614">
        <v>2120</v>
      </c>
      <c r="C233" s="616"/>
      <c r="D233" s="466">
        <v>885</v>
      </c>
      <c r="E233" s="616"/>
      <c r="F233" s="616"/>
      <c r="G233" s="616"/>
      <c r="H233" s="616"/>
      <c r="I233" s="616"/>
      <c r="J233" s="616"/>
      <c r="K233" s="1671">
        <f t="shared" si="20"/>
        <v>885</v>
      </c>
      <c r="L233" s="466">
        <v>750</v>
      </c>
    </row>
    <row r="234" spans="1:12" x14ac:dyDescent="0.2">
      <c r="A234" s="1504" t="s">
        <v>198</v>
      </c>
      <c r="B234" s="614">
        <v>2130</v>
      </c>
      <c r="C234" s="616"/>
      <c r="D234" s="466">
        <v>2492</v>
      </c>
      <c r="E234" s="616"/>
      <c r="F234" s="616"/>
      <c r="G234" s="616"/>
      <c r="H234" s="616"/>
      <c r="I234" s="616"/>
      <c r="J234" s="616"/>
      <c r="K234" s="1671">
        <f t="shared" si="20"/>
        <v>2492</v>
      </c>
      <c r="L234" s="466">
        <v>5243</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14</v>
      </c>
      <c r="E237" s="616"/>
      <c r="F237" s="616"/>
      <c r="G237" s="616"/>
      <c r="H237" s="616"/>
      <c r="I237" s="616"/>
      <c r="J237" s="616"/>
      <c r="K237" s="1671">
        <f t="shared" si="20"/>
        <v>14</v>
      </c>
      <c r="L237" s="466">
        <v>500</v>
      </c>
    </row>
    <row r="238" spans="1:12" ht="12.75" customHeight="1" thickBot="1" x14ac:dyDescent="0.25">
      <c r="A238" s="1668" t="s">
        <v>560</v>
      </c>
      <c r="B238" s="1675" t="s">
        <v>716</v>
      </c>
      <c r="C238" s="616"/>
      <c r="D238" s="1670">
        <f>SUM(D232:D237)</f>
        <v>7028</v>
      </c>
      <c r="E238" s="616"/>
      <c r="F238" s="616"/>
      <c r="G238" s="616"/>
      <c r="H238" s="616"/>
      <c r="I238" s="616"/>
      <c r="J238" s="616"/>
      <c r="K238" s="1670">
        <f>SUM(K232:K237)</f>
        <v>7028</v>
      </c>
      <c r="L238" s="1670">
        <f>SUM(L232:L237)</f>
        <v>8473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16</v>
      </c>
      <c r="E240" s="616"/>
      <c r="F240" s="616"/>
      <c r="G240" s="616"/>
      <c r="H240" s="616"/>
      <c r="I240" s="616"/>
      <c r="J240" s="616"/>
      <c r="K240" s="1672">
        <f>D240</f>
        <v>16</v>
      </c>
      <c r="L240" s="481"/>
    </row>
    <row r="241" spans="1:12" x14ac:dyDescent="0.2">
      <c r="A241" s="1504" t="s">
        <v>815</v>
      </c>
      <c r="B241" s="614">
        <v>2220</v>
      </c>
      <c r="C241" s="616"/>
      <c r="D241" s="466">
        <v>3146</v>
      </c>
      <c r="E241" s="616"/>
      <c r="F241" s="616"/>
      <c r="G241" s="616"/>
      <c r="H241" s="616"/>
      <c r="I241" s="616"/>
      <c r="J241" s="616"/>
      <c r="K241" s="1672">
        <f>D241</f>
        <v>3146</v>
      </c>
      <c r="L241" s="466">
        <v>9086</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3162</v>
      </c>
      <c r="E243" s="616"/>
      <c r="F243" s="616"/>
      <c r="G243" s="616"/>
      <c r="H243" s="616"/>
      <c r="I243" s="616"/>
      <c r="J243" s="616"/>
      <c r="K243" s="1670">
        <f>SUM(K240:K242)</f>
        <v>3162</v>
      </c>
      <c r="L243" s="1670">
        <f>SUM(L240:L242)</f>
        <v>9086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1484</v>
      </c>
      <c r="E246" s="616"/>
      <c r="F246" s="616"/>
      <c r="G246" s="616"/>
      <c r="H246" s="616"/>
      <c r="I246" s="616"/>
      <c r="J246" s="616"/>
      <c r="K246" s="1672">
        <f t="shared" ref="K246:K256" si="21">D246</f>
        <v>1484</v>
      </c>
      <c r="L246" s="466">
        <v>1600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495</v>
      </c>
      <c r="E252" s="616"/>
      <c r="F252" s="616"/>
      <c r="G252" s="616"/>
      <c r="H252" s="616"/>
      <c r="I252" s="616"/>
      <c r="J252" s="616"/>
      <c r="K252" s="1672">
        <f t="shared" si="21"/>
        <v>495</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17070</v>
      </c>
      <c r="E254" s="616"/>
      <c r="F254" s="616"/>
      <c r="G254" s="616"/>
      <c r="H254" s="616"/>
      <c r="I254" s="616"/>
      <c r="J254" s="616"/>
      <c r="K254" s="1672">
        <f t="shared" si="21"/>
        <v>17070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19049</v>
      </c>
      <c r="E257" s="616"/>
      <c r="F257" s="616"/>
      <c r="G257" s="616"/>
      <c r="H257" s="616"/>
      <c r="I257" s="616"/>
      <c r="J257" s="616"/>
      <c r="K257" s="1670">
        <f>SUM(K245:K256)</f>
        <v>19049</v>
      </c>
      <c r="L257" s="1670">
        <f>SUM(L245:L256)</f>
        <v>1600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19364</v>
      </c>
      <c r="E259" s="616"/>
      <c r="F259" s="616"/>
      <c r="G259" s="616"/>
      <c r="H259" s="616"/>
      <c r="I259" s="616"/>
      <c r="J259" s="616"/>
      <c r="K259" s="1672">
        <f>D259</f>
        <v>19364</v>
      </c>
      <c r="L259" s="481">
        <v>22252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19364</v>
      </c>
      <c r="E261" s="616"/>
      <c r="F261" s="616"/>
      <c r="G261" s="616"/>
      <c r="H261" s="616"/>
      <c r="I261" s="616"/>
      <c r="J261" s="616"/>
      <c r="K261" s="1670">
        <f>SUM(K259:K260)</f>
        <v>19364</v>
      </c>
      <c r="L261" s="1670">
        <f>SUM(L259:L260)</f>
        <v>22252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6197</v>
      </c>
      <c r="E264" s="616"/>
      <c r="F264" s="616"/>
      <c r="G264" s="616"/>
      <c r="H264" s="616"/>
      <c r="I264" s="616"/>
      <c r="J264" s="616"/>
      <c r="K264" s="1672">
        <f t="shared" ref="K264:K269" si="22">D264</f>
        <v>6197</v>
      </c>
      <c r="L264" s="466">
        <v>10590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18838</v>
      </c>
      <c r="E266" s="616"/>
      <c r="F266" s="616"/>
      <c r="G266" s="616"/>
      <c r="H266" s="616"/>
      <c r="I266" s="616"/>
      <c r="J266" s="616"/>
      <c r="K266" s="1672">
        <f t="shared" si="22"/>
        <v>18838</v>
      </c>
      <c r="L266" s="466">
        <v>34293</v>
      </c>
    </row>
    <row r="267" spans="1:14" x14ac:dyDescent="0.2">
      <c r="A267" s="1504" t="s">
        <v>953</v>
      </c>
      <c r="B267" s="614">
        <v>2550</v>
      </c>
      <c r="C267" s="616"/>
      <c r="D267" s="466">
        <v>16026</v>
      </c>
      <c r="E267" s="616"/>
      <c r="F267" s="616"/>
      <c r="G267" s="616"/>
      <c r="H267" s="616"/>
      <c r="I267" s="616"/>
      <c r="J267" s="616"/>
      <c r="K267" s="1672">
        <f t="shared" si="22"/>
        <v>16026</v>
      </c>
      <c r="L267" s="466">
        <v>20580</v>
      </c>
    </row>
    <row r="268" spans="1:14" x14ac:dyDescent="0.2">
      <c r="A268" s="1504" t="s">
        <v>100</v>
      </c>
      <c r="B268" s="614">
        <v>2560</v>
      </c>
      <c r="C268" s="616"/>
      <c r="D268" s="466">
        <v>7465</v>
      </c>
      <c r="E268" s="616"/>
      <c r="F268" s="616"/>
      <c r="G268" s="616"/>
      <c r="H268" s="616"/>
      <c r="I268" s="616"/>
      <c r="J268" s="616"/>
      <c r="K268" s="1672">
        <f t="shared" si="22"/>
        <v>7465</v>
      </c>
      <c r="L268" s="466">
        <v>10873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48526</v>
      </c>
      <c r="E270" s="616"/>
      <c r="F270" s="616"/>
      <c r="G270" s="616"/>
      <c r="H270" s="616"/>
      <c r="I270" s="616"/>
      <c r="J270" s="616"/>
      <c r="K270" s="1670">
        <f>SUM(K263:K269)</f>
        <v>48526</v>
      </c>
      <c r="L270" s="1670">
        <f>SUM(L263:L269)</f>
        <v>76336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97129</v>
      </c>
      <c r="E279" s="616"/>
      <c r="F279" s="616"/>
      <c r="G279" s="616"/>
      <c r="H279" s="616"/>
      <c r="I279" s="616"/>
      <c r="J279" s="616"/>
      <c r="K279" s="1677">
        <f>SUM(K238,K243,K257,K261,K270,K277,K278)</f>
        <v>97129</v>
      </c>
      <c r="L279" s="1677">
        <f>SUM(L238,L243,L257,L261,L270,L277,L278)</f>
        <v>117747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168479</v>
      </c>
      <c r="E295" s="616"/>
      <c r="F295" s="616"/>
      <c r="G295" s="616"/>
      <c r="H295" s="1670">
        <f>H293</f>
        <v>0</v>
      </c>
      <c r="I295" s="616"/>
      <c r="J295" s="616"/>
      <c r="K295" s="1670">
        <f>SUM(K229,K279,K280,K285,K293,K294)</f>
        <v>168479</v>
      </c>
      <c r="L295" s="1670">
        <f>SUM(L229,L279,L280,L285,L293,L294)</f>
        <v>190146</v>
      </c>
    </row>
    <row r="296" spans="1:14" ht="13.5" thickTop="1" x14ac:dyDescent="0.2">
      <c r="A296" s="2156" t="s">
        <v>996</v>
      </c>
      <c r="B296" s="2157"/>
      <c r="C296" s="616"/>
      <c r="D296" s="618"/>
      <c r="E296" s="616"/>
      <c r="F296" s="616"/>
      <c r="G296" s="616"/>
      <c r="H296" s="687"/>
      <c r="I296" s="616"/>
      <c r="J296" s="616"/>
      <c r="K296" s="1684">
        <f>'Revenues 9-14'!G268-'Expenditures 15-22'!K295</f>
        <v>13459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27589</v>
      </c>
      <c r="F320" s="467"/>
      <c r="G320" s="467"/>
      <c r="H320" s="467"/>
      <c r="I320" s="467"/>
      <c r="J320" s="467"/>
      <c r="K320" s="1671">
        <f t="shared" ref="K320:K327" si="24">SUM(C320:J320)</f>
        <v>27589</v>
      </c>
      <c r="L320" s="467">
        <v>27000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2000</v>
      </c>
      <c r="M321" s="665"/>
      <c r="N321" s="665"/>
    </row>
    <row r="322" spans="1:14" s="674" customFormat="1" x14ac:dyDescent="0.2">
      <c r="A322" s="1519" t="s">
        <v>238</v>
      </c>
      <c r="B322" s="697" t="s">
        <v>284</v>
      </c>
      <c r="C322" s="467"/>
      <c r="D322" s="467"/>
      <c r="E322" s="467">
        <v>56634</v>
      </c>
      <c r="F322" s="467"/>
      <c r="G322" s="467"/>
      <c r="H322" s="467"/>
      <c r="I322" s="467"/>
      <c r="J322" s="467"/>
      <c r="K322" s="1671">
        <f t="shared" si="24"/>
        <v>56634</v>
      </c>
      <c r="L322" s="467">
        <v>59303</v>
      </c>
      <c r="M322" s="665"/>
      <c r="N322" s="665"/>
    </row>
    <row r="323" spans="1:14" s="674" customFormat="1" x14ac:dyDescent="0.2">
      <c r="A323" s="1519" t="s">
        <v>702</v>
      </c>
      <c r="B323" s="697" t="s">
        <v>285</v>
      </c>
      <c r="C323" s="467">
        <v>35618</v>
      </c>
      <c r="D323" s="467">
        <v>7986</v>
      </c>
      <c r="E323" s="467"/>
      <c r="F323" s="467"/>
      <c r="G323" s="467"/>
      <c r="H323" s="467"/>
      <c r="I323" s="467"/>
      <c r="J323" s="467"/>
      <c r="K323" s="1671">
        <f t="shared" si="24"/>
        <v>43604</v>
      </c>
      <c r="L323" s="467">
        <v>41551</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264360</v>
      </c>
      <c r="D325" s="467">
        <v>47854</v>
      </c>
      <c r="E325" s="467">
        <v>22238</v>
      </c>
      <c r="F325" s="467">
        <v>2868</v>
      </c>
      <c r="G325" s="467">
        <v>4132</v>
      </c>
      <c r="H325" s="467">
        <v>35000</v>
      </c>
      <c r="I325" s="467"/>
      <c r="J325" s="467"/>
      <c r="K325" s="1671">
        <f t="shared" si="24"/>
        <v>376452</v>
      </c>
      <c r="L325" s="467">
        <v>359066</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7000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299978</v>
      </c>
      <c r="D330" s="1670">
        <f t="shared" ref="D330:J330" si="25">SUM(D319:D329)</f>
        <v>55840</v>
      </c>
      <c r="E330" s="1670">
        <f t="shared" si="25"/>
        <v>106461</v>
      </c>
      <c r="F330" s="1670">
        <f t="shared" si="25"/>
        <v>2868</v>
      </c>
      <c r="G330" s="1670">
        <f t="shared" si="25"/>
        <v>4132</v>
      </c>
      <c r="H330" s="1670">
        <f t="shared" si="25"/>
        <v>35000</v>
      </c>
      <c r="I330" s="1670">
        <f t="shared" si="25"/>
        <v>0</v>
      </c>
      <c r="J330" s="1670">
        <f t="shared" si="25"/>
        <v>0</v>
      </c>
      <c r="K330" s="1670">
        <f>SUM(K319:K329)</f>
        <v>504279</v>
      </c>
      <c r="L330" s="1670">
        <f>SUM(L319:L329)</f>
        <v>495920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299978</v>
      </c>
      <c r="D342" s="1670">
        <f>SUM(D330)</f>
        <v>55840</v>
      </c>
      <c r="E342" s="1670">
        <f>SUM(E330)</f>
        <v>106461</v>
      </c>
      <c r="F342" s="1670">
        <f>SUM(F330)</f>
        <v>2868</v>
      </c>
      <c r="G342" s="1670">
        <f>SUM(G330)</f>
        <v>4132</v>
      </c>
      <c r="H342" s="1670">
        <f>SUM(H330,H334,H340)</f>
        <v>35000</v>
      </c>
      <c r="I342" s="1670">
        <f>SUM(I330)</f>
        <v>0</v>
      </c>
      <c r="J342" s="1670">
        <f>SUM(J330)</f>
        <v>0</v>
      </c>
      <c r="K342" s="1670">
        <f>SUM(K330,K334,K340)</f>
        <v>504279</v>
      </c>
      <c r="L342" s="1677">
        <f>SUM(L330,L340,L341)</f>
        <v>495920</v>
      </c>
    </row>
    <row r="343" spans="1:14" ht="12.75" customHeight="1" thickTop="1" x14ac:dyDescent="0.2">
      <c r="A343" s="2169" t="s">
        <v>996</v>
      </c>
      <c r="B343" s="2170"/>
      <c r="C343" s="616"/>
      <c r="D343" s="616"/>
      <c r="E343" s="616"/>
      <c r="F343" s="616"/>
      <c r="G343" s="616"/>
      <c r="H343" s="616"/>
      <c r="I343" s="616"/>
      <c r="J343" s="616"/>
      <c r="K343" s="1684">
        <f>'Revenues 9-14'!J268-'Expenditures 15-22'!K342</f>
        <v>-48629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2025147</v>
      </c>
      <c r="H348" s="466"/>
      <c r="I348" s="467"/>
      <c r="J348" s="467"/>
      <c r="K348" s="1671">
        <f>SUM(C348:J348)</f>
        <v>2025147</v>
      </c>
      <c r="L348" s="466">
        <v>2170000</v>
      </c>
    </row>
    <row r="349" spans="1:14" x14ac:dyDescent="0.2">
      <c r="A349" s="1504" t="s">
        <v>197</v>
      </c>
      <c r="B349" s="614">
        <v>2540</v>
      </c>
      <c r="C349" s="466"/>
      <c r="D349" s="466"/>
      <c r="E349" s="466"/>
      <c r="F349" s="466">
        <v>4449</v>
      </c>
      <c r="G349" s="466">
        <v>2806</v>
      </c>
      <c r="H349" s="466"/>
      <c r="I349" s="467"/>
      <c r="J349" s="467"/>
      <c r="K349" s="1671">
        <f>SUM(C349:J349)</f>
        <v>7255</v>
      </c>
      <c r="L349" s="466">
        <v>15000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4449</v>
      </c>
      <c r="G350" s="1670">
        <f t="shared" si="26"/>
        <v>2027953</v>
      </c>
      <c r="H350" s="1670">
        <f t="shared" si="26"/>
        <v>0</v>
      </c>
      <c r="I350" s="1670">
        <f t="shared" si="26"/>
        <v>0</v>
      </c>
      <c r="J350" s="1670">
        <f t="shared" si="26"/>
        <v>0</v>
      </c>
      <c r="K350" s="1670">
        <f t="shared" si="26"/>
        <v>2032402</v>
      </c>
      <c r="L350" s="1670">
        <f t="shared" si="26"/>
        <v>2185000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4449</v>
      </c>
      <c r="G352" s="1670">
        <f t="shared" si="27"/>
        <v>2027953</v>
      </c>
      <c r="H352" s="1670">
        <f t="shared" si="27"/>
        <v>0</v>
      </c>
      <c r="I352" s="1670">
        <f t="shared" si="27"/>
        <v>0</v>
      </c>
      <c r="J352" s="1670">
        <f t="shared" si="27"/>
        <v>0</v>
      </c>
      <c r="K352" s="1670">
        <f t="shared" si="27"/>
        <v>2032402</v>
      </c>
      <c r="L352" s="1670">
        <f t="shared" si="27"/>
        <v>2185000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4449</v>
      </c>
      <c r="G367" s="1670">
        <f t="shared" si="28"/>
        <v>2027953</v>
      </c>
      <c r="H367" s="1670">
        <f t="shared" si="28"/>
        <v>0</v>
      </c>
      <c r="I367" s="1670">
        <f t="shared" si="28"/>
        <v>0</v>
      </c>
      <c r="J367" s="1670">
        <f t="shared" si="28"/>
        <v>0</v>
      </c>
      <c r="K367" s="1670">
        <f t="shared" si="28"/>
        <v>2032402</v>
      </c>
      <c r="L367" s="1670">
        <f t="shared" si="28"/>
        <v>2185000</v>
      </c>
    </row>
    <row r="368" spans="1:14" ht="13.5" thickTop="1" x14ac:dyDescent="0.2">
      <c r="A368" s="2156" t="s">
        <v>996</v>
      </c>
      <c r="B368" s="2157"/>
      <c r="C368" s="654"/>
      <c r="D368" s="654"/>
      <c r="E368" s="626"/>
      <c r="F368" s="626"/>
      <c r="G368" s="626"/>
      <c r="H368" s="626"/>
      <c r="I368" s="626"/>
      <c r="J368" s="623"/>
      <c r="K368" s="1671">
        <f>'Revenues 9-14'!K268-'Expenditures 15-22'!K367</f>
        <v>-1995343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&amp;C&amp;"Arial,Bold"&amp;9STATEMENT OF EXPENDITURES DISBURSED, BUDGET TO ACTUAL
FOR THE YEAR ENDING JUNE 30, 2019</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microsoft.com/office/2006/metadata/properties"/>
    <ds:schemaRef ds:uri="http://www.w3.org/XML/1998/namespace"/>
    <ds:schemaRef ds:uri="http://purl.org/dc/dcmitype/"/>
    <ds:schemaRef ds:uri="d21dc803-237d-4c68-8692-8d731fd29118"/>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2019-09-24T14:23:28Z</cp:lastPrinted>
  <dcterms:created xsi:type="dcterms:W3CDTF">2003-10-29T19:06:34Z</dcterms:created>
  <dcterms:modified xsi:type="dcterms:W3CDTF">2019-12-26T15:18:58Z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