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9ED0633-5C40-409C-B514-F614A765881C}" xr6:coauthVersionLast="36" xr6:coauthVersionMax="36" xr10:uidLastSave="{00000000-0000-0000-0000-000000000000}"/>
  <bookViews>
    <workbookView xWindow="28680" yWindow="2685" windowWidth="24240" windowHeight="13140" tabRatio="751" xr2:uid="{090E2FA4-A181-478B-BC13-7E98BB801A9A}"/>
  </bookViews>
  <sheets>
    <sheet name="COVER" sheetId="24" r:id="rId1"/>
    <sheet name="TOC" sheetId="168" r:id="rId2"/>
    <sheet name="Aud Quest 2" sheetId="28" r:id="rId3"/>
    <sheet name="Signature page" sheetId="184"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9">'Expenditures 15-22'!$A$1:$L$368</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4" i="7" l="1"/>
  <c r="C4" i="7" l="1"/>
  <c r="C5" i="7"/>
  <c r="C16" i="7"/>
  <c r="C14" i="7"/>
  <c r="C13" i="7"/>
  <c r="C12" i="7"/>
  <c r="C11" i="7"/>
  <c r="C8" i="7"/>
  <c r="C7" i="7"/>
  <c r="C6" i="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1" i="106"/>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D26" i="108"/>
  <c r="E26" i="108"/>
  <c r="F26" i="108"/>
  <c r="G26" i="108"/>
  <c r="D27" i="108"/>
  <c r="E27" i="108"/>
  <c r="F27" i="108"/>
  <c r="G27" i="108"/>
  <c r="F31" i="108"/>
  <c r="F36" i="108"/>
  <c r="G28" i="108"/>
  <c r="D31" i="108"/>
  <c r="D36"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D7" i="118"/>
  <c r="D8" i="118"/>
  <c r="D9" i="118"/>
  <c r="H14" i="118"/>
  <c r="H19" i="118"/>
  <c r="H24" i="118"/>
  <c r="H33" i="118"/>
  <c r="D22" i="37"/>
  <c r="J22" i="37"/>
  <c r="D24" i="37"/>
  <c r="B4270" i="106" s="1"/>
  <c r="D4270" i="106" s="1"/>
  <c r="D9" i="7"/>
  <c r="B1767" i="106" s="1"/>
  <c r="D1767" i="106" s="1"/>
  <c r="B5752" i="106"/>
  <c r="D5752" i="106" s="1"/>
  <c r="D17" i="7"/>
  <c r="B4104" i="106" s="1"/>
  <c r="D4104" i="106" s="1"/>
  <c r="L13" i="11" l="1"/>
  <c r="B2060" i="106" s="1"/>
  <c r="D2060" i="106" s="1"/>
  <c r="L5" i="11"/>
  <c r="B2056" i="106" s="1"/>
  <c r="D2056" i="106" s="1"/>
  <c r="D69" i="36"/>
  <c r="L342" i="29"/>
  <c r="B6995" i="106"/>
  <c r="D6995" i="106" s="1"/>
  <c r="G38" i="108"/>
  <c r="E38" i="108"/>
  <c r="G30" i="108"/>
  <c r="E30" i="108"/>
  <c r="B3647" i="106"/>
  <c r="D3647" i="106" s="1"/>
  <c r="I129" i="29"/>
  <c r="B7037" i="106" s="1"/>
  <c r="D7037" i="106" s="1"/>
  <c r="C342" i="29"/>
  <c r="B7216" i="106" s="1"/>
  <c r="D7216" i="106" s="1"/>
  <c r="F77" i="4"/>
  <c r="B3255" i="106" s="1"/>
  <c r="D3255" i="106" s="1"/>
  <c r="J367" i="29"/>
  <c r="B7245" i="106" s="1"/>
  <c r="D7245" i="106" s="1"/>
  <c r="B7235" i="106"/>
  <c r="D7235" i="106" s="1"/>
  <c r="D37" i="108"/>
  <c r="D41" i="108" s="1"/>
  <c r="E43" i="108" s="1"/>
  <c r="F37" i="108"/>
  <c r="D31" i="36"/>
  <c r="C129" i="29"/>
  <c r="B1225" i="106" s="1"/>
  <c r="D1225" i="106" s="1"/>
  <c r="D11" i="37"/>
  <c r="L367" i="29"/>
  <c r="F19" i="7"/>
  <c r="B1807" i="106" s="1"/>
  <c r="D1807" i="106" s="1"/>
  <c r="G39" i="108"/>
  <c r="C352" i="29"/>
  <c r="B3621" i="106" s="1"/>
  <c r="D3621" i="106" s="1"/>
  <c r="K76" i="4"/>
  <c r="B3586" i="106" s="1"/>
  <c r="D3586" i="106" s="1"/>
  <c r="N22" i="3"/>
  <c r="B283" i="106" s="1"/>
  <c r="D283" i="106" s="1"/>
  <c r="F28" i="108"/>
  <c r="F41" i="108" s="1"/>
  <c r="G43" i="108" s="1"/>
  <c r="J41" i="3"/>
  <c r="B6216" i="106" s="1"/>
  <c r="D6216" i="106" s="1"/>
  <c r="K184" i="29"/>
  <c r="F13" i="4" s="1"/>
  <c r="B2596" i="106" s="1"/>
  <c r="D2596" i="106" s="1"/>
  <c r="G210" i="29"/>
  <c r="G15" i="145"/>
  <c r="H28" i="118"/>
  <c r="E28" i="108"/>
  <c r="H342" i="29"/>
  <c r="B7221" i="106" s="1"/>
  <c r="D7221" i="106" s="1"/>
  <c r="J129" i="29"/>
  <c r="B7038" i="106" s="1"/>
  <c r="D7038" i="106" s="1"/>
  <c r="K41" i="3"/>
  <c r="H29" i="118"/>
  <c r="F14" i="4"/>
  <c r="B2597" i="106" s="1"/>
  <c r="D2597" i="106" s="1"/>
  <c r="L22" i="37"/>
  <c r="G29" i="108"/>
  <c r="D6103" i="106"/>
  <c r="B1308" i="106"/>
  <c r="D1308" i="106" s="1"/>
  <c r="E174" i="29"/>
  <c r="B1309" i="106" s="1"/>
  <c r="D1309" i="106" s="1"/>
  <c r="E29" i="108"/>
  <c r="B3254" i="106"/>
  <c r="D3254" i="106" s="1"/>
  <c r="I24" i="12"/>
  <c r="B3649" i="106"/>
  <c r="D3649" i="106" s="1"/>
  <c r="G367" i="29"/>
  <c r="D5" i="4"/>
  <c r="B3406" i="106" s="1"/>
  <c r="D3406" i="106" s="1"/>
  <c r="L312" i="29"/>
  <c r="I342" i="29"/>
  <c r="B7222" i="106" s="1"/>
  <c r="D7222" i="106" s="1"/>
  <c r="K350" i="29"/>
  <c r="F21" i="8"/>
  <c r="K24" i="12"/>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N23" i="3" l="1"/>
  <c r="B284" i="106" s="1"/>
  <c r="D284" i="106" s="1"/>
  <c r="C114" i="29"/>
  <c r="B757" i="106" s="1"/>
  <c r="D757" i="106" s="1"/>
  <c r="B5527" i="106"/>
  <c r="D5527" i="106" s="1"/>
  <c r="F174" i="34"/>
  <c r="D51" i="36"/>
  <c r="D44" i="36"/>
  <c r="D7256" i="106"/>
  <c r="D7251" i="106"/>
  <c r="D7252" i="106"/>
  <c r="G170" i="5"/>
  <c r="B5778" i="106" s="1"/>
  <c r="D5778" i="106" s="1"/>
  <c r="K28" i="118"/>
  <c r="O27" i="118" s="1"/>
  <c r="O29" i="118" s="1"/>
  <c r="K342" i="29"/>
  <c r="F13" i="34" s="1"/>
  <c r="J16" i="4"/>
  <c r="B6226" i="106" s="1"/>
  <c r="D6226" i="106" s="1"/>
  <c r="L16" i="11"/>
  <c r="B2061" i="106" s="1"/>
  <c r="D2061" i="106" s="1"/>
  <c r="G6" i="4"/>
  <c r="B2604" i="106" s="1"/>
  <c r="D2604" i="106" s="1"/>
  <c r="B3568" i="106"/>
  <c r="D3568" i="106" s="1"/>
  <c r="D52" i="36"/>
  <c r="B7215" i="106"/>
  <c r="D7215" i="106" s="1"/>
  <c r="H151" i="29"/>
  <c r="B1273" i="106" s="1"/>
  <c r="D1273" i="106" s="1"/>
  <c r="B1381" i="106"/>
  <c r="D1381" i="106" s="1"/>
  <c r="J151" i="29"/>
  <c r="B7052" i="106" s="1"/>
  <c r="D7052" i="106" s="1"/>
  <c r="C151" i="29"/>
  <c r="B1226" i="106" s="1"/>
  <c r="D1226" i="106" s="1"/>
  <c r="K365" i="29"/>
  <c r="D7253" i="106"/>
  <c r="L114" i="29"/>
  <c r="B1996" i="106"/>
  <c r="D1996" i="106" s="1"/>
  <c r="I26" i="12"/>
  <c r="B7741" i="106" s="1"/>
  <c r="D7741" i="106" s="1"/>
  <c r="B1365" i="106"/>
  <c r="D1365" i="106" s="1"/>
  <c r="F65"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F24" i="37"/>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19" i="4" l="1"/>
  <c r="B6229" i="106" s="1"/>
  <c r="D6229" i="106" s="1"/>
  <c r="D8" i="146"/>
  <c r="K17" i="4"/>
  <c r="K19" i="4" s="1"/>
  <c r="B4144" i="106" s="1"/>
  <c r="D4144"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K78" i="4" s="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<sst xmlns="http://schemas.openxmlformats.org/spreadsheetml/2006/main" count="5067" uniqueCount="2095">
  <si>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</si>
  <si>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</si>
  <si>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</si>
  <si>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</si>
  <si>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</si>
  <si>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</si>
  <si>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</si>
  <si>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</si>
  <si>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</si>
  <si>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</si>
  <si>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</si>
  <si>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</si>
  <si>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</si>
  <si>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</si>
  <si>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</si>
  <si>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</si>
  <si>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</si>
  <si>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</si>
  <si>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</si>
  <si>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</si>
  <si>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</si>
  <si>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</si>
  <si>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</si>
  <si>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</si>
  <si>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</si>
  <si>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</si>
  <si>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</si>
  <si>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</si>
  <si>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</si>
  <si>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</si>
  <si>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</si>
  <si>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</si>
  <si>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</si>
  <si>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</si>
  <si>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</si>
  <si>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</si>
  <si>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</si>
  <si>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</si>
  <si>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</si>
  <si>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</si>
  <si>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</si>
  <si>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</si>
  <si>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</si>
  <si>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</si>
  <si>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</si>
  <si>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</si>
  <si>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</si>
  <si>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</si>
  <si>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</si>
  <si>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</si>
  <si>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</si>
  <si>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</si>
  <si>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</si>
  <si>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</si>
  <si>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</si>
  <si>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</si>
  <si>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</si>
  <si>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</si>
  <si>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</si>
  <si>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</si>
  <si>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</si>
  <si>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</si>
  <si>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</si>
  <si>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</si>
  <si>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</si>
  <si>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</si>
  <si>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</si>
  <si>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</si>
  <si>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</si>
  <si>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</si>
  <si>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</si>
  <si>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</si>
  <si>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</si>
  <si>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</si>
  <si>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</si>
  <si>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</si>
  <si>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</si>
  <si>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</si>
  <si>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</si>
  <si>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</si>
  <si>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</si>
  <si>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</si>
  <si>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</si>
  <si>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</si>
  <si>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</si>
  <si>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</si>
  <si>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</si>
  <si>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</si>
  <si>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</si>
  <si>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</si>
  <si>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</si>
  <si>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</si>
  <si>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</si>
  <si>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</si>
  <si>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</si>
  <si>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</si>
  <si>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</si>
  <si>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</si>
  <si>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</si>
  <si>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</si>
  <si>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</si>
  <si>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</si>
  <si>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</si>
  <si>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</si>
  <si>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</si>
  <si>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</si>
  <si>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</si>
  <si>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</si>
  <si>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</si>
  <si>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</si>
  <si>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</si>
  <si>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</si>
  <si>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</si>
  <si>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</si>
  <si>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</si>
  <si>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</si>
  <si>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</si>
  <si>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</si>
  <si>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</si>
  <si>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</si>
  <si>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</si>
  <si>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</si>
  <si>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</si>
  <si>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</si>
  <si>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</si>
  <si>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</si>
  <si>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</si>
  <si>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</si>
  <si>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</si>
  <si>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</si>
  <si>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</si>
  <si>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</si>
  <si>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</si>
  <si>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</si>
  <si>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</si>
  <si>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</si>
  <si>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</si>
  <si>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</si>
  <si>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</si>
  <si>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</si>
  <si>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</si>
  <si>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</si>
  <si>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</si>
  <si>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</si>
  <si>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</si>
  <si>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</si>
  <si>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</si>
  <si>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</si>
  <si>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</si>
  <si>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</si>
  <si>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</si>
  <si>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</si>
  <si>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</si>
  <si>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</si>
  <si>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</si>
  <si>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</si>
  <si>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</si>
  <si>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</si>
  <si>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</si>
  <si>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</si>
  <si>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</si>
  <si>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</si>
  <si>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</si>
  <si>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</si>
  <si>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</si>
  <si>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</si>
  <si>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</si>
  <si>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</si>
  <si>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</si>
  <si>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</si>
  <si>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</si>
  <si>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</si>
  <si>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</si>
  <si>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</si>
  <si>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</si>
  <si>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</si>
  <si>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</si>
  <si>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</si>
  <si>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</si>
  <si>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</si>
  <si>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</si>
  <si>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</si>
  <si>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</si>
  <si>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</si>
  <si>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</si>
  <si>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</si>
  <si>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</si>
  <si>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</si>
  <si>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</si>
  <si>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</si>
  <si>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</si>
  <si>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</si>
  <si>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</si>
  <si>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</si>
  <si>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</si>
  <si>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</si>
  <si>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</si>
  <si>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</si>
  <si>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</si>
  <si>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</si>
  <si>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</si>
  <si>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</si>
  <si>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</si>
  <si>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</si>
  <si>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</si>
  <si>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</si>
  <si>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</si>
  <si>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</si>
  <si>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</si>
  <si>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</si>
  <si>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</si>
  <si>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</si>
  <si>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</si>
  <si>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</si>
  <si>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</si>
  <si>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</si>
  <si>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</si>
  <si>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</si>
  <si>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</si>
  <si>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</si>
  <si>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</si>
  <si>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</si>
  <si>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</si>
  <si>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</si>
  <si>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</si>
  <si>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</si>
  <si>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</si>
  <si>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</si>
  <si>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</si>
  <si>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</si>
  <si>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</si>
  <si>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</si>
  <si>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</si>
  <si>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</si>
  <si>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</si>
  <si>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</si>
  <si>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</si>
  <si>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</si>
  <si>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</si>
  <si>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</si>
  <si>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</si>
  <si>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</si>
  <si>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</si>
  <si>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</si>
  <si>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</si>
  <si>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</si>
  <si>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</si>
  <si>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</si>
  <si>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</si>
  <si>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</si>
  <si>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</si>
  <si>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</si>
  <si>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</si>
  <si>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</si>
  <si>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</si>
  <si>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</si>
  <si>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</si>
  <si>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</si>
  <si>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</si>
  <si>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</si>
  <si>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</si>
  <si>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</si>
  <si>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</si>
  <si>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</si>
  <si>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</si>
  <si>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</si>
  <si>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</si>
  <si>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</si>
  <si>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</si>
  <si>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</si>
  <si>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</si>
  <si>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</si>
  <si>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</si>
  <si>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</si>
  <si>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</si>
  <si>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</si>
  <si>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</si>
  <si>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</si>
  <si>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</si>
  <si>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</si>
  <si>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</si>
  <si>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</si>
  <si>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</si>
  <si>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</si>
  <si>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</si>
  <si>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</si>
  <si>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</si>
  <si>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</si>
  <si>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</si>
  <si>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</si>
  <si>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</si>
  <si>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</si>
  <si>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</si>
  <si>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</si>
  <si>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</si>
  <si>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</si>
  <si>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</si>
  <si>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</si>
  <si>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</si>
  <si>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</si>
  <si>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</si>
  <si>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</si>
  <si>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</si>
  <si>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</si>
  <si>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</si>
  <si>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</si>
  <si>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</si>
  <si>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</si>
  <si>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</si>
  <si>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</si>
  <si>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</si>
  <si>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</si>
  <si>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</si>
  <si>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</si>
  <si>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</si>
  <si>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</si>
  <si>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</si>
  <si>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</si>
  <si>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</si>
  <si>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</si>
  <si>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</si>
  <si>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</si>
  <si>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</si>
  <si>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</si>
  <si>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</si>
  <si>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</si>
  <si>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</si>
  <si>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</si>
  <si>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</si>
  <si>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</si>
  <si>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</si>
  <si>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</si>
  <si>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</si>
  <si>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</si>
  <si>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</si>
  <si>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</si>
  <si>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</si>
  <si>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</si>
  <si>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</si>
  <si>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</si>
  <si>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</si>
  <si>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</si>
  <si>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</si>
  <si>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</si>
  <si>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</si>
  <si>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</si>
  <si>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</si>
  <si>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</si>
  <si>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</si>
  <si>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</si>
  <si>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</si>
  <si>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</si>
  <si>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</si>
  <si>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</si>
  <si>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</si>
  <si>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</si>
  <si>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</si>
  <si>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</si>
  <si>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</si>
  <si>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</si>
  <si>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</si>
  <si>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</si>
  <si>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</si>
  <si>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</si>
  <si>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</si>
  <si>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</si>
  <si>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</si>
  <si>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</si>
  <si>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</si>
  <si>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</si>
  <si>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</si>
  <si>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</si>
  <si>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</si>
  <si>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</si>
  <si>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</si>
  <si>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</si>
  <si>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</si>
  <si>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</si>
  <si>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</si>
  <si>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</si>
  <si>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</si>
  <si>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</si>
  <si>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</si>
  <si>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</si>
  <si>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</si>
  <si>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</si>
  <si>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</si>
  <si>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</si>
  <si>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</si>
  <si>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</si>
  <si>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</si>
  <si>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</si>
  <si>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</si>
  <si>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</si>
  <si>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</si>
  <si>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</si>
  <si>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</si>
  <si>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</si>
  <si>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</si>
  <si>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</si>
  <si>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</si>
  <si>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</si>
  <si>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</si>
  <si>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</si>
  <si>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</si>
  <si>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</si>
  <si>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</si>
  <si>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</si>
  <si>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</si>
  <si>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</si>
  <si>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</si>
  <si>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</si>
  <si>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</si>
  <si>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</si>
  <si>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</si>
  <si>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</si>
  <si>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</si>
  <si>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</si>
  <si>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</si>
  <si>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</si>
  <si>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</si>
  <si>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</si>
  <si>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</si>
  <si>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</si>
  <si>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</si>
  <si>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</si>
  <si>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</si>
  <si>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</si>
  <si>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</si>
  <si>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</si>
  <si>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</si>
  <si>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</si>
  <si>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</si>
  <si>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</si>
  <si>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</si>
  <si>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</si>
  <si>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</si>
  <si>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</si>
  <si>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</si>
  <si>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</si>
  <si>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</si>
  <si>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</si>
  <si>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</si>
  <si>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</si>
  <si>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</si>
  <si>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</si>
  <si>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</si>
  <si>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</si>
  <si>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</si>
  <si>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</si>
  <si>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</si>
  <si>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</si>
  <si>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</si>
  <si>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</si>
  <si>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</si>
  <si>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</si>
  <si>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</si>
  <si>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</si>
  <si>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</si>
  <si>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</si>
  <si>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</si>
  <si>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</si>
  <si>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</si>
  <si>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</si>
  <si>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</si>
  <si>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</si>
  <si>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</si>
  <si>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</si>
  <si>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</si>
  <si>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</si>
  <si>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</si>
  <si>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</si>
  <si>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</si>
  <si>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</si>
  <si>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</si>
  <si>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</si>
  <si>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</si>
  <si>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</si>
  <si>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</si>
  <si>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</si>
  <si>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</si>
  <si>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</si>
  <si>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</si>
  <si>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</si>
  <si>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</si>
  <si>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</si>
  <si>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</si>
  <si>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</si>
  <si>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</si>
  <si>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</si>
  <si>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</si>
  <si>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</si>
  <si>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</si>
  <si>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</si>
  <si>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</si>
  <si>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</si>
  <si>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</si>
  <si>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</si>
  <si>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</si>
  <si>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</si>
  <si>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</si>
  <si>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</si>
  <si>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</si>
  <si>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</si>
  <si>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</si>
  <si>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</si>
  <si>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</si>
  <si>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</si>
  <si>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</si>
  <si>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</si>
  <si>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</si>
  <si>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</si>
  <si>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</si>
  <si>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</si>
  <si>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</si>
  <si>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</si>
  <si>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</si>
  <si>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</si>
  <si>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</si>
  <si>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</si>
  <si>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</si>
  <si>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</si>
  <si>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</si>
  <si>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</si>
  <si>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</si>
  <si>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</si>
  <si>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</si>
  <si>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</si>
  <si>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</si>
  <si>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</si>
  <si>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</si>
  <si>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</si>
  <si>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</si>
  <si>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</si>
  <si>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</si>
  <si>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</si>
  <si>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</si>
  <si>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</si>
  <si>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</si>
  <si>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</si>
  <si>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</si>
  <si>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</si>
  <si>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</si>
  <si>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</si>
  <si>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</si>
  <si>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</si>
  <si>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</si>
  <si>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</si>
  <si>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</si>
  <si>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</si>
  <si>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</si>
  <si>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</si>
  <si>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</si>
  <si>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</si>
  <si>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</si>
  <si>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</si>
  <si>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</si>
  <si>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</si>
  <si>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</si>
  <si>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</si>
  <si>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</si>
  <si>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</si>
  <si>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</si>
  <si>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</si>
  <si>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</si>
  <si>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</si>
  <si>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</si>
  <si>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</si>
  <si>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</si>
  <si>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</si>
  <si>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</si>
  <si>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</si>
  <si>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</si>
  <si>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</si>
  <si>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</si>
  <si>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</si>
  <si>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</si>
  <si>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</si>
  <si>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</si>
  <si>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</si>
  <si>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</si>
  <si>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</si>
  <si>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</si>
  <si>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</si>
  <si>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</si>
  <si>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</si>
  <si>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</si>
  <si>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</si>
  <si>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</si>
  <si>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</si>
  <si>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</si>
  <si>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</si>
  <si>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</si>
  <si>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</si>
  <si>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</si>
  <si>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</si>
  <si>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</si>
  <si>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</si>
  <si>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</si>
  <si>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</si>
  <si>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</si>
  <si>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</si>
  <si>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</si>
  <si>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</si>
  <si>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</si>
  <si>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</si>
  <si>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</si>
  <si>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</si>
  <si>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</si>
  <si>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</si>
  <si>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</si>
  <si>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</si>
  <si>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</si>
  <si>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</si>
  <si>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</si>
  <si>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</si>
  <si>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</si>
  <si>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</si>
  <si>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</si>
  <si>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</si>
  <si>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</si>
  <si>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</si>
  <si>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</si>
  <si>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</si>
  <si>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</si>
  <si>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</si>
  <si>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</si>
  <si>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</si>
  <si>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</si>
  <si>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</si>
  <si>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</si>
  <si>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</si>
  <si>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</si>
  <si>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</si>
  <si>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</si>
  <si>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</si>
  <si>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</si>
  <si>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</si>
  <si>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</si>
  <si>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</si>
  <si>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</si>
  <si>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</si>
  <si>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</si>
  <si>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</si>
  <si>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</si>
  <si>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</si>
  <si>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</si>
  <si>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</si>
  <si>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</si>
  <si>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</si>
  <si>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</si>
  <si>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</si>
  <si>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</si>
  <si>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</si>
  <si>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</si>
  <si>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</si>
  <si>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</si>
  <si>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</si>
  <si>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</si>
  <si>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</si>
  <si>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</si>
  <si>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</si>
  <si>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</si>
  <si>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</si>
  <si>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</si>
  <si>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</si>
  <si>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</si>
  <si>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</si>
  <si>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</si>
  <si>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</si>
  <si>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</si>
  <si>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</si>
  <si>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</si>
  <si>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</si>
  <si>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</si>
  <si>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</si>
  <si>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</si>
  <si>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</si>
  <si>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</si>
  <si>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</si>
  <si>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</si>
  <si>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</si>
  <si>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</si>
  <si>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</si>
  <si>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</si>
  <si>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</si>
  <si>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</si>
  <si>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</si>
  <si>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</si>
  <si>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</si>
  <si>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</si>
  <si>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</si>
  <si>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</si>
  <si>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</si>
  <si>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</si>
  <si>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</si>
  <si>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</si>
  <si>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</si>
  <si>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</si>
  <si>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</si>
  <si>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</si>
  <si>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</si>
  <si>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</si>
  <si>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</si>
  <si>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</si>
  <si>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</si>
  <si>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</si>
  <si>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</si>
  <si>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</si>
  <si>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</si>
  <si>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</si>
  <si>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</si>
  <si>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</si>
  <si>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</si>
  <si>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</si>
  <si>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</si>
  <si>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</si>
  <si>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</si>
  <si>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</si>
  <si>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</si>
  <si>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</si>
  <si>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</si>
  <si>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</si>
  <si>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</si>
  <si>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</si>
  <si>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</si>
  <si>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</si>
  <si>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</si>
  <si>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</si>
  <si>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</si>
  <si>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</si>
  <si>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</si>
  <si>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</si>
  <si>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</si>
  <si>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</si>
  <si>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</si>
  <si>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</si>
  <si>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</si>
  <si>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</si>
  <si>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</si>
  <si>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</si>
  <si>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</si>
  <si>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</si>
  <si>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</si>
  <si>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</si>
  <si>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</si>
  <si>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</si>
  <si>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</si>
  <si>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</si>
  <si>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</si>
  <si>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</si>
  <si>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</si>
  <si>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</si>
  <si>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</si>
  <si>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</si>
  <si>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</si>
  <si>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</si>
  <si>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</si>
  <si>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</si>
  <si>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</si>
  <si>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</si>
  <si>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</si>
  <si>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</si>
  <si>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</si>
  <si>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</si>
  <si>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</si>
  <si>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</si>
  <si>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</si>
  <si>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</si>
  <si>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</si>
  <si>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</si>
  <si>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</si>
  <si>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</si>
  <si>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</si>
  <si>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</si>
  <si>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</si>
  <si>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</si>
  <si>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</si>
  <si>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</si>
  <si>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</si>
  <si>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</si>
  <si>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</si>
  <si>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</si>
  <si>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</si>
  <si>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</si>
  <si>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</si>
  <si>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</si>
  <si>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</si>
  <si>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</si>
  <si>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</si>
  <si>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</si>
  <si>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</si>
  <si>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</si>
  <si>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</si>
  <si>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</si>
  <si>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</si>
  <si>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</si>
  <si>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</si>
  <si>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</si>
  <si>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</si>
  <si>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</si>
  <si>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</si>
  <si>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</si>
  <si>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</si>
  <si>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</si>
  <si>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</si>
  <si>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</si>
  <si>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</si>
  <si>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</si>
  <si>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</si>
  <si>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</si>
  <si>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</si>
  <si>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</si>
  <si>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</si>
  <si>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</si>
  <si>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</si>
  <si>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</si>
  <si>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</si>
  <si>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</si>
  <si>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</si>
  <si>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</si>
  <si>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</si>
  <si>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</si>
  <si>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</si>
  <si>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</si>
  <si>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</si>
  <si>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</si>
  <si>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</si>
  <si>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</si>
  <si>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</si>
  <si>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</si>
  <si>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</si>
  <si>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</si>
  <si>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</si>
  <si>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</si>
  <si>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</si>
  <si>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</si>
  <si>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</si>
  <si>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</si>
  <si>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</si>
  <si>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</si>
  <si>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</si>
  <si>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</si>
  <si>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</si>
  <si>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</si>
  <si>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</si>
  <si>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</si>
  <si>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</si>
  <si>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</si>
  <si>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</si>
  <si>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</si>
  <si>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</si>
  <si>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</si>
  <si>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</si>
  <si>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</si>
  <si>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</si>
  <si>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</si>
  <si>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</si>
  <si>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</si>
  <si>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</si>
  <si>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</si>
  <si>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</si>
  <si>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</si>
  <si>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</si>
  <si>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</si>
  <si>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</si>
  <si>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</si>
  <si>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</si>
  <si>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</si>
  <si>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</si>
  <si>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</si>
  <si>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</si>
  <si>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</si>
  <si>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</si>
  <si>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</si>
  <si>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</si>
  <si>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</si>
  <si>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</si>
  <si>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</si>
  <si>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</si>
  <si>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</si>
  <si>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</si>
  <si>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</si>
  <si>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</si>
  <si>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</si>
  <si>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</si>
  <si>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</si>
  <si>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</si>
  <si>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</si>
  <si>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</si>
  <si>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</si>
  <si>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</si>
  <si>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</si>
  <si>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</si>
  <si>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</si>
  <si>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</si>
  <si>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</si>
  <si>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</si>
  <si>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</si>
  <si>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</si>
  <si>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</si>
  <si>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</si>
  <si>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</si>
  <si>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</si>
  <si>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</si>
  <si>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</si>
  <si>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</si>
  <si>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</si>
  <si>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</si>
  <si>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</si>
  <si>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</si>
  <si>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</si>
  <si>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</si>
  <si>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</si>
  <si>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</si>
  <si>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</si>
  <si>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</si>
  <si>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</si>
  <si>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</si>
  <si>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</si>
  <si>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</si>
  <si>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</si>
  <si>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</si>
  <si>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</si>
  <si>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</si>
  <si>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</si>
  <si>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</si>
  <si>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</si>
  <si>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</si>
  <si>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</si>
  <si>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</si>
  <si>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</si>
  <si>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</si>
  <si>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</si>
  <si>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</si>
  <si>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</si>
  <si>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</si>
  <si>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</si>
  <si>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</si>
  <si>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</si>
  <si>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</si>
  <si>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</si>
  <si>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</si>
  <si>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</si>
  <si>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</si>
  <si>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</si>
  <si>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</si>
  <si>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</si>
  <si>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</si>
  <si>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</si>
  <si>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</si>
  <si>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</si>
  <si>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</si>
  <si>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</si>
  <si>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</si>
  <si>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</si>
  <si>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</si>
  <si>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</si>
  <si>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</si>
  <si>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</si>
  <si>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</si>
  <si>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</si>
  <si>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</si>
  <si>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</si>
  <si>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</si>
  <si>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</si>
  <si>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</si>
  <si>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</si>
  <si>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</si>
  <si>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</si>
  <si>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</si>
  <si>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</si>
  <si>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</si>
  <si>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</si>
  <si>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</si>
  <si>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</si>
  <si>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</si>
  <si>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</si>
  <si>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</si>
  <si>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</si>
  <si>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</si>
  <si>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</si>
  <si>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</si>
  <si>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</si>
  <si>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</si>
  <si>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</si>
  <si>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</si>
  <si>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</si>
  <si>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</si>
  <si>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</si>
  <si>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</si>
  <si>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</si>
  <si>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</si>
  <si>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</si>
  <si>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</si>
  <si>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</si>
  <si>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</si>
  <si>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</si>
  <si>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</si>
  <si>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</si>
  <si>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</si>
  <si>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</si>
  <si>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</si>
  <si>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</si>
  <si>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</si>
  <si>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</si>
  <si>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</si>
  <si>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</si>
  <si>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</si>
  <si>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</si>
  <si>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</si>
  <si>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</si>
  <si>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</si>
  <si>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</si>
  <si>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</si>
  <si>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</si>
  <si>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</si>
  <si>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</si>
  <si>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</si>
  <si>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</si>
  <si>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</si>
  <si>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</si>
  <si>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</si>
  <si>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</si>
  <si>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</si>
  <si>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</si>
  <si>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</si>
  <si>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</si>
  <si>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</si>
  <si>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</si>
  <si>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</si>
  <si>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</si>
  <si>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</si>
  <si>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</si>
  <si>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</si>
  <si>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</si>
  <si>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</si>
  <si>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</si>
  <si>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</si>
  <si>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</si>
  <si>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</si>
  <si>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</si>
  <si>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</si>
  <si>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</si>
  <si>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</si>
  <si>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</si>
  <si>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</si>
  <si>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</si>
  <si>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</si>
  <si>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</si>
  <si>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</si>
  <si>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</si>
  <si>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</si>
  <si>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</si>
  <si>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</si>
  <si>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</si>
  <si>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</si>
  <si>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</si>
  <si>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</si>
  <si>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</si>
  <si>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</si>
  <si>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</si>
  <si>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</si>
  <si>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</si>
  <si>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</si>
  <si>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</si>
  <si>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</si>
  <si>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</si>
  <si>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</si>
  <si>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</si>
  <si>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</si>
  <si>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</si>
  <si>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</si>
  <si>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</si>
  <si>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</si>
  <si>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</si>
  <si>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</si>
  <si>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</si>
  <si>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</si>
  <si>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</si>
  <si>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</si>
  <si>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</si>
  <si>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</si>
  <si>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</si>
  <si>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</si>
  <si>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</si>
  <si>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</si>
  <si>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</si>
  <si>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</si>
  <si>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</si>
  <si>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</si>
  <si>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</si>
  <si>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</si>
  <si>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</si>
  <si>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</si>
  <si>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</si>
  <si>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</si>
  <si>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</si>
  <si>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</si>
  <si>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</si>
  <si>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</si>
  <si>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</si>
  <si>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</si>
  <si>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</si>
  <si>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</si>
  <si>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</si>
  <si>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</si>
  <si>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</si>
  <si>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</si>
  <si>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</si>
  <si>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</si>
  <si>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</si>
  <si>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</si>
  <si>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</si>
  <si>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</si>
  <si>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</si>
  <si>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</si>
  <si>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</si>
  <si>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</si>
  <si>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</si>
  <si>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</si>
  <si>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</si>
  <si>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</si>
  <si>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</si>
  <si>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</si>
  <si>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</si>
  <si>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</si>
  <si>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</si>
  <si>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</si>
  <si>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</si>
  <si>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</si>
  <si>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</si>
  <si>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</si>
  <si>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</si>
  <si>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</si>
  <si>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</si>
  <si>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</si>
  <si>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</si>
  <si>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</si>
  <si>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</si>
  <si>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</si>
  <si>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</si>
  <si>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</si>
  <si>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</si>
  <si>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</si>
  <si>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</si>
  <si>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</si>
  <si>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</si>
  <si>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</si>
  <si>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</si>
  <si>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</si>
  <si>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</si>
  <si>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</si>
  <si>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</si>
  <si>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</si>
  <si>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</si>
  <si>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</si>
  <si>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</si>
  <si>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</si>
  <si>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</si>
  <si>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</si>
  <si>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</si>
  <si>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</si>
  <si>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</si>
  <si>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</si>
  <si>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</si>
  <si>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</si>
  <si>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</si>
  <si>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</si>
  <si>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</si>
  <si>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</si>
  <si>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</si>
  <si>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</si>
  <si>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</si>
  <si>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</si>
  <si>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</si>
  <si>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</si>
  <si>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</si>
  <si>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</si>
  <si>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</si>
  <si>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</si>
  <si>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</si>
  <si>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</si>
  <si>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</si>
  <si>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</si>
  <si>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</si>
  <si>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</si>
  <si>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</si>
  <si>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</si>
  <si>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</si>
  <si>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</si>
  <si>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</si>
  <si>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</si>
  <si>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</si>
  <si>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</si>
  <si>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</si>
  <si>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</si>
  <si>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</si>
  <si>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</si>
  <si>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</si>
  <si>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</si>
  <si>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</si>
  <si>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</si>
  <si>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</si>
  <si>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</si>
  <si>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</si>
  <si>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</si>
  <si>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</si>
  <si>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</si>
  <si>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</si>
  <si>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</si>
  <si>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</si>
  <si>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</si>
  <si>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</si>
  <si>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</si>
  <si>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</si>
  <si>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</si>
  <si>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</si>
  <si>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</si>
  <si>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</si>
  <si>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</si>
  <si>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</si>
  <si>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</si>
  <si>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</si>
  <si>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</si>
  <si>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</si>
  <si>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</si>
  <si>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</si>
  <si>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</si>
  <si>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</si>
  <si>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</si>
  <si>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</si>
  <si>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</si>
  <si>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</si>
  <si>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</si>
  <si>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</si>
  <si>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</si>
  <si>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</si>
  <si>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</si>
  <si>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</si>
  <si>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</si>
  <si>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</si>
  <si>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</si>
  <si>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</si>
  <si>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</si>
  <si>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</si>
  <si>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</si>
  <si>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</si>
  <si>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</si>
  <si>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</si>
  <si>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</si>
  <si>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</si>
  <si>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</si>
  <si>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</si>
  <si>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</si>
  <si>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</si>
  <si>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</si>
  <si>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</si>
  <si>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</si>
  <si>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</si>
  <si>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</si>
  <si>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</si>
  <si>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</si>
  <si>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</si>
  <si>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</si>
  <si>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</si>
  <si>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</si>
  <si>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</si>
  <si>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</si>
  <si>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</si>
  <si>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</si>
  <si>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</si>
  <si>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</si>
  <si>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</si>
  <si>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</si>
  <si>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</si>
  <si>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</si>
  <si>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</si>
  <si>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</si>
  <si>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</si>
  <si>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</si>
  <si>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</si>
  <si>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</si>
  <si>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</si>
  <si>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</si>
  <si>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</si>
  <si>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</si>
  <si>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</si>
  <si>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</si>
  <si>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</si>
  <si>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</si>
  <si>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</si>
  <si>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</si>
  <si>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</si>
  <si>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</si>
  <si>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</si>
  <si>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</si>
  <si>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</si>
  <si>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</si>
  <si>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</si>
  <si>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</si>
  <si>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</si>
  <si>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</si>
  <si>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</si>
  <si>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</si>
  <si>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</si>
  <si>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</si>
  <si>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</si>
  <si>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</si>
  <si>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</si>
  <si>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</si>
  <si>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</si>
  <si>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</si>
  <si>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</si>
  <si>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</si>
  <si>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</si>
  <si>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</si>
  <si>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</si>
  <si>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</si>
  <si>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</si>
  <si>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</si>
  <si>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</si>
  <si>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</si>
  <si>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</si>
  <si>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</si>
  <si>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</si>
  <si>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</si>
  <si>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</si>
  <si>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</si>
  <si>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</si>
  <si>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</si>
  <si>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</si>
  <si>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</si>
  <si>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</si>
  <si>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</si>
  <si>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</si>
  <si>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</si>
  <si>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</si>
  <si>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</si>
  <si>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</si>
  <si>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</si>
  <si>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</si>
  <si>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</si>
  <si>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</si>
  <si>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</si>
  <si>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</si>
  <si>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</si>
  <si>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</si>
  <si>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</si>
  <si>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</si>
  <si>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</si>
  <si>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</si>
  <si>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</si>
  <si>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</si>
  <si>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</si>
  <si>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</si>
  <si>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</si>
  <si>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</si>
  <si>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</si>
  <si>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</si>
  <si>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</si>
  <si>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</si>
  <si>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</si>
  <si>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</si>
  <si>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</si>
  <si>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</si>
  <si>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</si>
  <si>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</si>
  <si>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</si>
  <si>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</si>
  <si>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</si>
  <si>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</si>
  <si>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</si>
  <si>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</si>
  <si>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</si>
  <si>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</si>
  <si>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</si>
  <si>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</si>
  <si>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</si>
  <si>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</si>
  <si>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</si>
  <si>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</si>
  <si>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</si>
  <si>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</si>
  <si>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</si>
  <si>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</si>
  <si>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</si>
  <si>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</si>
  <si>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</si>
  <si>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</si>
  <si>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</si>
  <si>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</si>
  <si>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</si>
  <si>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</si>
  <si>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</si>
  <si>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</si>
  <si>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</si>
  <si>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</si>
  <si>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</si>
  <si>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</si>
  <si>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</si>
  <si>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</si>
  <si>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</si>
  <si>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</si>
  <si>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</si>
  <si>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</si>
  <si>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</si>
  <si>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</si>
  <si>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</si>
  <si>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</si>
  <si>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</si>
  <si>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</si>
  <si>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</si>
  <si>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</si>
  <si>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</si>
  <si>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</si>
  <si>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</si>
  <si>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</si>
  <si>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</si>
  <si>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</si>
  <si>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</si>
  <si>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</si>
  <si>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</si>
  <si>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</si>
  <si>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</si>
  <si>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</si>
  <si>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</si>
  <si>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</si>
  <si>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</si>
  <si>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</si>
  <si>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</si>
  <si>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</si>
  <si>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</si>
  <si>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</si>
  <si>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</si>
  <si>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</si>
  <si>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</si>
  <si>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</si>
  <si>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</si>
  <si>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</si>
  <si>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</si>
  <si>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</si>
  <si>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</si>
  <si>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</si>
  <si>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</si>
  <si>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</si>
  <si>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</si>
  <si>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</si>
  <si>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</si>
  <si>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</si>
  <si>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</si>
  <si>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</si>
  <si>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</si>
  <si>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</si>
  <si>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</si>
  <si>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</si>
  <si>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</si>
  <si>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</si>
  <si>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</si>
  <si>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</si>
  <si>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</si>
  <si>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</si>
  <si>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</si>
  <si>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</si>
  <si>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</si>
  <si>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</si>
  <si>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</si>
  <si>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</si>
  <si>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</si>
  <si>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</si>
  <si>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</si>
  <si>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</si>
  <si>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</si>
  <si>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</si>
  <si>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</si>
  <si>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</si>
  <si>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</si>
  <si>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</si>
  <si>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</si>
  <si>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</si>
  <si>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</si>
  <si>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</si>
  <si>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</si>
  <si>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</si>
  <si>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</si>
  <si>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</si>
  <si>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</si>
  <si>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</si>
  <si>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</si>
  <si>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</si>
  <si>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</si>
  <si>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</si>
  <si>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</si>
  <si>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</si>
  <si>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</si>
  <si>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</si>
  <si>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</si>
  <si>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</si>
  <si>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</si>
  <si>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</si>
  <si>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</si>
  <si>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</si>
  <si>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</si>
  <si>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</si>
  <si>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</si>
  <si>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</si>
  <si>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</si>
  <si>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</si>
  <si>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</si>
  <si>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</si>
  <si>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</si>
  <si>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</si>
  <si>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</si>
  <si>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</si>
  <si>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</si>
  <si>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</si>
  <si>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</si>
  <si>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</si>
  <si>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</si>
  <si>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</si>
  <si>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</si>
  <si>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</si>
  <si>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</si>
  <si>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</si>
  <si>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</si>
  <si>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</si>
  <si>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</si>
  <si>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</si>
  <si>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</si>
  <si>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</si>
  <si>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</si>
  <si>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</si>
  <si>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</si>
  <si>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</si>
  <si>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</si>
  <si>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</si>
  <si>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</si>
  <si>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</si>
  <si>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</si>
  <si>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</si>
  <si>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</si>
  <si>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</si>
  <si>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</si>
  <si>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</si>
  <si>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</si>
  <si>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</si>
  <si>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</si>
  <si>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</si>
  <si>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</si>
  <si>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</si>
  <si>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</si>
  <si>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</si>
  <si>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</si>
  <si>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</si>
  <si>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</si>
  <si>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</si>
  <si>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</si>
  <si>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</si>
  <si>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</si>
  <si>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</si>
  <si>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</si>
  <si>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</si>
  <si>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</si>
  <si>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</si>
  <si>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</si>
  <si>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</si>
  <si>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</si>
  <si>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</si>
  <si>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</si>
  <si>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</si>
  <si>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</si>
  <si>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</si>
  <si>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</si>
  <si>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</si>
  <si>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</si>
  <si>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</si>
  <si>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</si>
  <si>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</si>
  <si>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</si>
  <si>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</si>
  <si>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</si>
  <si>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</si>
  <si>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</si>
  <si>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</si>
  <si>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</si>
  <si>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</si>
  <si>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</si>
  <si>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</si>
  <si>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</si>
  <si>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</si>
  <si>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</si>
  <si>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</si>
  <si>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</si>
  <si>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</si>
  <si>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</si>
  <si>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</si>
  <si>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</si>
  <si>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</si>
  <si>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</si>
  <si>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</si>
  <si>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</si>
  <si>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</si>
  <si>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</si>
  <si>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</si>
  <si>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</si>
  <si>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</si>
  <si>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</si>
  <si>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</si>
  <si>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</si>
  <si>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</si>
  <si>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</si>
  <si>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</si>
  <si>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</si>
  <si>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</si>
  <si>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</si>
  <si>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</si>
  <si>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</si>
  <si>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</si>
  <si>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</si>
  <si>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</si>
  <si>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</si>
  <si>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</si>
  <si>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</si>
  <si>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</si>
  <si>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</si>
  <si>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</si>
  <si>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</si>
  <si>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</si>
  <si>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</si>
  <si>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</si>
  <si>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</si>
  <si>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</si>
  <si>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</si>
  <si>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</si>
  <si>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</si>
  <si>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</si>
  <si>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</si>
  <si>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</si>
  <si>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</si>
  <si>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</si>
  <si>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</si>
  <si>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</si>
  <si>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</si>
  <si>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</si>
  <si>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</si>
  <si>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</si>
  <si>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</si>
  <si>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</si>
  <si>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</si>
  <si>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</si>
  <si>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</si>
  <si>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</si>
  <si>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</si>
  <si>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</si>
  <si>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</si>
  <si>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</si>
  <si>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</si>
  <si>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</si>
  <si>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</si>
  <si>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</si>
  <si>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</si>
  <si>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</si>
  <si>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</si>
  <si>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</si>
  <si>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</si>
  <si>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</si>
  <si>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</si>
  <si>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</si>
  <si>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</si>
  <si>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</si>
  <si>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</si>
  <si>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</si>
  <si>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</si>
  <si>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</si>
  <si>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</si>
  <si>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</si>
  <si>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</si>
  <si>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</si>
  <si>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</si>
  <si>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</si>
  <si>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</si>
  <si>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</si>
  <si>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</si>
  <si>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</si>
  <si>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</si>
  <si>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</si>
  <si>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</si>
  <si>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</si>
  <si>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</si>
  <si>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</si>
  <si>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</si>
  <si>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</si>
  <si>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</si>
  <si>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</si>
  <si>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</si>
  <si>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</si>
  <si>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</si>
  <si>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</si>
  <si>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</si>
  <si>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</si>
  <si>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</si>
  <si>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</si>
  <si>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</si>
  <si>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</si>
  <si>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</si>
  <si>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</si>
  <si>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</si>
  <si>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</si>
  <si>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</si>
  <si>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</si>
  <si>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</si>
  <si>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</si>
  <si>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</si>
  <si>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</si>
  <si>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</si>
  <si>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</si>
  <si>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</si>
  <si>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</si>
  <si>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</si>
  <si>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</si>
  <si>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</si>
  <si>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</si>
  <si>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</si>
  <si>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</si>
  <si>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</si>
  <si>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</si>
  <si>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</si>
  <si>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</si>
  <si>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</si>
  <si>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</si>
  <si>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</si>
  <si>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</si>
  <si>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</si>
  <si>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</si>
  <si>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</si>
  <si>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</si>
  <si>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</si>
  <si>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</si>
  <si>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</si>
  <si>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</si>
  <si>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</si>
  <si>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</si>
  <si>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</si>
  <si>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</si>
  <si>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</si>
  <si>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</si>
  <si>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</si>
  <si>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</si>
  <si>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</si>
  <si>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</si>
  <si>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</si>
  <si>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</si>
  <si>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</si>
  <si>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</si>
  <si>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</si>
  <si>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</si>
  <si>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</si>
  <si>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</si>
  <si>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</si>
  <si>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</si>
  <si>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</si>
  <si>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</si>
  <si>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</si>
  <si>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</si>
  <si>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</si>
  <si>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</si>
  <si>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</si>
  <si>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</si>
  <si>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</si>
  <si>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</si>
  <si>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</si>
  <si>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</si>
  <si>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</si>
  <si>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</si>
  <si>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</si>
  <si>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</si>
  <si>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</si>
  <si>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</si>
  <si>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</si>
  <si>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</si>
  <si>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</si>
  <si>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</si>
  <si>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</si>
  <si>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</si>
  <si>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</si>
  <si>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</si>
  <si>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</si>
  <si>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</si>
  <si>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</si>
  <si>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</si>
  <si>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</si>
  <si>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</si>
  <si>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</si>
  <si>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</si>
  <si>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</si>
  <si>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</si>
  <si>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</si>
  <si>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</si>
  <si>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</si>
  <si>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</si>
  <si>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</si>
  <si>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</si>
  <si>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</si>
  <si>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</si>
  <si>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</si>
  <si>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</si>
  <si>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</si>
  <si>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</si>
  <si>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</si>
  <si>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</si>
  <si>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</si>
  <si>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</si>
  <si>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</si>
  <si>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</si>
  <si>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</si>
  <si>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</si>
  <si>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</si>
  <si>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</si>
  <si>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</si>
  <si>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</si>
  <si>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</si>
  <si>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</si>
  <si>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</si>
  <si>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</si>
  <si>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</si>
  <si>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</si>
  <si>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</si>
  <si>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</si>
  <si>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</si>
  <si>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</si>
  <si>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</si>
  <si>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</si>
  <si>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</si>
  <si>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</si>
  <si>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</si>
  <si>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</si>
  <si>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</si>
  <si>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</si>
  <si>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</si>
  <si>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</si>
  <si>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</si>
  <si>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</si>
  <si>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</si>
  <si>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</si>
  <si>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</si>
  <si>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</si>
  <si>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</si>
  <si>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</si>
  <si>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</si>
  <si>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</si>
  <si>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</si>
  <si>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</si>
  <si>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</si>
  <si>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</si>
  <si>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</si>
  <si>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</si>
  <si>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</si>
  <si>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</si>
  <si>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</si>
  <si>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</si>
  <si>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</si>
  <si>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</si>
  <si>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</si>
  <si>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</si>
  <si>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</si>
  <si>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</si>
  <si>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</si>
  <si>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</si>
  <si>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</si>
  <si>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</si>
  <si>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</si>
  <si>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</si>
  <si>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</si>
  <si>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</si>
  <si>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</si>
  <si>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</si>
  <si>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</si>
  <si>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</si>
  <si>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</si>
  <si>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</si>
  <si>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</si>
  <si>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</si>
  <si>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</si>
  <si>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</si>
  <si>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</si>
  <si>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</si>
  <si>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</si>
  <si>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</si>
  <si>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</si>
  <si>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</si>
  <si>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</si>
  <si>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</si>
  <si>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</si>
  <si>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</si>
  <si>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</si>
  <si>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</si>
  <si>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</si>
  <si>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</si>
  <si>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</si>
  <si>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</si>
  <si>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</si>
  <si>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</si>
  <si>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</si>
  <si>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</si>
  <si>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</si>
  <si>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</si>
  <si>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</si>
  <si>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</si>
  <si>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</si>
  <si>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</si>
  <si>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</si>
  <si>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</si>
  <si>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</si>
  <si>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</si>
  <si>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</si>
  <si>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</si>
  <si>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</si>
  <si>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</si>
  <si>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</si>
  <si>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</si>
  <si>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</si>
  <si>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</si>
  <si>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</si>
  <si>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</si>
  <si>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</si>
  <si>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</si>
  <si>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</si>
  <si>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</si>
  <si>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</si>
  <si>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</si>
  <si>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</si>
  <si>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</si>
  <si>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</si>
  <si>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</si>
  <si>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</si>
  <si>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</si>
  <si>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</si>
  <si>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</si>
  <si>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</si>
  <si>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</si>
  <si>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</si>
  <si>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</si>
  <si>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</si>
  <si>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</si>
  <si>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</si>
  <si>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</si>
  <si>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</si>
  <si>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</si>
  <si>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</si>
  <si>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</si>
  <si>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</si>
  <si>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</si>
  <si>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</si>
  <si>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</si>
  <si>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</si>
  <si>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</si>
  <si>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</si>
  <si>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</si>
  <si>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</si>
  <si>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</si>
  <si>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</si>
  <si>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</si>
  <si>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</si>
  <si>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</si>
  <si>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</si>
  <si>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</si>
  <si>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</si>
  <si>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</si>
  <si>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</si>
  <si>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</si>
  <si>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</si>
  <si>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</si>
  <si>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</si>
  <si>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</si>
  <si>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</si>
  <si>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</si>
  <si>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</si>
  <si>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</si>
  <si>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</si>
  <si>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</si>
  <si>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</si>
  <si>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</si>
  <si>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</si>
  <si>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</si>
  <si>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</si>
  <si>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</si>
  <si>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</si>
  <si>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</si>
  <si>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</si>
  <si>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</si>
  <si>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</si>
  <si>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</si>
  <si>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</si>
  <si>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</si>
  <si>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</si>
  <si>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</si>
  <si>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</si>
  <si>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</si>
  <si>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</si>
  <si>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</si>
  <si>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</si>
  <si>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</si>
  <si>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</si>
  <si>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</si>
  <si>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</si>
  <si>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</si>
  <si>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</si>
  <si>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</si>
  <si>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</si>
  <si>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</si>
  <si>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</si>
  <si>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</si>
  <si>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</si>
  <si>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</si>
  <si>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</si>
  <si>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</si>
  <si>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</si>
  <si>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</si>
  <si>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</si>
  <si>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</si>
  <si>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</si>
  <si>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</si>
  <si>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</si>
  <si>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</si>
  <si>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</si>
  <si>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</si>
  <si>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</si>
  <si>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</si>
  <si>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</si>
  <si>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</si>
  <si>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</si>
  <si>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</si>
  <si>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</si>
  <si>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</si>
  <si>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</si>
  <si>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</si>
  <si>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</si>
  <si>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</si>
  <si>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</si>
  <si>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</si>
  <si>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</si>
  <si>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</si>
  <si>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</si>
  <si>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</si>
  <si>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</si>
  <si>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</si>
  <si>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</si>
  <si>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</si>
  <si>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</si>
  <si>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</si>
  <si>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</si>
  <si>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</si>
  <si>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</si>
  <si>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</si>
  <si>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</si>
  <si>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</si>
  <si>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</si>
  <si>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</si>
  <si>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</si>
  <si>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</si>
  <si>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</si>
  <si>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</si>
  <si>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</si>
  <si>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</si>
  <si>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Wipfli LLP</t>
  </si>
  <si>
    <t>IL</t>
  </si>
  <si>
    <t>066-004023</t>
  </si>
  <si>
    <t>X</t>
  </si>
  <si>
    <t>Ogle-Lee-DeKalb</t>
  </si>
  <si>
    <t>Rochelle Twp HSD 212</t>
  </si>
  <si>
    <t>1401 Flagg Road</t>
  </si>
  <si>
    <t>Rochelle</t>
  </si>
  <si>
    <t>Jason Harper</t>
  </si>
  <si>
    <t>jharper@rthsd212.org</t>
  </si>
  <si>
    <t>815-562-4161</t>
  </si>
  <si>
    <t>x</t>
  </si>
  <si>
    <t>GO School Bonds, Series 2015A</t>
  </si>
  <si>
    <t>GO Refunding School Bonds, Series 2015B</t>
  </si>
  <si>
    <t>GO Refunding School Bonds, Series 2012</t>
  </si>
  <si>
    <t>N/A</t>
  </si>
  <si>
    <t>Kishwaukee Education Consortium</t>
  </si>
  <si>
    <t>Ogle County Education Cooperative</t>
  </si>
  <si>
    <t>Rory Sohn</t>
  </si>
  <si>
    <t>215 East First Street, Suite 200</t>
  </si>
  <si>
    <t>Dixon</t>
  </si>
  <si>
    <t>815-284-3331</t>
  </si>
  <si>
    <t>815-284-9480</t>
  </si>
  <si>
    <t>Education Fund - Revenue code 1690-Other Food Sales - All food revenue of $442,119</t>
  </si>
  <si>
    <t>Edcuation Fund - Expense code 2900-Other  Support Services - At risk Interventionist salary of $20,250.</t>
  </si>
  <si>
    <t>O &amp; M Fund - Revenue code 1993 - Parking Fees of $13,867.</t>
  </si>
  <si>
    <t>Education Fund - Revenue code 1999-Other Income - Miscellaneous receipts of $48,343.</t>
  </si>
  <si>
    <t>O &amp; M Fund - Revenue code 1999-Other Local Revenues - Miscellaneous receipts of $27,642.</t>
  </si>
  <si>
    <t>IMRF/Social Security Fund - Expense code 2900-Other support services employee benefits - At-risk interventionist employee expense of $294.</t>
  </si>
  <si>
    <t>Education Fund - Revenue code 4190-Other Payments to In-State Govt. Units - Other governmental revenue $70,186.</t>
  </si>
  <si>
    <t>23. Qualified for General Fixed Asset Account Group not maintaining historical cost information and adverse for not adopting GASB 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</si>
</sst>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1231</xdr:colOff>
      <xdr:row>48</xdr:row>
      <xdr:rowOff>114300</xdr:rowOff>
    </xdr:to>
    <xdr:pic>
      <xdr:nvPicPr>
        <xdr:cNvPr id="3" name="Picture 2">
          <a:extLst>
            <a:ext uri="{FF2B5EF4-FFF2-40B4-BE49-F238E27FC236}">
              <a16:creationId xmlns:a16="http://schemas.microsoft.com/office/drawing/2014/main" id="{1079A111-FA33-49B0-A9E9-7902F4B383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97231" cy="78866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276225</xdr:colOff>
          <xdr:row>2</xdr:row>
          <xdr:rowOff>28575</xdr:rowOff>
        </xdr:from>
        <xdr:to>
          <xdr:col>1</xdr:col>
          <xdr:colOff>1190625</xdr:colOff>
          <xdr:row>6</xdr:row>
          <xdr:rowOff>28575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pageSetUpPr fitToPage="1"/>
  </sheetPr>
  <dimension ref="A1:AB48"/>
  <sheetViews>
    <sheetView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2" t="s">
        <v>405</v>
      </c>
      <c r="J1" s="1983"/>
      <c r="K1" s="1983"/>
      <c r="L1" s="1983"/>
      <c r="M1" s="1983"/>
      <c r="N1" s="1983"/>
      <c r="O1" s="1983"/>
      <c r="P1" s="1983"/>
      <c r="Q1" s="1983"/>
      <c r="R1" s="1983"/>
      <c r="S1" s="1983"/>
    </row>
    <row r="2" spans="1:28" ht="12" customHeight="1" x14ac:dyDescent="0.2">
      <c r="A2" s="47" t="s">
        <v>1993</v>
      </c>
      <c r="D2" s="48"/>
      <c r="I2" s="1984" t="s">
        <v>979</v>
      </c>
      <c r="J2" s="1983"/>
      <c r="K2" s="1983"/>
      <c r="L2" s="1983"/>
      <c r="M2" s="1983"/>
      <c r="N2" s="1983"/>
      <c r="O2" s="1983"/>
      <c r="P2" s="1983"/>
      <c r="Q2" s="1983"/>
      <c r="R2" s="1983"/>
      <c r="S2" s="1983"/>
    </row>
    <row r="3" spans="1:28" ht="12" customHeight="1" x14ac:dyDescent="0.2">
      <c r="A3" s="155" t="s">
        <v>1945</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t="s">
        <v>2067</v>
      </c>
      <c r="C5" s="26" t="s">
        <v>910</v>
      </c>
      <c r="D5" s="84"/>
      <c r="E5" s="84"/>
      <c r="H5" s="38"/>
      <c r="I5" s="1992" t="s">
        <v>680</v>
      </c>
      <c r="J5" s="1991"/>
      <c r="K5" s="1991"/>
      <c r="L5" s="1991"/>
      <c r="M5" s="1991"/>
      <c r="N5" s="1991"/>
      <c r="O5" s="1991"/>
      <c r="P5" s="1991"/>
      <c r="Q5" s="1991"/>
      <c r="R5" s="1991"/>
      <c r="S5" s="1991"/>
    </row>
    <row r="6" spans="1:28" ht="14.1" customHeight="1" x14ac:dyDescent="0.2">
      <c r="B6" s="104"/>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t="s">
        <v>2067</v>
      </c>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7">
        <v>47071212017</v>
      </c>
      <c r="B13" s="2018"/>
      <c r="C13" s="2018"/>
      <c r="D13" s="2018"/>
      <c r="E13" s="2018"/>
      <c r="F13" s="2018"/>
      <c r="G13" s="2018"/>
      <c r="H13" s="2019"/>
      <c r="I13" s="31"/>
      <c r="J13" s="30"/>
      <c r="K13" s="28"/>
      <c r="L13" s="30"/>
      <c r="M13" s="30"/>
      <c r="N13" s="30"/>
      <c r="O13" s="30"/>
      <c r="P13" s="30"/>
      <c r="Q13" s="30"/>
      <c r="R13" s="30"/>
      <c r="S13" s="30"/>
      <c r="T13" s="2022" t="s">
        <v>2064</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2068</v>
      </c>
      <c r="B15" s="2020"/>
      <c r="C15" s="2020"/>
      <c r="D15" s="2020"/>
      <c r="E15" s="2020"/>
      <c r="F15" s="2020"/>
      <c r="G15" s="2020"/>
      <c r="H15" s="2021"/>
      <c r="T15" s="2026" t="s">
        <v>2082</v>
      </c>
      <c r="U15" s="1970"/>
      <c r="V15" s="1970"/>
      <c r="W15" s="1970"/>
      <c r="X15" s="1970"/>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2069</v>
      </c>
      <c r="B17" s="1977"/>
      <c r="C17" s="1977"/>
      <c r="D17" s="1977"/>
      <c r="E17" s="1977"/>
      <c r="F17" s="1977"/>
      <c r="G17" s="1977"/>
      <c r="H17" s="2002"/>
      <c r="T17" s="2033" t="s">
        <v>2083</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6" t="s">
        <v>2070</v>
      </c>
      <c r="B19" s="1962"/>
      <c r="C19" s="1962"/>
      <c r="D19" s="1962"/>
      <c r="E19" s="1962"/>
      <c r="F19" s="1962"/>
      <c r="G19" s="1962"/>
      <c r="H19" s="1942"/>
      <c r="I19" s="30"/>
      <c r="J19" s="99"/>
      <c r="K19" s="40"/>
      <c r="L19" s="38"/>
      <c r="M19" s="112" t="s">
        <v>315</v>
      </c>
      <c r="P19" s="27"/>
      <c r="Q19" s="27"/>
      <c r="R19" s="27"/>
      <c r="S19" s="31"/>
      <c r="T19" s="2016" t="s">
        <v>2084</v>
      </c>
      <c r="U19" s="1941"/>
      <c r="V19" s="1941"/>
      <c r="W19" s="1942"/>
      <c r="X19" s="2031" t="s">
        <v>2065</v>
      </c>
      <c r="Y19" s="2032"/>
      <c r="Z19" s="2029">
        <v>61021</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2071</v>
      </c>
      <c r="B21" s="1941"/>
      <c r="C21" s="1941"/>
      <c r="D21" s="1941"/>
      <c r="E21" s="1941"/>
      <c r="F21" s="1941"/>
      <c r="G21" s="1941"/>
      <c r="H21" s="1942"/>
      <c r="I21" s="1996" t="s">
        <v>678</v>
      </c>
      <c r="J21" s="1991"/>
      <c r="K21" s="1991"/>
      <c r="L21" s="1991"/>
      <c r="M21" s="1991"/>
      <c r="N21" s="1991"/>
      <c r="O21" s="1991"/>
      <c r="P21" s="1991"/>
      <c r="Q21" s="1991"/>
      <c r="R21" s="1991"/>
      <c r="S21" s="1997"/>
      <c r="T21" s="2040" t="s">
        <v>2085</v>
      </c>
      <c r="U21" s="2041"/>
      <c r="V21" s="2041"/>
      <c r="W21" s="2041"/>
      <c r="X21" s="2046" t="s">
        <v>2086</v>
      </c>
      <c r="Y21" s="2047"/>
      <c r="Z21" s="2047"/>
      <c r="AA21" s="2048"/>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c r="B23" s="1994"/>
      <c r="C23" s="1994"/>
      <c r="D23" s="1994"/>
      <c r="E23" s="1994"/>
      <c r="F23" s="1994"/>
      <c r="G23" s="1994"/>
      <c r="H23" s="1995"/>
      <c r="T23" s="1976" t="s">
        <v>2066</v>
      </c>
      <c r="U23" s="2039"/>
      <c r="V23" s="2039"/>
      <c r="W23" s="2039"/>
      <c r="X23" s="2043">
        <v>44530</v>
      </c>
      <c r="Y23" s="2044"/>
      <c r="Z23" s="2044"/>
      <c r="AA23" s="2045"/>
    </row>
    <row r="24" spans="1:27" ht="14.1" customHeight="1" x14ac:dyDescent="0.2">
      <c r="A24" s="88" t="s">
        <v>677</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0">
        <v>61068</v>
      </c>
      <c r="B25" s="1941"/>
      <c r="C25" s="1941"/>
      <c r="D25" s="1941"/>
      <c r="E25" s="1941"/>
      <c r="F25" s="1941"/>
      <c r="G25" s="1941"/>
      <c r="H25" s="1942"/>
      <c r="I25" s="113"/>
      <c r="J25" s="1965"/>
      <c r="K25" s="1965"/>
      <c r="L25" s="1965"/>
      <c r="M25" s="1965"/>
      <c r="N25" s="1965"/>
      <c r="O25" s="1965"/>
      <c r="P25" s="1965"/>
      <c r="Q25" s="1965"/>
      <c r="R25" s="1965"/>
      <c r="S25" s="1966"/>
      <c r="T25" s="2036"/>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2067</v>
      </c>
      <c r="C29" s="124" t="s">
        <v>820</v>
      </c>
      <c r="D29" s="114"/>
      <c r="E29" s="136"/>
      <c r="F29" s="141" t="s">
        <v>1316</v>
      </c>
      <c r="G29" s="114"/>
      <c r="I29" s="54"/>
      <c r="J29" s="102"/>
      <c r="K29" s="28" t="s">
        <v>576</v>
      </c>
      <c r="L29" s="148" t="s">
        <v>2067</v>
      </c>
      <c r="M29" s="40" t="s">
        <v>99</v>
      </c>
      <c r="N29" s="32" t="s">
        <v>1523</v>
      </c>
      <c r="O29" s="32"/>
      <c r="P29" s="32"/>
      <c r="Q29" s="32"/>
      <c r="R29" s="32"/>
      <c r="S29" s="123"/>
      <c r="T29" s="6"/>
      <c r="U29" s="6"/>
      <c r="V29" s="6"/>
      <c r="W29" s="6"/>
      <c r="X29" s="6"/>
      <c r="Y29" s="6"/>
      <c r="Z29" s="6"/>
      <c r="AA29" s="132"/>
    </row>
    <row r="30" spans="1:27" ht="13.5" customHeight="1" x14ac:dyDescent="0.2">
      <c r="A30" s="153"/>
      <c r="B30" s="136" t="s">
        <v>2067</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t="s">
        <v>2072</v>
      </c>
      <c r="B38" s="1977"/>
      <c r="C38" s="1977"/>
      <c r="D38" s="1977"/>
      <c r="E38" s="1977"/>
      <c r="F38" s="1941"/>
      <c r="G38" s="1941"/>
      <c r="H38" s="1942"/>
      <c r="I38" s="1969"/>
      <c r="J38" s="1970"/>
      <c r="K38" s="1970"/>
      <c r="L38" s="1970"/>
      <c r="M38" s="1970"/>
      <c r="N38" s="1970"/>
      <c r="O38" s="1970"/>
      <c r="P38" s="1971"/>
      <c r="Q38" s="1971"/>
      <c r="R38" s="1971"/>
      <c r="S38" s="1972"/>
      <c r="T38" s="2026"/>
      <c r="U38" s="1970"/>
      <c r="V38" s="1970"/>
      <c r="W38" s="1970"/>
      <c r="X38" s="1971"/>
      <c r="Y38" s="1971"/>
      <c r="Z38" s="1971"/>
      <c r="AA38" s="1972"/>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t="s">
        <v>2073</v>
      </c>
      <c r="B40" s="1955"/>
      <c r="C40" s="1956"/>
      <c r="D40" s="1956"/>
      <c r="E40" s="1956"/>
      <c r="F40" s="1957"/>
      <c r="G40" s="1957"/>
      <c r="H40" s="1958"/>
      <c r="I40" s="1979"/>
      <c r="J40" s="1980"/>
      <c r="K40" s="1980"/>
      <c r="L40" s="1980"/>
      <c r="M40" s="1980"/>
      <c r="N40" s="1980"/>
      <c r="O40" s="1980"/>
      <c r="P40" s="1980"/>
      <c r="Q40" s="1980"/>
      <c r="R40" s="1980"/>
      <c r="S40" s="1981"/>
      <c r="T40" s="1979"/>
      <c r="U40" s="2042"/>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t="s">
        <v>2074</v>
      </c>
      <c r="B42" s="1960"/>
      <c r="C42" s="1961"/>
      <c r="D42" s="1959"/>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&amp;F&amp;C6</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view="pageLayout" topLeftCell="A51" zoomScaleNormal="100" zoomScaleSheetLayoutView="76" workbookViewId="0">
      <selection activeCell="F15" sqref="F1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3206280</v>
      </c>
      <c r="D5" s="466">
        <v>995560</v>
      </c>
      <c r="E5" s="466">
        <v>2823</v>
      </c>
      <c r="F5" s="466">
        <v>99646</v>
      </c>
      <c r="G5" s="466">
        <v>47677</v>
      </c>
      <c r="H5" s="466">
        <v>39247</v>
      </c>
      <c r="I5" s="467"/>
      <c r="J5" s="467"/>
      <c r="K5" s="1671">
        <f>SUM(C5:J5)</f>
        <v>4391233</v>
      </c>
      <c r="L5" s="466">
        <v>4313961</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334072</v>
      </c>
      <c r="D8" s="466">
        <v>84820</v>
      </c>
      <c r="E8" s="466"/>
      <c r="F8" s="466">
        <v>4245</v>
      </c>
      <c r="G8" s="466"/>
      <c r="H8" s="466"/>
      <c r="I8" s="467"/>
      <c r="J8" s="467"/>
      <c r="K8" s="1671">
        <f t="shared" si="0"/>
        <v>423137</v>
      </c>
      <c r="L8" s="466">
        <v>706780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v>20788</v>
      </c>
      <c r="E10" s="466">
        <v>6250</v>
      </c>
      <c r="F10" s="466">
        <v>4104</v>
      </c>
      <c r="G10" s="466">
        <v>80716</v>
      </c>
      <c r="H10" s="466"/>
      <c r="I10" s="467"/>
      <c r="J10" s="467"/>
      <c r="K10" s="1671">
        <f t="shared" si="0"/>
        <v>111858</v>
      </c>
      <c r="L10" s="466">
        <v>161661</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400673</v>
      </c>
      <c r="D14" s="466">
        <v>68178</v>
      </c>
      <c r="E14" s="466">
        <v>68422</v>
      </c>
      <c r="F14" s="466">
        <v>52141</v>
      </c>
      <c r="G14" s="466"/>
      <c r="H14" s="466">
        <v>39381</v>
      </c>
      <c r="I14" s="467"/>
      <c r="J14" s="467"/>
      <c r="K14" s="1671">
        <f t="shared" si="0"/>
        <v>628795</v>
      </c>
      <c r="L14" s="466">
        <v>671190</v>
      </c>
    </row>
    <row r="15" spans="1:14" x14ac:dyDescent="0.2">
      <c r="A15" s="1504" t="s">
        <v>964</v>
      </c>
      <c r="B15" s="614">
        <v>1600</v>
      </c>
      <c r="C15" s="466"/>
      <c r="D15" s="466">
        <v>1213</v>
      </c>
      <c r="E15" s="466">
        <v>22697</v>
      </c>
      <c r="F15" s="466"/>
      <c r="G15" s="466"/>
      <c r="H15" s="466"/>
      <c r="I15" s="467"/>
      <c r="J15" s="467"/>
      <c r="K15" s="1671">
        <f t="shared" si="0"/>
        <v>23910</v>
      </c>
      <c r="L15" s="466">
        <v>55300</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74263</v>
      </c>
      <c r="D17" s="467">
        <v>18365</v>
      </c>
      <c r="E17" s="467">
        <v>1815</v>
      </c>
      <c r="F17" s="467">
        <v>4543</v>
      </c>
      <c r="G17" s="467"/>
      <c r="H17" s="467"/>
      <c r="I17" s="467"/>
      <c r="J17" s="467"/>
      <c r="K17" s="1671">
        <f t="shared" si="0"/>
        <v>98986</v>
      </c>
      <c r="L17" s="466">
        <v>118750</v>
      </c>
    </row>
    <row r="18" spans="1:12" x14ac:dyDescent="0.2">
      <c r="A18" s="1504" t="s">
        <v>1087</v>
      </c>
      <c r="B18" s="614">
        <v>1800</v>
      </c>
      <c r="C18" s="466"/>
      <c r="D18" s="466"/>
      <c r="E18" s="466"/>
      <c r="F18" s="466"/>
      <c r="G18" s="466"/>
      <c r="H18" s="466"/>
      <c r="I18" s="467"/>
      <c r="J18" s="467"/>
      <c r="K18" s="1671">
        <f t="shared" si="0"/>
        <v>0</v>
      </c>
      <c r="L18" s="466">
        <v>250</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4015288</v>
      </c>
      <c r="D33" s="1670">
        <f t="shared" ref="D33:L33" si="1">SUM(D5:D32)</f>
        <v>1188924</v>
      </c>
      <c r="E33" s="1670">
        <f t="shared" si="1"/>
        <v>102007</v>
      </c>
      <c r="F33" s="1670">
        <f t="shared" si="1"/>
        <v>164679</v>
      </c>
      <c r="G33" s="1670">
        <f t="shared" si="1"/>
        <v>128393</v>
      </c>
      <c r="H33" s="1670">
        <f t="shared" si="1"/>
        <v>78628</v>
      </c>
      <c r="I33" s="1670">
        <f t="shared" si="1"/>
        <v>0</v>
      </c>
      <c r="J33" s="1670">
        <f t="shared" si="1"/>
        <v>0</v>
      </c>
      <c r="K33" s="1670">
        <f t="shared" si="1"/>
        <v>5677919</v>
      </c>
      <c r="L33" s="1670">
        <f t="shared" si="1"/>
        <v>6027892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v>8549</v>
      </c>
      <c r="F36" s="481">
        <v>5851</v>
      </c>
      <c r="G36" s="481"/>
      <c r="H36" s="481"/>
      <c r="I36" s="467"/>
      <c r="J36" s="467"/>
      <c r="K36" s="1671">
        <f t="shared" ref="K36:K41" si="2">SUM(C36:J36)</f>
        <v>14400</v>
      </c>
      <c r="L36" s="466">
        <v>21700</v>
      </c>
    </row>
    <row r="37" spans="1:14" x14ac:dyDescent="0.2">
      <c r="A37" s="1504" t="s">
        <v>1090</v>
      </c>
      <c r="B37" s="614">
        <v>2120</v>
      </c>
      <c r="C37" s="466">
        <v>250809</v>
      </c>
      <c r="D37" s="466">
        <v>71172</v>
      </c>
      <c r="E37" s="466"/>
      <c r="F37" s="466">
        <v>772</v>
      </c>
      <c r="G37" s="466"/>
      <c r="H37" s="466"/>
      <c r="I37" s="467"/>
      <c r="J37" s="467"/>
      <c r="K37" s="1671">
        <f t="shared" si="2"/>
        <v>322753</v>
      </c>
      <c r="L37" s="466">
        <v>401095</v>
      </c>
    </row>
    <row r="38" spans="1:14" x14ac:dyDescent="0.2">
      <c r="A38" s="1504" t="s">
        <v>198</v>
      </c>
      <c r="B38" s="614">
        <v>2130</v>
      </c>
      <c r="C38" s="466"/>
      <c r="D38" s="466"/>
      <c r="E38" s="466">
        <v>1624</v>
      </c>
      <c r="F38" s="466"/>
      <c r="G38" s="466"/>
      <c r="H38" s="466"/>
      <c r="I38" s="467"/>
      <c r="J38" s="467"/>
      <c r="K38" s="1671">
        <f t="shared" si="2"/>
        <v>1624</v>
      </c>
      <c r="L38" s="466">
        <v>40250</v>
      </c>
    </row>
    <row r="39" spans="1:14" x14ac:dyDescent="0.2">
      <c r="A39" s="1504" t="s">
        <v>199</v>
      </c>
      <c r="B39" s="614">
        <v>2140</v>
      </c>
      <c r="C39" s="466"/>
      <c r="D39" s="466"/>
      <c r="E39" s="466"/>
      <c r="F39" s="466"/>
      <c r="G39" s="466"/>
      <c r="H39" s="466"/>
      <c r="I39" s="467"/>
      <c r="J39" s="467"/>
      <c r="K39" s="1671">
        <f t="shared" si="2"/>
        <v>0</v>
      </c>
      <c r="L39" s="466">
        <v>19500</v>
      </c>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250809</v>
      </c>
      <c r="D42" s="1670">
        <f t="shared" ref="D42:L42" si="3">SUM(D36:D41)</f>
        <v>71172</v>
      </c>
      <c r="E42" s="1670">
        <f t="shared" si="3"/>
        <v>10173</v>
      </c>
      <c r="F42" s="1670">
        <f t="shared" si="3"/>
        <v>6623</v>
      </c>
      <c r="G42" s="1670">
        <f t="shared" si="3"/>
        <v>0</v>
      </c>
      <c r="H42" s="1670">
        <f t="shared" si="3"/>
        <v>0</v>
      </c>
      <c r="I42" s="1670">
        <f t="shared" si="3"/>
        <v>0</v>
      </c>
      <c r="J42" s="1670">
        <f t="shared" si="3"/>
        <v>0</v>
      </c>
      <c r="K42" s="1670">
        <f t="shared" si="3"/>
        <v>338777</v>
      </c>
      <c r="L42" s="1670">
        <f t="shared" si="3"/>
        <v>482545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14305</v>
      </c>
      <c r="F44" s="481"/>
      <c r="G44" s="481"/>
      <c r="H44" s="481"/>
      <c r="I44" s="467"/>
      <c r="J44" s="467"/>
      <c r="K44" s="1672">
        <f>SUM(C44:J44)</f>
        <v>14305</v>
      </c>
      <c r="L44" s="481">
        <v>4200</v>
      </c>
    </row>
    <row r="45" spans="1:14" x14ac:dyDescent="0.2">
      <c r="A45" s="1504" t="s">
        <v>815</v>
      </c>
      <c r="B45" s="614">
        <v>2220</v>
      </c>
      <c r="C45" s="466">
        <v>94638</v>
      </c>
      <c r="D45" s="466">
        <v>27716</v>
      </c>
      <c r="E45" s="466"/>
      <c r="F45" s="466">
        <v>19999</v>
      </c>
      <c r="G45" s="466">
        <v>720</v>
      </c>
      <c r="H45" s="466">
        <v>238</v>
      </c>
      <c r="I45" s="467"/>
      <c r="J45" s="467"/>
      <c r="K45" s="1672">
        <f>SUM(C45:J45)</f>
        <v>143311</v>
      </c>
      <c r="L45" s="466">
        <v>172990</v>
      </c>
    </row>
    <row r="46" spans="1:14" x14ac:dyDescent="0.2">
      <c r="A46" s="1504" t="s">
        <v>816</v>
      </c>
      <c r="B46" s="614">
        <v>2230</v>
      </c>
      <c r="C46" s="466"/>
      <c r="D46" s="466"/>
      <c r="E46" s="466"/>
      <c r="F46" s="466"/>
      <c r="G46" s="466"/>
      <c r="H46" s="466"/>
      <c r="I46" s="467"/>
      <c r="J46" s="467"/>
      <c r="K46" s="1672">
        <f>SUM(C46:J46)</f>
        <v>0</v>
      </c>
      <c r="L46" s="466">
        <v>21561</v>
      </c>
    </row>
    <row r="47" spans="1:14" ht="12.75" customHeight="1" thickBot="1" x14ac:dyDescent="0.25">
      <c r="A47" s="1668" t="s">
        <v>561</v>
      </c>
      <c r="B47" s="1669" t="s">
        <v>32</v>
      </c>
      <c r="C47" s="1670">
        <f>SUM(C44:C46)</f>
        <v>94638</v>
      </c>
      <c r="D47" s="1670">
        <f t="shared" ref="D47:K47" si="4">SUM(D44:D46)</f>
        <v>27716</v>
      </c>
      <c r="E47" s="1670">
        <f t="shared" si="4"/>
        <v>14305</v>
      </c>
      <c r="F47" s="1670">
        <f t="shared" si="4"/>
        <v>19999</v>
      </c>
      <c r="G47" s="1670">
        <f t="shared" si="4"/>
        <v>720</v>
      </c>
      <c r="H47" s="1670">
        <f t="shared" si="4"/>
        <v>238</v>
      </c>
      <c r="I47" s="1670">
        <f t="shared" si="4"/>
        <v>0</v>
      </c>
      <c r="J47" s="1670">
        <f t="shared" si="4"/>
        <v>0</v>
      </c>
      <c r="K47" s="1670">
        <f t="shared" si="4"/>
        <v>157616</v>
      </c>
      <c r="L47" s="1670">
        <f>SUM(L44:L46)</f>
        <v>198751</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74023</v>
      </c>
      <c r="F49" s="481"/>
      <c r="G49" s="481"/>
      <c r="H49" s="481">
        <v>11548</v>
      </c>
      <c r="I49" s="467"/>
      <c r="J49" s="467"/>
      <c r="K49" s="1672">
        <f>SUM(C49:J49)</f>
        <v>85571</v>
      </c>
      <c r="L49" s="481">
        <v>81200</v>
      </c>
    </row>
    <row r="50" spans="1:14" x14ac:dyDescent="0.2">
      <c r="A50" s="1504" t="s">
        <v>818</v>
      </c>
      <c r="B50" s="614">
        <v>2320</v>
      </c>
      <c r="C50" s="466">
        <v>305142</v>
      </c>
      <c r="D50" s="466">
        <v>66233</v>
      </c>
      <c r="E50" s="466">
        <v>53609</v>
      </c>
      <c r="F50" s="466"/>
      <c r="G50" s="466"/>
      <c r="H50" s="466">
        <v>4779</v>
      </c>
      <c r="I50" s="467"/>
      <c r="J50" s="467"/>
      <c r="K50" s="1672">
        <f>SUM(C50:J50)</f>
        <v>429763</v>
      </c>
      <c r="L50" s="466">
        <v>492256</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v>38339</v>
      </c>
      <c r="E52" s="474"/>
      <c r="F52" s="474"/>
      <c r="G52" s="474"/>
      <c r="H52" s="474"/>
      <c r="I52" s="474"/>
      <c r="J52" s="474"/>
      <c r="K52" s="1672">
        <f>SUM(C52:J52)</f>
        <v>38339</v>
      </c>
      <c r="L52" s="474"/>
    </row>
    <row r="53" spans="1:14" ht="12.75" customHeight="1" thickBot="1" x14ac:dyDescent="0.25">
      <c r="A53" s="1668" t="s">
        <v>717</v>
      </c>
      <c r="B53" s="1669" t="s">
        <v>33</v>
      </c>
      <c r="C53" s="1670">
        <f>SUM(C49:C52)</f>
        <v>305142</v>
      </c>
      <c r="D53" s="1670">
        <f t="shared" ref="D53:L53" si="5">SUM(D49:D52)</f>
        <v>104572</v>
      </c>
      <c r="E53" s="1670">
        <f t="shared" si="5"/>
        <v>127632</v>
      </c>
      <c r="F53" s="1670">
        <f t="shared" si="5"/>
        <v>0</v>
      </c>
      <c r="G53" s="1670">
        <f t="shared" si="5"/>
        <v>0</v>
      </c>
      <c r="H53" s="1670">
        <f t="shared" si="5"/>
        <v>16327</v>
      </c>
      <c r="I53" s="1670">
        <f t="shared" si="5"/>
        <v>0</v>
      </c>
      <c r="J53" s="1670">
        <f t="shared" si="5"/>
        <v>0</v>
      </c>
      <c r="K53" s="1670">
        <f t="shared" si="5"/>
        <v>553673</v>
      </c>
      <c r="L53" s="1670">
        <f t="shared" si="5"/>
        <v>573456</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266408</v>
      </c>
      <c r="D55" s="481">
        <v>83593</v>
      </c>
      <c r="E55" s="481">
        <v>3292</v>
      </c>
      <c r="F55" s="481">
        <v>583</v>
      </c>
      <c r="G55" s="481"/>
      <c r="H55" s="481">
        <v>9459</v>
      </c>
      <c r="I55" s="467"/>
      <c r="J55" s="467"/>
      <c r="K55" s="1672">
        <f>SUM(C55:J55)</f>
        <v>363335</v>
      </c>
      <c r="L55" s="481">
        <v>470094</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266408</v>
      </c>
      <c r="D57" s="1674">
        <f t="shared" ref="D57:K57" si="6">SUM(D55:D56)</f>
        <v>83593</v>
      </c>
      <c r="E57" s="1674">
        <f t="shared" si="6"/>
        <v>3292</v>
      </c>
      <c r="F57" s="1674">
        <f t="shared" si="6"/>
        <v>583</v>
      </c>
      <c r="G57" s="1674">
        <f t="shared" si="6"/>
        <v>0</v>
      </c>
      <c r="H57" s="1674">
        <f t="shared" si="6"/>
        <v>9459</v>
      </c>
      <c r="I57" s="1674">
        <f t="shared" si="6"/>
        <v>0</v>
      </c>
      <c r="J57" s="1674">
        <f t="shared" si="6"/>
        <v>0</v>
      </c>
      <c r="K57" s="1674">
        <f t="shared" si="6"/>
        <v>363335</v>
      </c>
      <c r="L57" s="1670">
        <f>SUM(L55:L56)</f>
        <v>470094</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242595</v>
      </c>
      <c r="D60" s="466">
        <v>60641</v>
      </c>
      <c r="E60" s="466">
        <v>32944</v>
      </c>
      <c r="F60" s="466">
        <v>160</v>
      </c>
      <c r="G60" s="466"/>
      <c r="H60" s="466">
        <v>2929</v>
      </c>
      <c r="I60" s="467"/>
      <c r="J60" s="467"/>
      <c r="K60" s="1672">
        <f t="shared" si="7"/>
        <v>339269</v>
      </c>
      <c r="L60" s="466">
        <v>394035</v>
      </c>
      <c r="M60" s="609"/>
      <c r="N60" s="609"/>
    </row>
    <row r="61" spans="1:14" s="343" customFormat="1" x14ac:dyDescent="0.2">
      <c r="A61" s="1504" t="s">
        <v>197</v>
      </c>
      <c r="B61" s="614">
        <v>2540</v>
      </c>
      <c r="C61" s="466"/>
      <c r="D61" s="466"/>
      <c r="E61" s="466">
        <v>111685</v>
      </c>
      <c r="F61" s="466"/>
      <c r="G61" s="466"/>
      <c r="H61" s="466"/>
      <c r="I61" s="467"/>
      <c r="J61" s="467"/>
      <c r="K61" s="1672">
        <f t="shared" si="7"/>
        <v>111685</v>
      </c>
      <c r="L61" s="466">
        <v>101000</v>
      </c>
      <c r="M61" s="609"/>
      <c r="N61" s="609"/>
    </row>
    <row r="62" spans="1:14" s="343" customFormat="1" x14ac:dyDescent="0.2">
      <c r="A62" s="1504" t="s">
        <v>953</v>
      </c>
      <c r="B62" s="614">
        <v>2550</v>
      </c>
      <c r="C62" s="466"/>
      <c r="D62" s="466">
        <v>47</v>
      </c>
      <c r="E62" s="466"/>
      <c r="F62" s="466"/>
      <c r="G62" s="466"/>
      <c r="H62" s="466"/>
      <c r="I62" s="467"/>
      <c r="J62" s="467"/>
      <c r="K62" s="1672">
        <f t="shared" si="7"/>
        <v>47</v>
      </c>
      <c r="L62" s="466">
        <v>4250</v>
      </c>
      <c r="M62" s="609"/>
      <c r="N62" s="609"/>
    </row>
    <row r="63" spans="1:14" s="609" customFormat="1" x14ac:dyDescent="0.2">
      <c r="A63" s="1504" t="s">
        <v>100</v>
      </c>
      <c r="B63" s="614">
        <v>2560</v>
      </c>
      <c r="C63" s="466">
        <v>407493</v>
      </c>
      <c r="D63" s="466">
        <v>9397</v>
      </c>
      <c r="E63" s="466"/>
      <c r="F63" s="466"/>
      <c r="G63" s="466">
        <v>254</v>
      </c>
      <c r="H63" s="466"/>
      <c r="I63" s="467"/>
      <c r="J63" s="467"/>
      <c r="K63" s="1672">
        <f t="shared" si="7"/>
        <v>417144</v>
      </c>
      <c r="L63" s="466">
        <v>427000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650088</v>
      </c>
      <c r="D65" s="1670">
        <f t="shared" ref="D65:L65" si="8">SUM(D59:D64)</f>
        <v>70085</v>
      </c>
      <c r="E65" s="1670">
        <f t="shared" si="8"/>
        <v>144629</v>
      </c>
      <c r="F65" s="1670">
        <f t="shared" si="8"/>
        <v>160</v>
      </c>
      <c r="G65" s="1670">
        <f t="shared" si="8"/>
        <v>254</v>
      </c>
      <c r="H65" s="1670">
        <f t="shared" si="8"/>
        <v>2929</v>
      </c>
      <c r="I65" s="1670">
        <f t="shared" si="8"/>
        <v>0</v>
      </c>
      <c r="J65" s="1670">
        <f t="shared" si="8"/>
        <v>0</v>
      </c>
      <c r="K65" s="1670">
        <f t="shared" si="8"/>
        <v>868145</v>
      </c>
      <c r="L65" s="1670">
        <f t="shared" si="8"/>
        <v>926285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v>6250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6250</v>
      </c>
      <c r="M72" s="609"/>
      <c r="N72" s="609"/>
    </row>
    <row r="73" spans="1:14" s="343" customFormat="1" ht="14.25" thickTop="1" thickBot="1" x14ac:dyDescent="0.25">
      <c r="A73" s="1510" t="s">
        <v>980</v>
      </c>
      <c r="B73" s="632" t="s">
        <v>574</v>
      </c>
      <c r="C73" s="573">
        <v>20250</v>
      </c>
      <c r="D73" s="573"/>
      <c r="E73" s="573"/>
      <c r="F73" s="573"/>
      <c r="G73" s="573"/>
      <c r="H73" s="573"/>
      <c r="I73" s="531"/>
      <c r="J73" s="531"/>
      <c r="K73" s="1670">
        <f>SUM(C73:J73)</f>
        <v>20250</v>
      </c>
      <c r="L73" s="576">
        <v>20250</v>
      </c>
      <c r="M73" s="609"/>
      <c r="N73" s="609"/>
    </row>
    <row r="74" spans="1:14" ht="12.75" customHeight="1" thickTop="1" thickBot="1" x14ac:dyDescent="0.25">
      <c r="A74" s="1668" t="s">
        <v>811</v>
      </c>
      <c r="B74" s="1676">
        <v>2000</v>
      </c>
      <c r="C74" s="1677">
        <f>SUM(C42,C47,C53,C57,C65,C72,C73)</f>
        <v>1587335</v>
      </c>
      <c r="D74" s="1677">
        <f t="shared" ref="D74:K74" si="10">SUM(D42,D47,D53,D57,D65,D72,D73)</f>
        <v>357138</v>
      </c>
      <c r="E74" s="1677">
        <f t="shared" si="10"/>
        <v>300031</v>
      </c>
      <c r="F74" s="1677">
        <f t="shared" si="10"/>
        <v>27365</v>
      </c>
      <c r="G74" s="1677">
        <f t="shared" si="10"/>
        <v>974</v>
      </c>
      <c r="H74" s="1677">
        <f t="shared" si="10"/>
        <v>28953</v>
      </c>
      <c r="I74" s="1677">
        <f t="shared" si="10"/>
        <v>0</v>
      </c>
      <c r="J74" s="1677">
        <f t="shared" si="10"/>
        <v>0</v>
      </c>
      <c r="K74" s="1677">
        <f t="shared" si="10"/>
        <v>2301796</v>
      </c>
      <c r="L74" s="1677">
        <f>SUM(L42,L47,L53,L57,L65,L72,L73)</f>
        <v>2677631</v>
      </c>
    </row>
    <row r="75" spans="1:14" s="259" customFormat="1" ht="15.75" customHeight="1" thickTop="1" thickBot="1" x14ac:dyDescent="0.25">
      <c r="A75" s="1610" t="s">
        <v>47</v>
      </c>
      <c r="B75" s="1611" t="s">
        <v>575</v>
      </c>
      <c r="C75" s="573">
        <v>10188</v>
      </c>
      <c r="D75" s="573"/>
      <c r="E75" s="573"/>
      <c r="F75" s="573"/>
      <c r="G75" s="573"/>
      <c r="H75" s="573"/>
      <c r="I75" s="531"/>
      <c r="J75" s="531"/>
      <c r="K75" s="1670">
        <f>SUM(C75:J75)</f>
        <v>10188</v>
      </c>
      <c r="L75" s="576">
        <v>1000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474279</v>
      </c>
      <c r="F79" s="616"/>
      <c r="G79" s="616"/>
      <c r="H79" s="466"/>
      <c r="I79" s="477"/>
      <c r="J79" s="477"/>
      <c r="K79" s="1671">
        <f t="shared" si="11"/>
        <v>474279</v>
      </c>
      <c r="L79" s="466">
        <v>593461</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v>330208</v>
      </c>
      <c r="F81" s="616"/>
      <c r="G81" s="616"/>
      <c r="H81" s="466"/>
      <c r="I81" s="477"/>
      <c r="J81" s="477"/>
      <c r="K81" s="1671">
        <f t="shared" si="11"/>
        <v>330208</v>
      </c>
      <c r="L81" s="466">
        <v>327943</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v>70186</v>
      </c>
      <c r="F83" s="616"/>
      <c r="G83" s="616"/>
      <c r="H83" s="466"/>
      <c r="I83" s="477"/>
      <c r="J83" s="477"/>
      <c r="K83" s="1671">
        <f t="shared" si="11"/>
        <v>70186</v>
      </c>
      <c r="L83" s="466">
        <v>71105</v>
      </c>
    </row>
    <row r="84" spans="1:12" ht="13.5" thickBot="1" x14ac:dyDescent="0.25">
      <c r="A84" s="1668" t="s">
        <v>1485</v>
      </c>
      <c r="B84" s="1678">
        <v>4100</v>
      </c>
      <c r="C84" s="616"/>
      <c r="D84" s="616"/>
      <c r="E84" s="1670">
        <f>SUM(E78:E83)</f>
        <v>874673</v>
      </c>
      <c r="F84" s="616"/>
      <c r="G84" s="616"/>
      <c r="H84" s="1670">
        <f>SUM(H78:H83)</f>
        <v>0</v>
      </c>
      <c r="I84" s="477"/>
      <c r="J84" s="477"/>
      <c r="K84" s="1670">
        <f>SUM(K78:K83)</f>
        <v>874673</v>
      </c>
      <c r="L84" s="1670">
        <f>SUM(L78:L83)</f>
        <v>992509</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59088</v>
      </c>
      <c r="I86" s="477"/>
      <c r="J86" s="477"/>
      <c r="K86" s="1677">
        <f t="shared" ref="K86:K98" si="12">H86</f>
        <v>59088</v>
      </c>
      <c r="L86" s="530">
        <v>54000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59088</v>
      </c>
      <c r="I92" s="477"/>
      <c r="J92" s="477"/>
      <c r="K92" s="1677">
        <f t="shared" si="12"/>
        <v>59088</v>
      </c>
      <c r="L92" s="1670">
        <f>SUM(L85:L91)</f>
        <v>54000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874673</v>
      </c>
      <c r="F102" s="616"/>
      <c r="G102" s="616"/>
      <c r="H102" s="1677">
        <f>SUM(H84,H92,H100,H101)</f>
        <v>59088</v>
      </c>
      <c r="I102" s="477"/>
      <c r="J102" s="477"/>
      <c r="K102" s="1677">
        <f>SUM(K84,K92,K100,K101)</f>
        <v>933761</v>
      </c>
      <c r="L102" s="1677">
        <f>SUM(L84,L92,L100,L101)</f>
        <v>1046509</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5612811</v>
      </c>
      <c r="D114" s="1670">
        <f t="shared" ref="D114:K114" si="13">SUM(D33,D74,D75,D102,D112,D113)</f>
        <v>1546062</v>
      </c>
      <c r="E114" s="1670">
        <f t="shared" si="13"/>
        <v>1276711</v>
      </c>
      <c r="F114" s="1670">
        <f t="shared" si="13"/>
        <v>192044</v>
      </c>
      <c r="G114" s="1670">
        <f t="shared" si="13"/>
        <v>129367</v>
      </c>
      <c r="H114" s="1670">
        <f>SUM(H33,H74,H75,H102,H112,H113)</f>
        <v>166669</v>
      </c>
      <c r="I114" s="1670">
        <f t="shared" si="13"/>
        <v>0</v>
      </c>
      <c r="J114" s="1670">
        <f t="shared" si="13"/>
        <v>0</v>
      </c>
      <c r="K114" s="1670">
        <f t="shared" si="13"/>
        <v>8923664</v>
      </c>
      <c r="L114" s="1670">
        <f>SUM(L33,L74,L75,L102,L112,L113)</f>
        <v>9753032</v>
      </c>
    </row>
    <row r="115" spans="1:14" ht="13.5" thickTop="1" x14ac:dyDescent="0.2">
      <c r="A115" s="2155" t="s">
        <v>996</v>
      </c>
      <c r="B115" s="2156"/>
      <c r="C115" s="618"/>
      <c r="D115" s="618"/>
      <c r="E115" s="618"/>
      <c r="F115" s="618"/>
      <c r="G115" s="618"/>
      <c r="H115" s="618"/>
      <c r="I115" s="618"/>
      <c r="J115" s="618"/>
      <c r="K115" s="1684">
        <f>'Revenues 9-14'!C268-'Expenditures 15-22'!K114</f>
        <v>753534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v>850</v>
      </c>
      <c r="F123" s="466">
        <v>5482</v>
      </c>
      <c r="G123" s="466">
        <v>49735</v>
      </c>
      <c r="H123" s="466">
        <v>23291</v>
      </c>
      <c r="I123" s="467"/>
      <c r="J123" s="467"/>
      <c r="K123" s="1670">
        <f>SUM(C123:J123)</f>
        <v>79358</v>
      </c>
      <c r="L123" s="466">
        <v>77200</v>
      </c>
    </row>
    <row r="124" spans="1:14" ht="14.25" thickTop="1" thickBot="1" x14ac:dyDescent="0.25">
      <c r="A124" s="1504" t="s">
        <v>197</v>
      </c>
      <c r="B124" s="614">
        <v>2540</v>
      </c>
      <c r="C124" s="466">
        <v>329318</v>
      </c>
      <c r="D124" s="466">
        <v>104314</v>
      </c>
      <c r="E124" s="466">
        <v>87241</v>
      </c>
      <c r="F124" s="466">
        <v>496091</v>
      </c>
      <c r="G124" s="466">
        <v>40003</v>
      </c>
      <c r="H124" s="466">
        <v>5429</v>
      </c>
      <c r="I124" s="467"/>
      <c r="J124" s="467"/>
      <c r="K124" s="1670">
        <f>SUM(C124:J124)</f>
        <v>1062396</v>
      </c>
      <c r="L124" s="466">
        <v>1184300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329318</v>
      </c>
      <c r="D127" s="1670">
        <f t="shared" ref="D127:L127" si="14">SUM(D122:D126)</f>
        <v>104314</v>
      </c>
      <c r="E127" s="1670">
        <f t="shared" si="14"/>
        <v>88091</v>
      </c>
      <c r="F127" s="1670">
        <f t="shared" si="14"/>
        <v>501573</v>
      </c>
      <c r="G127" s="1670">
        <f t="shared" si="14"/>
        <v>89738</v>
      </c>
      <c r="H127" s="1670">
        <f t="shared" si="14"/>
        <v>28720</v>
      </c>
      <c r="I127" s="1670">
        <f t="shared" si="14"/>
        <v>0</v>
      </c>
      <c r="J127" s="1670">
        <f t="shared" si="14"/>
        <v>0</v>
      </c>
      <c r="K127" s="1670">
        <f t="shared" si="14"/>
        <v>1141754</v>
      </c>
      <c r="L127" s="1670">
        <f t="shared" si="14"/>
        <v>1261500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329318</v>
      </c>
      <c r="D129" s="1677">
        <f t="shared" ref="D129:L129" si="15">SUM(D120,D127,D128)</f>
        <v>104314</v>
      </c>
      <c r="E129" s="1677">
        <f t="shared" si="15"/>
        <v>88091</v>
      </c>
      <c r="F129" s="1677">
        <f t="shared" si="15"/>
        <v>501573</v>
      </c>
      <c r="G129" s="1677">
        <f t="shared" si="15"/>
        <v>89738</v>
      </c>
      <c r="H129" s="1677">
        <f t="shared" si="15"/>
        <v>28720</v>
      </c>
      <c r="I129" s="1677">
        <f t="shared" si="15"/>
        <v>0</v>
      </c>
      <c r="J129" s="1677">
        <f t="shared" si="15"/>
        <v>0</v>
      </c>
      <c r="K129" s="1677">
        <f t="shared" si="15"/>
        <v>1141754</v>
      </c>
      <c r="L129" s="1677">
        <f t="shared" si="15"/>
        <v>1261500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2"/>
      <c r="C151" s="1670">
        <f>SUM(C129,C130,C139,C149,C150)</f>
        <v>329318</v>
      </c>
      <c r="D151" s="1670">
        <f t="shared" ref="D151:K151" si="16">SUM(D129,D130,D139,D149,D150)</f>
        <v>104314</v>
      </c>
      <c r="E151" s="1670">
        <f t="shared" si="16"/>
        <v>88091</v>
      </c>
      <c r="F151" s="1670">
        <f t="shared" si="16"/>
        <v>501573</v>
      </c>
      <c r="G151" s="1670">
        <f t="shared" si="16"/>
        <v>89738</v>
      </c>
      <c r="H151" s="1670">
        <f t="shared" si="16"/>
        <v>28720</v>
      </c>
      <c r="I151" s="1670">
        <f t="shared" si="16"/>
        <v>0</v>
      </c>
      <c r="J151" s="1670">
        <f t="shared" si="16"/>
        <v>0</v>
      </c>
      <c r="K151" s="1670">
        <f t="shared" si="16"/>
        <v>1141754</v>
      </c>
      <c r="L151" s="1670">
        <f>SUM(L129,L130,L139,L149,L150)</f>
        <v>1261500</v>
      </c>
    </row>
    <row r="152" spans="1:14" ht="12.75" customHeight="1" thickTop="1" x14ac:dyDescent="0.2">
      <c r="A152" s="2175" t="s">
        <v>1178</v>
      </c>
      <c r="B152" s="2176"/>
      <c r="C152" s="618"/>
      <c r="D152" s="618"/>
      <c r="E152" s="618"/>
      <c r="F152" s="618"/>
      <c r="G152" s="618"/>
      <c r="H152" s="618"/>
      <c r="I152" s="618"/>
      <c r="J152" s="616"/>
      <c r="K152" s="1684">
        <f>'Revenues 9-14'!D268-'Expenditures 15-22'!K151</f>
        <v>-31942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v>400000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400000</v>
      </c>
    </row>
    <row r="169" spans="1:14" ht="15.75" customHeight="1" thickTop="1" x14ac:dyDescent="0.2">
      <c r="A169" s="669" t="s">
        <v>83</v>
      </c>
      <c r="B169" s="670" t="s">
        <v>38</v>
      </c>
      <c r="C169" s="616"/>
      <c r="D169" s="616"/>
      <c r="E169" s="616"/>
      <c r="F169" s="616"/>
      <c r="G169" s="616"/>
      <c r="H169" s="656">
        <v>385806</v>
      </c>
      <c r="I169" s="616"/>
      <c r="J169" s="616"/>
      <c r="K169" s="1671">
        <f>SUM(C169:H169)</f>
        <v>385806</v>
      </c>
      <c r="L169" s="656"/>
    </row>
    <row r="170" spans="1:14" ht="33.75" customHeight="1" x14ac:dyDescent="0.2">
      <c r="A170" s="669" t="s">
        <v>1670</v>
      </c>
      <c r="B170" s="671" t="s">
        <v>31</v>
      </c>
      <c r="C170" s="616"/>
      <c r="D170" s="616"/>
      <c r="E170" s="616"/>
      <c r="F170" s="616"/>
      <c r="G170" s="616"/>
      <c r="H170" s="569">
        <v>1080000</v>
      </c>
      <c r="I170" s="616"/>
      <c r="J170" s="616"/>
      <c r="K170" s="1671">
        <f>SUM(C170:J170)</f>
        <v>1080000</v>
      </c>
      <c r="L170" s="569">
        <v>1080000</v>
      </c>
    </row>
    <row r="171" spans="1:14" ht="15.75" customHeight="1" x14ac:dyDescent="0.2">
      <c r="A171" s="621" t="s">
        <v>766</v>
      </c>
      <c r="B171" s="672" t="s">
        <v>84</v>
      </c>
      <c r="C171" s="616"/>
      <c r="D171" s="616"/>
      <c r="E171" s="466"/>
      <c r="F171" s="616"/>
      <c r="G171" s="616"/>
      <c r="H171" s="569"/>
      <c r="I171" s="477"/>
      <c r="J171" s="616"/>
      <c r="K171" s="1671">
        <f>SUM(C171:J171)</f>
        <v>0</v>
      </c>
      <c r="L171" s="569">
        <v>2900</v>
      </c>
    </row>
    <row r="172" spans="1:14" ht="12.75" customHeight="1" thickBot="1" x14ac:dyDescent="0.25">
      <c r="A172" s="1668" t="s">
        <v>638</v>
      </c>
      <c r="B172" s="1669" t="s">
        <v>492</v>
      </c>
      <c r="C172" s="616"/>
      <c r="D172" s="616"/>
      <c r="E172" s="1677">
        <f>SUM(E168,E169,E170,E171)</f>
        <v>0</v>
      </c>
      <c r="F172" s="616"/>
      <c r="G172" s="616"/>
      <c r="H172" s="1677">
        <f>SUM(H168,H169,H170,H171)</f>
        <v>1465806</v>
      </c>
      <c r="I172" s="638"/>
      <c r="J172" s="616"/>
      <c r="K172" s="1677">
        <f>SUM(K168,K169,K170,K171)</f>
        <v>1465806</v>
      </c>
      <c r="L172" s="1677">
        <f>SUM(L168,L169,L170,L171)</f>
        <v>1482900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1465806</v>
      </c>
      <c r="I174" s="638"/>
      <c r="J174" s="616"/>
      <c r="K174" s="1677">
        <f>SUM(K160,K172,K173)</f>
        <v>1465806</v>
      </c>
      <c r="L174" s="1677">
        <f>SUM(L160,L172,L173)</f>
        <v>1482900</v>
      </c>
    </row>
    <row r="175" spans="1:14" ht="13.5" thickTop="1" x14ac:dyDescent="0.2">
      <c r="A175" s="2155" t="s">
        <v>996</v>
      </c>
      <c r="B175" s="2156"/>
      <c r="C175" s="616"/>
      <c r="D175" s="616"/>
      <c r="E175" s="616"/>
      <c r="F175" s="616"/>
      <c r="G175" s="616"/>
      <c r="H175" s="618"/>
      <c r="I175" s="616"/>
      <c r="J175" s="616"/>
      <c r="K175" s="1684">
        <f>'Revenues 9-14'!E268-'Expenditures 15-22'!K174</f>
        <v>-117152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712194</v>
      </c>
      <c r="D182" s="466">
        <v>19218</v>
      </c>
      <c r="E182" s="466">
        <v>41947</v>
      </c>
      <c r="F182" s="466">
        <v>152463</v>
      </c>
      <c r="G182" s="466">
        <v>248804</v>
      </c>
      <c r="H182" s="466">
        <v>771</v>
      </c>
      <c r="I182" s="467"/>
      <c r="J182" s="467"/>
      <c r="K182" s="1671">
        <f>SUM(C182:J182)</f>
        <v>1175397</v>
      </c>
      <c r="L182" s="466">
        <v>1345723</v>
      </c>
    </row>
    <row r="183" spans="1:14" ht="12.75" customHeight="1" thickBot="1" x14ac:dyDescent="0.25">
      <c r="A183" s="1509" t="s">
        <v>980</v>
      </c>
      <c r="B183" s="677">
        <v>2900</v>
      </c>
      <c r="C183" s="573"/>
      <c r="D183" s="573"/>
      <c r="E183" s="573"/>
      <c r="F183" s="573"/>
      <c r="G183" s="573"/>
      <c r="H183" s="573"/>
      <c r="I183" s="532"/>
      <c r="J183" s="532"/>
      <c r="K183" s="1677">
        <f>SUM(C183:J183)</f>
        <v>0</v>
      </c>
      <c r="L183" s="573">
        <v>65000</v>
      </c>
    </row>
    <row r="184" spans="1:14" ht="12.75" customHeight="1" thickTop="1" thickBot="1" x14ac:dyDescent="0.25">
      <c r="A184" s="1691" t="s">
        <v>811</v>
      </c>
      <c r="B184" s="1669" t="s">
        <v>569</v>
      </c>
      <c r="C184" s="1677">
        <f>SUM(C180,C182,C183)</f>
        <v>712194</v>
      </c>
      <c r="D184" s="1677">
        <f t="shared" ref="D184:J184" si="17">SUM(D180,D182,D183)</f>
        <v>19218</v>
      </c>
      <c r="E184" s="1677">
        <f t="shared" si="17"/>
        <v>41947</v>
      </c>
      <c r="F184" s="1677">
        <f t="shared" si="17"/>
        <v>152463</v>
      </c>
      <c r="G184" s="1677">
        <f t="shared" si="17"/>
        <v>248804</v>
      </c>
      <c r="H184" s="1677">
        <f t="shared" si="17"/>
        <v>771</v>
      </c>
      <c r="I184" s="1677">
        <f t="shared" si="17"/>
        <v>0</v>
      </c>
      <c r="J184" s="1677">
        <f t="shared" si="17"/>
        <v>0</v>
      </c>
      <c r="K184" s="1677">
        <f>SUM(K180,K182,K183)</f>
        <v>1175397</v>
      </c>
      <c r="L184" s="1677">
        <f>SUM(L180, L182:L183)</f>
        <v>1410723</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v>44615</v>
      </c>
      <c r="F189" s="616"/>
      <c r="G189" s="616"/>
      <c r="H189" s="466"/>
      <c r="I189" s="477"/>
      <c r="J189" s="616"/>
      <c r="K189" s="1671">
        <f t="shared" si="18"/>
        <v>44615</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44615</v>
      </c>
      <c r="F194" s="616"/>
      <c r="G194" s="616"/>
      <c r="H194" s="1670">
        <f>SUM(H188:H193)</f>
        <v>0</v>
      </c>
      <c r="I194" s="477"/>
      <c r="J194" s="616"/>
      <c r="K194" s="1670">
        <f>SUM(K188:K193)</f>
        <v>44615</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44615</v>
      </c>
      <c r="F196" s="616"/>
      <c r="G196" s="616"/>
      <c r="H196" s="1677">
        <f>SUM(H194,H195)</f>
        <v>0</v>
      </c>
      <c r="I196" s="477"/>
      <c r="J196" s="616"/>
      <c r="K196" s="1677">
        <f>SUM(K194,K195)</f>
        <v>44615</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712194</v>
      </c>
      <c r="D210" s="1670">
        <f>SUM(D184,D185)</f>
        <v>19218</v>
      </c>
      <c r="E210" s="1670">
        <f>SUM(E184,E185,E196)</f>
        <v>86562</v>
      </c>
      <c r="F210" s="1670">
        <f>SUM(F184,F185)</f>
        <v>152463</v>
      </c>
      <c r="G210" s="1670">
        <f>SUM(G184,G185)</f>
        <v>248804</v>
      </c>
      <c r="H210" s="1670">
        <f>SUM(H184,H185,H196,H208,H209)</f>
        <v>771</v>
      </c>
      <c r="I210" s="1670">
        <f>SUM(I184,I185)</f>
        <v>0</v>
      </c>
      <c r="J210" s="1670">
        <f>SUM(J184,J185)</f>
        <v>0</v>
      </c>
      <c r="K210" s="1671">
        <f>SUM(K184,K185,K196,K208,K209)</f>
        <v>1220012</v>
      </c>
      <c r="L210" s="1670">
        <f>SUM(L184,L185,L196,L208,L209)</f>
        <v>1410723</v>
      </c>
    </row>
    <row r="211" spans="1:14" ht="13.5" thickTop="1" x14ac:dyDescent="0.2">
      <c r="A211" s="2155" t="s">
        <v>996</v>
      </c>
      <c r="B211" s="2156"/>
      <c r="C211" s="618"/>
      <c r="D211" s="618"/>
      <c r="E211" s="618"/>
      <c r="F211" s="618"/>
      <c r="G211" s="618"/>
      <c r="H211" s="618"/>
      <c r="I211" s="616"/>
      <c r="J211" s="616"/>
      <c r="K211" s="1684">
        <f>'Revenues 9-14'!F268-'Expenditures 15-22'!K210</f>
        <v>189924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56874</v>
      </c>
      <c r="E215" s="616"/>
      <c r="F215" s="616"/>
      <c r="G215" s="616"/>
      <c r="H215" s="616"/>
      <c r="I215" s="616"/>
      <c r="J215" s="616"/>
      <c r="K215" s="1671">
        <f>D215</f>
        <v>56874</v>
      </c>
      <c r="L215" s="466">
        <v>95750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12692</v>
      </c>
      <c r="E217" s="616"/>
      <c r="F217" s="616"/>
      <c r="G217" s="616"/>
      <c r="H217" s="616"/>
      <c r="I217" s="616"/>
      <c r="J217" s="616"/>
      <c r="K217" s="1671">
        <f t="shared" si="19"/>
        <v>12692</v>
      </c>
      <c r="L217" s="466">
        <v>62300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2905</v>
      </c>
      <c r="E219" s="616"/>
      <c r="F219" s="616"/>
      <c r="G219" s="616"/>
      <c r="H219" s="616"/>
      <c r="I219" s="616"/>
      <c r="J219" s="616"/>
      <c r="K219" s="1671">
        <f t="shared" si="19"/>
        <v>2905</v>
      </c>
      <c r="L219" s="466">
        <v>5700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23022</v>
      </c>
      <c r="E223" s="616"/>
      <c r="F223" s="616"/>
      <c r="G223" s="616"/>
      <c r="H223" s="616"/>
      <c r="I223" s="616"/>
      <c r="J223" s="616"/>
      <c r="K223" s="1671">
        <f t="shared" si="19"/>
        <v>23022</v>
      </c>
      <c r="L223" s="466">
        <v>26325</v>
      </c>
    </row>
    <row r="224" spans="1:14" x14ac:dyDescent="0.2">
      <c r="A224" s="1504" t="s">
        <v>964</v>
      </c>
      <c r="B224" s="614">
        <v>1600</v>
      </c>
      <c r="C224" s="616"/>
      <c r="D224" s="466">
        <v>588</v>
      </c>
      <c r="E224" s="616"/>
      <c r="F224" s="616"/>
      <c r="G224" s="616"/>
      <c r="H224" s="616"/>
      <c r="I224" s="616"/>
      <c r="J224" s="616"/>
      <c r="K224" s="1671">
        <f t="shared" si="19"/>
        <v>588</v>
      </c>
      <c r="L224" s="466">
        <v>1350</v>
      </c>
    </row>
    <row r="225" spans="1:12" x14ac:dyDescent="0.2">
      <c r="A225" s="1504" t="s">
        <v>987</v>
      </c>
      <c r="B225" s="614">
        <v>1650</v>
      </c>
      <c r="C225" s="616"/>
      <c r="D225" s="466"/>
      <c r="E225" s="616"/>
      <c r="F225" s="616"/>
      <c r="G225" s="616"/>
      <c r="H225" s="616"/>
      <c r="I225" s="616"/>
      <c r="J225" s="616"/>
      <c r="K225" s="1671">
        <f t="shared" si="19"/>
        <v>0</v>
      </c>
      <c r="L225" s="466">
        <v>1300</v>
      </c>
    </row>
    <row r="226" spans="1:12" x14ac:dyDescent="0.2">
      <c r="A226" s="1504" t="s">
        <v>724</v>
      </c>
      <c r="B226" s="614" t="s">
        <v>162</v>
      </c>
      <c r="C226" s="616"/>
      <c r="D226" s="467">
        <v>1178</v>
      </c>
      <c r="E226" s="616"/>
      <c r="F226" s="616"/>
      <c r="G226" s="616"/>
      <c r="H226" s="616"/>
      <c r="I226" s="616"/>
      <c r="J226" s="616"/>
      <c r="K226" s="1671">
        <f t="shared" si="19"/>
        <v>1178</v>
      </c>
      <c r="L226" s="466"/>
    </row>
    <row r="227" spans="1:12" x14ac:dyDescent="0.2">
      <c r="A227" s="1504" t="s">
        <v>1087</v>
      </c>
      <c r="B227" s="614">
        <v>1800</v>
      </c>
      <c r="C227" s="616"/>
      <c r="D227" s="466"/>
      <c r="E227" s="616"/>
      <c r="F227" s="616"/>
      <c r="G227" s="616"/>
      <c r="H227" s="616"/>
      <c r="I227" s="616"/>
      <c r="J227" s="616"/>
      <c r="K227" s="1671">
        <f t="shared" si="19"/>
        <v>0</v>
      </c>
      <c r="L227" s="466">
        <v>350</v>
      </c>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97259</v>
      </c>
      <c r="E229" s="616"/>
      <c r="F229" s="616"/>
      <c r="G229" s="616"/>
      <c r="H229" s="616"/>
      <c r="I229" s="616"/>
      <c r="J229" s="616"/>
      <c r="K229" s="1670">
        <f>SUM(K215:K228)</f>
        <v>97259</v>
      </c>
      <c r="L229" s="1670">
        <f>SUM(L215:L228)</f>
        <v>193075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14003</v>
      </c>
      <c r="E233" s="616"/>
      <c r="F233" s="616"/>
      <c r="G233" s="616"/>
      <c r="H233" s="616"/>
      <c r="I233" s="616"/>
      <c r="J233" s="616"/>
      <c r="K233" s="1671">
        <f t="shared" si="20"/>
        <v>14003</v>
      </c>
      <c r="L233" s="466">
        <v>16500</v>
      </c>
    </row>
    <row r="234" spans="1:12" x14ac:dyDescent="0.2">
      <c r="A234" s="1504" t="s">
        <v>198</v>
      </c>
      <c r="B234" s="614">
        <v>2130</v>
      </c>
      <c r="C234" s="616"/>
      <c r="D234" s="466">
        <v>1267</v>
      </c>
      <c r="E234" s="616"/>
      <c r="F234" s="616"/>
      <c r="G234" s="616"/>
      <c r="H234" s="616"/>
      <c r="I234" s="616"/>
      <c r="J234" s="616"/>
      <c r="K234" s="1671">
        <f t="shared" si="20"/>
        <v>1267</v>
      </c>
      <c r="L234" s="466">
        <v>11450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15270</v>
      </c>
      <c r="E238" s="616"/>
      <c r="F238" s="616"/>
      <c r="G238" s="616"/>
      <c r="H238" s="616"/>
      <c r="I238" s="616"/>
      <c r="J238" s="616"/>
      <c r="K238" s="1670">
        <f>SUM(K232:K237)</f>
        <v>15270</v>
      </c>
      <c r="L238" s="1670">
        <f>SUM(L232:L237)</f>
        <v>27950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5091</v>
      </c>
      <c r="E241" s="616"/>
      <c r="F241" s="616"/>
      <c r="G241" s="616"/>
      <c r="H241" s="616"/>
      <c r="I241" s="616"/>
      <c r="J241" s="616"/>
      <c r="K241" s="1672">
        <f>D241</f>
        <v>5091</v>
      </c>
      <c r="L241" s="466">
        <v>7000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5091</v>
      </c>
      <c r="E243" s="616"/>
      <c r="F243" s="616"/>
      <c r="G243" s="616"/>
      <c r="H243" s="616"/>
      <c r="I243" s="616"/>
      <c r="J243" s="616"/>
      <c r="K243" s="1670">
        <f>SUM(K240:K242)</f>
        <v>5091</v>
      </c>
      <c r="L243" s="1670">
        <f>SUM(L240:L242)</f>
        <v>7000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191</v>
      </c>
      <c r="E245" s="616"/>
      <c r="F245" s="616"/>
      <c r="G245" s="616"/>
      <c r="H245" s="616"/>
      <c r="I245" s="616"/>
      <c r="J245" s="616"/>
      <c r="K245" s="1672">
        <f>D245</f>
        <v>191</v>
      </c>
      <c r="L245" s="481">
        <v>340</v>
      </c>
    </row>
    <row r="246" spans="1:12" x14ac:dyDescent="0.2">
      <c r="A246" s="1504" t="s">
        <v>818</v>
      </c>
      <c r="B246" s="614">
        <v>2320</v>
      </c>
      <c r="C246" s="616"/>
      <c r="D246" s="466">
        <v>6739</v>
      </c>
      <c r="E246" s="616"/>
      <c r="F246" s="616"/>
      <c r="G246" s="616"/>
      <c r="H246" s="616"/>
      <c r="I246" s="616"/>
      <c r="J246" s="616"/>
      <c r="K246" s="1672">
        <f t="shared" ref="K246:K256" si="21">D246</f>
        <v>6739</v>
      </c>
      <c r="L246" s="466">
        <v>14450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25615</v>
      </c>
      <c r="E254" s="616"/>
      <c r="F254" s="616"/>
      <c r="G254" s="616"/>
      <c r="H254" s="616"/>
      <c r="I254" s="616"/>
      <c r="J254" s="616"/>
      <c r="K254" s="1672">
        <f t="shared" si="21"/>
        <v>25615</v>
      </c>
      <c r="L254" s="466">
        <v>36200</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32545</v>
      </c>
      <c r="E257" s="616"/>
      <c r="F257" s="616"/>
      <c r="G257" s="616"/>
      <c r="H257" s="616"/>
      <c r="I257" s="616"/>
      <c r="J257" s="616"/>
      <c r="K257" s="1670">
        <f>SUM(K245:K256)</f>
        <v>32545</v>
      </c>
      <c r="L257" s="1670">
        <f>SUM(L245:L256)</f>
        <v>50990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22740</v>
      </c>
      <c r="E259" s="616"/>
      <c r="F259" s="616"/>
      <c r="G259" s="616"/>
      <c r="H259" s="616"/>
      <c r="I259" s="616"/>
      <c r="J259" s="616"/>
      <c r="K259" s="1672">
        <f>D259</f>
        <v>22740</v>
      </c>
      <c r="L259" s="481">
        <v>28750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22740</v>
      </c>
      <c r="E261" s="616"/>
      <c r="F261" s="616"/>
      <c r="G261" s="616"/>
      <c r="H261" s="616"/>
      <c r="I261" s="616"/>
      <c r="J261" s="616"/>
      <c r="K261" s="1670">
        <f>SUM(K259:K260)</f>
        <v>22740</v>
      </c>
      <c r="L261" s="1670">
        <f>SUM(L259:L260)</f>
        <v>28750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3622</v>
      </c>
      <c r="E264" s="616"/>
      <c r="F264" s="616"/>
      <c r="G264" s="616"/>
      <c r="H264" s="616"/>
      <c r="I264" s="616"/>
      <c r="J264" s="616"/>
      <c r="K264" s="1672">
        <f t="shared" ref="K264:K269" si="22">D264</f>
        <v>3622</v>
      </c>
      <c r="L264" s="466">
        <v>23625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86693</v>
      </c>
      <c r="E266" s="616"/>
      <c r="F266" s="616"/>
      <c r="G266" s="616"/>
      <c r="H266" s="616"/>
      <c r="I266" s="616"/>
      <c r="J266" s="616"/>
      <c r="K266" s="1672">
        <f t="shared" si="22"/>
        <v>86693</v>
      </c>
      <c r="L266" s="466">
        <v>109500</v>
      </c>
    </row>
    <row r="267" spans="1:14" x14ac:dyDescent="0.2">
      <c r="A267" s="1504" t="s">
        <v>953</v>
      </c>
      <c r="B267" s="614">
        <v>2550</v>
      </c>
      <c r="C267" s="616"/>
      <c r="D267" s="466">
        <v>110542</v>
      </c>
      <c r="E267" s="616"/>
      <c r="F267" s="616"/>
      <c r="G267" s="616"/>
      <c r="H267" s="616"/>
      <c r="I267" s="616"/>
      <c r="J267" s="616"/>
      <c r="K267" s="1672">
        <f t="shared" si="22"/>
        <v>110542</v>
      </c>
      <c r="L267" s="466">
        <v>114000</v>
      </c>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200857</v>
      </c>
      <c r="E270" s="616"/>
      <c r="F270" s="616"/>
      <c r="G270" s="616"/>
      <c r="H270" s="616"/>
      <c r="I270" s="616"/>
      <c r="J270" s="616"/>
      <c r="K270" s="1670">
        <f>SUM(K263:K269)</f>
        <v>200857</v>
      </c>
      <c r="L270" s="1670">
        <f>SUM(L263:L269)</f>
        <v>247125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v>294</v>
      </c>
      <c r="E278" s="616"/>
      <c r="F278" s="616"/>
      <c r="G278" s="616"/>
      <c r="H278" s="616"/>
      <c r="I278" s="616"/>
      <c r="J278" s="616"/>
      <c r="K278" s="1685">
        <f>D278</f>
        <v>294</v>
      </c>
      <c r="L278" s="656">
        <v>1850</v>
      </c>
    </row>
    <row r="279" spans="1:12" ht="12.75" customHeight="1" thickBot="1" x14ac:dyDescent="0.25">
      <c r="A279" s="1698" t="s">
        <v>811</v>
      </c>
      <c r="B279" s="1681">
        <v>2000</v>
      </c>
      <c r="C279" s="616"/>
      <c r="D279" s="1677">
        <f>SUM(D238,D243,D257,D261,D270,D277,D278)</f>
        <v>276797</v>
      </c>
      <c r="E279" s="616"/>
      <c r="F279" s="616"/>
      <c r="G279" s="616"/>
      <c r="H279" s="616"/>
      <c r="I279" s="616"/>
      <c r="J279" s="616"/>
      <c r="K279" s="1677">
        <f>SUM(K238,K243,K257,K261,K270,K277,K278)</f>
        <v>276797</v>
      </c>
      <c r="L279" s="1677">
        <f>SUM(L238,L243,L257,L261,L270,L277,L278)</f>
        <v>363665</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70">
        <f>SUM(D229,D279,D280,D285)</f>
        <v>374056</v>
      </c>
      <c r="E295" s="616"/>
      <c r="F295" s="616"/>
      <c r="G295" s="616"/>
      <c r="H295" s="1670">
        <f>H293</f>
        <v>0</v>
      </c>
      <c r="I295" s="616"/>
      <c r="J295" s="616"/>
      <c r="K295" s="1670">
        <f>SUM(K229,K279,K280,K285,K293,K294)</f>
        <v>374056</v>
      </c>
      <c r="L295" s="1670">
        <f>SUM(L229,L279,L280,L285,L293,L294)</f>
        <v>556740</v>
      </c>
    </row>
    <row r="296" spans="1:14" ht="13.5" thickTop="1" x14ac:dyDescent="0.2">
      <c r="A296" s="2155" t="s">
        <v>996</v>
      </c>
      <c r="B296" s="2156"/>
      <c r="C296" s="616"/>
      <c r="D296" s="618"/>
      <c r="E296" s="616"/>
      <c r="F296" s="616"/>
      <c r="G296" s="616"/>
      <c r="H296" s="687"/>
      <c r="I296" s="616"/>
      <c r="J296" s="616"/>
      <c r="K296" s="1684">
        <f>'Revenues 9-14'!G268-'Expenditures 15-22'!K295</f>
        <v>19629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78011</v>
      </c>
      <c r="F301" s="466"/>
      <c r="G301" s="466">
        <v>112788</v>
      </c>
      <c r="H301" s="466"/>
      <c r="I301" s="467"/>
      <c r="J301" s="467"/>
      <c r="K301" s="1671">
        <f>SUM(C301:J301)</f>
        <v>190799</v>
      </c>
      <c r="L301" s="467">
        <v>270000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78011</v>
      </c>
      <c r="F303" s="1677">
        <f t="shared" si="23"/>
        <v>0</v>
      </c>
      <c r="G303" s="1677">
        <f t="shared" si="23"/>
        <v>112788</v>
      </c>
      <c r="H303" s="1677">
        <f t="shared" si="23"/>
        <v>0</v>
      </c>
      <c r="I303" s="1677">
        <f t="shared" si="23"/>
        <v>0</v>
      </c>
      <c r="J303" s="1677">
        <f t="shared" si="23"/>
        <v>0</v>
      </c>
      <c r="K303" s="1677">
        <f t="shared" si="23"/>
        <v>190799</v>
      </c>
      <c r="L303" s="1677">
        <f t="shared" si="23"/>
        <v>270000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70">
        <f>SUM(C303)</f>
        <v>0</v>
      </c>
      <c r="D312" s="1670">
        <f>SUM(D303)</f>
        <v>0</v>
      </c>
      <c r="E312" s="1670">
        <f>SUM(E303,E310)</f>
        <v>78011</v>
      </c>
      <c r="F312" s="1670">
        <f>SUM(F303)</f>
        <v>0</v>
      </c>
      <c r="G312" s="1670">
        <f>SUM(G303)</f>
        <v>112788</v>
      </c>
      <c r="H312" s="1670">
        <f>SUM(H303,H310)</f>
        <v>0</v>
      </c>
      <c r="I312" s="1670">
        <f>SUM(I303)</f>
        <v>0</v>
      </c>
      <c r="J312" s="1670">
        <f>SUM(J303)</f>
        <v>0</v>
      </c>
      <c r="K312" s="1670">
        <f>SUM(K303,K310,K311)</f>
        <v>190799</v>
      </c>
      <c r="L312" s="1670">
        <f>SUM(L303,L310,L311)</f>
        <v>270000</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-190799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v>166571</v>
      </c>
      <c r="F323" s="467"/>
      <c r="G323" s="467"/>
      <c r="H323" s="467"/>
      <c r="I323" s="467"/>
      <c r="J323" s="467"/>
      <c r="K323" s="1671">
        <f t="shared" si="24"/>
        <v>166571</v>
      </c>
      <c r="L323" s="467">
        <v>186350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717815</v>
      </c>
      <c r="D325" s="467"/>
      <c r="E325" s="467">
        <v>148968</v>
      </c>
      <c r="F325" s="467">
        <v>13826</v>
      </c>
      <c r="G325" s="467">
        <v>11579</v>
      </c>
      <c r="H325" s="467">
        <v>90026</v>
      </c>
      <c r="I325" s="467"/>
      <c r="J325" s="467"/>
      <c r="K325" s="1671">
        <f t="shared" si="24"/>
        <v>982214</v>
      </c>
      <c r="L325" s="467">
        <v>1012525</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500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717815</v>
      </c>
      <c r="D330" s="1670">
        <f t="shared" ref="D330:J330" si="25">SUM(D319:D329)</f>
        <v>0</v>
      </c>
      <c r="E330" s="1670">
        <f t="shared" si="25"/>
        <v>315539</v>
      </c>
      <c r="F330" s="1670">
        <f t="shared" si="25"/>
        <v>13826</v>
      </c>
      <c r="G330" s="1670">
        <f t="shared" si="25"/>
        <v>11579</v>
      </c>
      <c r="H330" s="1670">
        <f t="shared" si="25"/>
        <v>90026</v>
      </c>
      <c r="I330" s="1670">
        <f t="shared" si="25"/>
        <v>0</v>
      </c>
      <c r="J330" s="1670">
        <f t="shared" si="25"/>
        <v>0</v>
      </c>
      <c r="K330" s="1670">
        <f>SUM(K319:K329)</f>
        <v>1148785</v>
      </c>
      <c r="L330" s="1670">
        <f>SUM(L319:L329)</f>
        <v>1199375</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717815</v>
      </c>
      <c r="D342" s="1670">
        <f>SUM(D330)</f>
        <v>0</v>
      </c>
      <c r="E342" s="1670">
        <f>SUM(E330)</f>
        <v>315539</v>
      </c>
      <c r="F342" s="1670">
        <f>SUM(F330)</f>
        <v>13826</v>
      </c>
      <c r="G342" s="1670">
        <f>SUM(G330)</f>
        <v>11579</v>
      </c>
      <c r="H342" s="1670">
        <f>SUM(H330,H334,H340)</f>
        <v>90026</v>
      </c>
      <c r="I342" s="1670">
        <f>SUM(I330)</f>
        <v>0</v>
      </c>
      <c r="J342" s="1670">
        <f>SUM(J330)</f>
        <v>0</v>
      </c>
      <c r="K342" s="1670">
        <f>SUM(K330,K334,K340)</f>
        <v>1148785</v>
      </c>
      <c r="L342" s="1677">
        <f>SUM(L330,L340,L341)</f>
        <v>1199375</v>
      </c>
    </row>
    <row r="343" spans="1:14" ht="12.75" customHeight="1" thickTop="1" x14ac:dyDescent="0.2">
      <c r="A343" s="2168" t="s">
        <v>996</v>
      </c>
      <c r="B343" s="2169"/>
      <c r="C343" s="616"/>
      <c r="D343" s="616"/>
      <c r="E343" s="616"/>
      <c r="F343" s="616"/>
      <c r="G343" s="616"/>
      <c r="H343" s="616"/>
      <c r="I343" s="616"/>
      <c r="J343" s="616"/>
      <c r="K343" s="1684">
        <f>'Revenues 9-14'!J268-'Expenditures 15-22'!K342</f>
        <v>-67969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1542</v>
      </c>
      <c r="F348" s="466"/>
      <c r="G348" s="466">
        <v>224249</v>
      </c>
      <c r="H348" s="466"/>
      <c r="I348" s="467"/>
      <c r="J348" s="467"/>
      <c r="K348" s="1671">
        <f>SUM(C348:J348)</f>
        <v>225791</v>
      </c>
      <c r="L348" s="466">
        <v>226600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1542</v>
      </c>
      <c r="F350" s="1670">
        <f t="shared" si="26"/>
        <v>0</v>
      </c>
      <c r="G350" s="1670">
        <f t="shared" si="26"/>
        <v>224249</v>
      </c>
      <c r="H350" s="1670">
        <f t="shared" si="26"/>
        <v>0</v>
      </c>
      <c r="I350" s="1670">
        <f t="shared" si="26"/>
        <v>0</v>
      </c>
      <c r="J350" s="1670">
        <f t="shared" si="26"/>
        <v>0</v>
      </c>
      <c r="K350" s="1670">
        <f t="shared" si="26"/>
        <v>225791</v>
      </c>
      <c r="L350" s="1670">
        <f t="shared" si="26"/>
        <v>226600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1542</v>
      </c>
      <c r="F352" s="1670">
        <f t="shared" si="27"/>
        <v>0</v>
      </c>
      <c r="G352" s="1670">
        <f t="shared" si="27"/>
        <v>224249</v>
      </c>
      <c r="H352" s="1670">
        <f t="shared" si="27"/>
        <v>0</v>
      </c>
      <c r="I352" s="1670">
        <f t="shared" si="27"/>
        <v>0</v>
      </c>
      <c r="J352" s="1670">
        <f t="shared" si="27"/>
        <v>0</v>
      </c>
      <c r="K352" s="1670">
        <f t="shared" si="27"/>
        <v>225791</v>
      </c>
      <c r="L352" s="1670">
        <f t="shared" si="27"/>
        <v>226600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1542</v>
      </c>
      <c r="F367" s="1670">
        <f t="shared" si="28"/>
        <v>0</v>
      </c>
      <c r="G367" s="1670">
        <f t="shared" si="28"/>
        <v>224249</v>
      </c>
      <c r="H367" s="1670">
        <f t="shared" si="28"/>
        <v>0</v>
      </c>
      <c r="I367" s="1670">
        <f t="shared" si="28"/>
        <v>0</v>
      </c>
      <c r="J367" s="1670">
        <f t="shared" si="28"/>
        <v>0</v>
      </c>
      <c r="K367" s="1670">
        <f t="shared" si="28"/>
        <v>225791</v>
      </c>
      <c r="L367" s="1670">
        <f t="shared" si="28"/>
        <v>226600</v>
      </c>
    </row>
    <row r="368" spans="1:14" ht="13.5" thickTop="1" x14ac:dyDescent="0.2">
      <c r="A368" s="2155" t="s">
        <v>996</v>
      </c>
      <c r="B368" s="2156"/>
      <c r="C368" s="654"/>
      <c r="D368" s="654"/>
      <c r="E368" s="626"/>
      <c r="F368" s="626"/>
      <c r="G368" s="626"/>
      <c r="H368" s="626"/>
      <c r="I368" s="626"/>
      <c r="J368" s="623"/>
      <c r="K368" s="1671">
        <f>'Revenues 9-14'!K268-'Expenditures 15-22'!K367</f>
        <v>-163304</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1" gridLinesSet="0"/>
  <pageMargins left="0.1" right="0.2" top="0.61" bottom="0.35" header="0.28000000000000003" footer="0.1"/>
  <pageSetup scale="70" firstPageNumber="15" fitToHeight="0" orientation="landscape" useFirstPageNumber="1" r:id="rId1"/>
  <headerFooter alignWithMargins="0">
    <oddHeader>&amp;C&amp;"Arial,Bold"&amp;9STATEMENT OF EXPENDITURES DISBURSED,  BUDGET TO ACTUAL
FOR THE YEAR ENDING JUNE 30, 2019</oddHeader>
    <oddFooter xml:space="preserve">&amp;L&amp;8Print Date: &amp;D
&amp;F&amp;CSee Notes to the Accompanying Financial Statements.
</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view="pageLayout" zoomScale="115" zoomScaleNormal="100" zoomScalePageLayoutView="115" workbookViewId="0">
      <selection sqref="A1:F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1802</v>
      </c>
      <c r="B2" s="1528" t="s">
        <v>1951</v>
      </c>
      <c r="C2" s="714" t="s">
        <v>1952</v>
      </c>
      <c r="D2" s="714" t="s">
        <v>1953</v>
      </c>
      <c r="E2" s="714" t="s">
        <v>1954</v>
      </c>
      <c r="F2" s="714" t="s">
        <v>1955</v>
      </c>
    </row>
    <row r="3" spans="1:6" ht="12" customHeight="1" x14ac:dyDescent="0.2">
      <c r="A3" s="2183"/>
      <c r="B3" s="1525"/>
      <c r="C3" s="1526"/>
      <c r="D3" s="1527" t="s">
        <v>256</v>
      </c>
      <c r="E3" s="1526"/>
      <c r="F3" s="1527" t="s">
        <v>257</v>
      </c>
    </row>
    <row r="4" spans="1:6" ht="13.7" customHeight="1" x14ac:dyDescent="0.2">
      <c r="A4" s="715" t="s">
        <v>1155</v>
      </c>
      <c r="B4" s="1749">
        <f>'Revenues 9-14'!C5</f>
        <v>4863493</v>
      </c>
      <c r="C4" s="1524">
        <f>2664060-11702+97135</f>
        <v>2749493</v>
      </c>
      <c r="D4" s="1752">
        <f>B4-C4</f>
        <v>2114000</v>
      </c>
      <c r="E4" s="1524">
        <f>5227280-20507</f>
        <v>5206773</v>
      </c>
      <c r="F4" s="1752">
        <f>E4-C4</f>
        <v>2457280</v>
      </c>
    </row>
    <row r="5" spans="1:6" ht="13.7" customHeight="1" x14ac:dyDescent="0.2">
      <c r="A5" s="715" t="s">
        <v>870</v>
      </c>
      <c r="B5" s="1750">
        <f>'Revenues 9-14'!D5</f>
        <v>935287</v>
      </c>
      <c r="C5" s="585">
        <f>512322+18680</f>
        <v>531002</v>
      </c>
      <c r="D5" s="1753">
        <f t="shared" ref="D5:D18" si="0">B5-C5</f>
        <v>404285</v>
      </c>
      <c r="E5" s="585">
        <v>1005246</v>
      </c>
      <c r="F5" s="1753">
        <f>E5-C5</f>
        <v>474244</v>
      </c>
    </row>
    <row r="6" spans="1:6" ht="13.7" customHeight="1" x14ac:dyDescent="0.2">
      <c r="A6" s="715" t="s">
        <v>411</v>
      </c>
      <c r="B6" s="1750">
        <f>'Revenues 9-14'!E5</f>
        <v>1348654</v>
      </c>
      <c r="C6" s="585">
        <f>27450+747639</f>
        <v>775089</v>
      </c>
      <c r="D6" s="1753">
        <f t="shared" si="0"/>
        <v>573565</v>
      </c>
      <c r="E6" s="585">
        <v>1466976</v>
      </c>
      <c r="F6" s="1753">
        <f t="shared" ref="F6:F18" si="1">E6-C6</f>
        <v>691887</v>
      </c>
    </row>
    <row r="7" spans="1:6" ht="13.7" customHeight="1" x14ac:dyDescent="0.2">
      <c r="A7" s="715" t="s">
        <v>155</v>
      </c>
      <c r="B7" s="1750">
        <f>'Revenues 9-14'!F5</f>
        <v>360676</v>
      </c>
      <c r="C7" s="585">
        <f>152899+5558</f>
        <v>158457</v>
      </c>
      <c r="D7" s="1753">
        <f t="shared" si="0"/>
        <v>202219</v>
      </c>
      <c r="E7" s="585">
        <v>300006</v>
      </c>
      <c r="F7" s="1753">
        <f t="shared" si="1"/>
        <v>141549</v>
      </c>
    </row>
    <row r="8" spans="1:6" ht="13.7" customHeight="1" x14ac:dyDescent="0.2">
      <c r="A8" s="715" t="s">
        <v>1179</v>
      </c>
      <c r="B8" s="1750">
        <f>'Revenues 9-14'!G5</f>
        <v>170250</v>
      </c>
      <c r="C8" s="585">
        <f>3427+94289</f>
        <v>97716</v>
      </c>
      <c r="D8" s="1753">
        <f t="shared" si="0"/>
        <v>72534</v>
      </c>
      <c r="E8" s="585">
        <v>185006</v>
      </c>
      <c r="F8" s="1753">
        <f t="shared" si="1"/>
        <v>87290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97744</v>
      </c>
      <c r="C10" s="585"/>
      <c r="D10" s="1753">
        <f t="shared" si="0"/>
        <v>97744</v>
      </c>
      <c r="E10" s="585"/>
      <c r="F10" s="1753">
        <f t="shared" si="1"/>
        <v>0</v>
      </c>
    </row>
    <row r="11" spans="1:6" x14ac:dyDescent="0.2">
      <c r="A11" s="715" t="s">
        <v>409</v>
      </c>
      <c r="B11" s="1750">
        <f>'Revenues 9-14'!J5</f>
        <v>1080816</v>
      </c>
      <c r="C11" s="585">
        <f>601382+21861</f>
        <v>623243</v>
      </c>
      <c r="D11" s="1753">
        <f t="shared" si="0"/>
        <v>457573</v>
      </c>
      <c r="E11" s="585">
        <v>1179998</v>
      </c>
      <c r="F11" s="1753">
        <f t="shared" si="1"/>
        <v>556755</v>
      </c>
    </row>
    <row r="12" spans="1:6" ht="13.7" customHeight="1" x14ac:dyDescent="0.2">
      <c r="A12" s="715" t="s">
        <v>157</v>
      </c>
      <c r="B12" s="1750">
        <f>'Revenues 9-14'!K5</f>
        <v>62487</v>
      </c>
      <c r="C12" s="585">
        <f>2780+76439</f>
        <v>79219</v>
      </c>
      <c r="D12" s="1753">
        <f t="shared" si="0"/>
        <v>-16732</v>
      </c>
      <c r="E12" s="585">
        <v>149983</v>
      </c>
      <c r="F12" s="1753">
        <f t="shared" si="1"/>
        <v>70764</v>
      </c>
    </row>
    <row r="13" spans="1:6" ht="13.7" customHeight="1" x14ac:dyDescent="0.2">
      <c r="A13" s="715" t="s">
        <v>936</v>
      </c>
      <c r="B13" s="1750">
        <f>SUM('Revenues 9-14'!C6:D6)</f>
        <v>177916</v>
      </c>
      <c r="C13" s="585">
        <f>102464+3736</f>
        <v>106200</v>
      </c>
      <c r="D13" s="1753">
        <f t="shared" si="0"/>
        <v>71716</v>
      </c>
      <c r="E13" s="585">
        <v>201049</v>
      </c>
      <c r="F13" s="1753">
        <f t="shared" si="1"/>
        <v>94849</v>
      </c>
    </row>
    <row r="14" spans="1:6" ht="13.7" customHeight="1" x14ac:dyDescent="0.2">
      <c r="A14" s="715" t="s">
        <v>410</v>
      </c>
      <c r="B14" s="1750">
        <f>SUM('Revenues 9-14'!C7:D7,'Revenues 9-14'!F7:H7)</f>
        <v>74822</v>
      </c>
      <c r="C14" s="585">
        <f>40985+1494</f>
        <v>42479</v>
      </c>
      <c r="D14" s="1753">
        <f t="shared" si="0"/>
        <v>32343</v>
      </c>
      <c r="E14" s="585">
        <v>80420</v>
      </c>
      <c r="F14" s="1753">
        <f t="shared" si="1"/>
        <v>37941</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208435</v>
      </c>
      <c r="C16" s="585">
        <f>4225+116196</f>
        <v>120421</v>
      </c>
      <c r="D16" s="1753">
        <f t="shared" si="0"/>
        <v>88014</v>
      </c>
      <c r="E16" s="585">
        <v>227990</v>
      </c>
      <c r="F16" s="1753">
        <f t="shared" si="1"/>
        <v>107569</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9380580</v>
      </c>
      <c r="C19" s="1751">
        <f>SUM(C4:C18)</f>
        <v>5283319</v>
      </c>
      <c r="D19" s="1751">
        <f>SUM(D4:D18)</f>
        <v>4097261</v>
      </c>
      <c r="E19" s="1751">
        <f>SUM(E4:E18)</f>
        <v>10003447</v>
      </c>
      <c r="F19" s="1751">
        <f>SUM(F4:F18)</f>
        <v>4720128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1" gridLinesSet="0"/>
  <pageMargins left="0.25" right="0.15" top="1.65" bottom="0.52" header="0.44" footer="0.17"/>
  <pageSetup firstPageNumber="23" orientation="landscape" useFirstPageNumber="1" r:id="rId1"/>
  <headerFooter alignWithMargins="0">
    <oddFooter>&amp;L&amp;8Print Date: &amp;D
&amp;F&amp;C63</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view="pageLayout" zoomScaleNormal="100" workbookViewId="0">
      <selection sqref="A1:F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1802</v>
      </c>
      <c r="B2" s="2210"/>
      <c r="C2" s="1884" t="s">
        <v>1956</v>
      </c>
      <c r="D2" s="723" t="s">
        <v>1957</v>
      </c>
      <c r="E2" s="723" t="s">
        <v>1958</v>
      </c>
      <c r="F2" s="1884" t="s">
        <v>1959</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5">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5">
        <f>SUM(C17+D17)-E17</f>
        <v>0</v>
      </c>
    </row>
    <row r="18" spans="1:11" ht="12.75" customHeight="1" thickTop="1" thickBot="1" x14ac:dyDescent="0.25">
      <c r="A18" s="2190" t="s">
        <v>6</v>
      </c>
      <c r="B18" s="2191"/>
      <c r="C18" s="726"/>
      <c r="D18" s="585"/>
      <c r="E18" s="726"/>
      <c r="F18" s="1755">
        <f>SUM(C18+D18)-E18</f>
        <v>0</v>
      </c>
    </row>
    <row r="19" spans="1:11" ht="12.75" customHeight="1" thickTop="1" thickBot="1" x14ac:dyDescent="0.25">
      <c r="A19" s="2190" t="s">
        <v>388</v>
      </c>
      <c r="B19" s="2191"/>
      <c r="C19" s="726"/>
      <c r="D19" s="585"/>
      <c r="E19" s="726"/>
      <c r="F19" s="1755">
        <f>SUM(C19+D19)-E19</f>
        <v>0</v>
      </c>
    </row>
    <row r="20" spans="1:11" ht="12.75" customHeight="1" thickTop="1" thickBot="1" x14ac:dyDescent="0.25">
      <c r="A20" s="2190" t="s">
        <v>448</v>
      </c>
      <c r="B20" s="2191"/>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5">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5">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5">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2078</v>
      </c>
      <c r="B31" s="733">
        <v>40989</v>
      </c>
      <c r="C31" s="734">
        <v>695000</v>
      </c>
      <c r="D31" s="735">
        <v>3</v>
      </c>
      <c r="E31" s="734">
        <v>335000</v>
      </c>
      <c r="F31" s="734"/>
      <c r="G31" s="734"/>
      <c r="H31" s="734">
        <v>75000</v>
      </c>
      <c r="I31" s="1756">
        <f>((E31+F31)-H31)+G31</f>
        <v>260000</v>
      </c>
      <c r="J31" s="734">
        <v>244540</v>
      </c>
      <c r="K31" s="736"/>
    </row>
    <row r="32" spans="1:11" ht="12" customHeight="1" x14ac:dyDescent="0.2">
      <c r="A32" s="732" t="s">
        <v>2076</v>
      </c>
      <c r="B32" s="733">
        <v>42262</v>
      </c>
      <c r="C32" s="734">
        <v>8685000</v>
      </c>
      <c r="D32" s="735">
        <v>3</v>
      </c>
      <c r="E32" s="734">
        <v>8340000</v>
      </c>
      <c r="F32" s="734"/>
      <c r="G32" s="734"/>
      <c r="H32" s="734">
        <v>80000</v>
      </c>
      <c r="I32" s="1756">
        <f>((E32+F32)-H32)+G32</f>
        <v>8260000</v>
      </c>
      <c r="J32" s="734">
        <v>7768863</v>
      </c>
      <c r="K32" s="736"/>
    </row>
    <row r="33" spans="1:11" ht="12" customHeight="1" x14ac:dyDescent="0.2">
      <c r="A33" s="732" t="s">
        <v>2077</v>
      </c>
      <c r="B33" s="733">
        <v>42250</v>
      </c>
      <c r="C33" s="734">
        <v>4445000</v>
      </c>
      <c r="D33" s="735">
        <v>3</v>
      </c>
      <c r="E33" s="734">
        <v>2630000</v>
      </c>
      <c r="F33" s="734"/>
      <c r="G33" s="734"/>
      <c r="H33" s="734">
        <v>925000</v>
      </c>
      <c r="I33" s="1756">
        <f t="shared" ref="I33:I48" si="1">((E33+F33)-H33)+G33</f>
        <v>1705000</v>
      </c>
      <c r="J33" s="734">
        <v>1603621</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13825000</v>
      </c>
      <c r="D49" s="745"/>
      <c r="E49" s="1756">
        <f t="shared" ref="E49:J49" si="2">SUM(E31:E48)</f>
        <v>11305000</v>
      </c>
      <c r="F49" s="1756">
        <f t="shared" si="2"/>
        <v>0</v>
      </c>
      <c r="G49" s="1756">
        <f t="shared" si="2"/>
        <v>0</v>
      </c>
      <c r="H49" s="1756">
        <f t="shared" si="2"/>
        <v>1080000</v>
      </c>
      <c r="I49" s="1756">
        <f t="shared" si="2"/>
        <v>10225000</v>
      </c>
      <c r="J49" s="1756">
        <f t="shared" si="2"/>
        <v>9617024</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disablePrompts="1"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1" gridLinesSet="0"/>
  <pageMargins left="0.25" right="0.15" top="0.4" bottom="0.25" header="0.17" footer="0.1"/>
  <pageSetup scale="73" firstPageNumber="24" fitToHeight="0" orientation="landscape" useFirstPageNumber="1" r:id="rId1"/>
  <headerFooter alignWithMargins="0">
    <oddFooter>&amp;L&amp;8Print Date: &amp;D 
&amp;F&amp;C64</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view="pageLayout" zoomScaleNormal="100" workbookViewId="0">
      <selection sqref="A1:F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30"/>
      <c r="I1" s="760"/>
      <c r="J1" s="433"/>
    </row>
    <row r="2" spans="1:11" ht="26.25" x14ac:dyDescent="0.2">
      <c r="A2" s="2232" t="s">
        <v>1677</v>
      </c>
      <c r="B2" s="2233"/>
      <c r="C2" s="2233"/>
      <c r="D2" s="2233"/>
      <c r="E2" s="2234"/>
      <c r="F2" s="761" t="s">
        <v>904</v>
      </c>
      <c r="G2" s="762" t="s">
        <v>1674</v>
      </c>
      <c r="H2" s="762" t="s">
        <v>410</v>
      </c>
      <c r="I2" s="762" t="s">
        <v>1158</v>
      </c>
      <c r="J2" s="762" t="s">
        <v>1812</v>
      </c>
      <c r="K2" s="762" t="s">
        <v>138</v>
      </c>
    </row>
    <row r="3" spans="1:11" x14ac:dyDescent="0.2">
      <c r="A3" s="2235" t="s">
        <v>1964</v>
      </c>
      <c r="B3" s="2236"/>
      <c r="C3" s="2236"/>
      <c r="D3" s="2236"/>
      <c r="E3" s="2237"/>
      <c r="F3" s="763"/>
      <c r="G3" s="764"/>
      <c r="H3" s="764"/>
      <c r="I3" s="764"/>
      <c r="J3" s="765"/>
      <c r="K3" s="765"/>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v>74822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6400</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42095</v>
      </c>
    </row>
    <row r="10" spans="1:11" x14ac:dyDescent="0.2">
      <c r="A10" s="2216" t="s">
        <v>1813</v>
      </c>
      <c r="B10" s="2217"/>
      <c r="C10" s="2217"/>
      <c r="D10" s="2217"/>
      <c r="E10" s="2219"/>
      <c r="F10" s="783" t="s">
        <v>862</v>
      </c>
      <c r="G10" s="782"/>
      <c r="H10" s="784"/>
      <c r="I10" s="764"/>
      <c r="J10" s="765"/>
      <c r="K10" s="765"/>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7"/>
      <c r="G12" s="1758">
        <f>SUM(G5:G11)</f>
        <v>0</v>
      </c>
      <c r="H12" s="1758">
        <f>SUM(H5:H11)</f>
        <v>74822</v>
      </c>
      <c r="I12" s="1758">
        <f>SUM(I5:I11)</f>
        <v>0</v>
      </c>
      <c r="J12" s="1758">
        <f>SUM(J5:J11)</f>
        <v>0</v>
      </c>
      <c r="K12" s="1758">
        <f>SUM(K5:K11)</f>
        <v>48495</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v>74822</v>
      </c>
      <c r="I14" s="771"/>
      <c r="J14" s="773"/>
      <c r="K14" s="765"/>
    </row>
    <row r="15" spans="1:11" x14ac:dyDescent="0.2">
      <c r="A15" s="2217" t="s">
        <v>4</v>
      </c>
      <c r="B15" s="2217"/>
      <c r="C15" s="2217"/>
      <c r="D15" s="2217"/>
      <c r="E15" s="2218"/>
      <c r="F15" s="789" t="s">
        <v>855</v>
      </c>
      <c r="G15" s="771"/>
      <c r="H15" s="764"/>
      <c r="I15" s="764"/>
      <c r="J15" s="765"/>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25" t="s">
        <v>1809</v>
      </c>
      <c r="B19" s="2225"/>
      <c r="C19" s="2225"/>
      <c r="D19" s="2225"/>
      <c r="E19" s="2226"/>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9"/>
      <c r="G21" s="792"/>
      <c r="H21" s="796"/>
      <c r="I21" s="796"/>
      <c r="J21" s="1760">
        <f>SUM(J18:J20)</f>
        <v>0</v>
      </c>
      <c r="K21" s="793"/>
    </row>
    <row r="22" spans="1:11" ht="13.5" thickTop="1" x14ac:dyDescent="0.2">
      <c r="A22" s="2217" t="s">
        <v>1815</v>
      </c>
      <c r="B22" s="2217"/>
      <c r="C22" s="2217"/>
      <c r="D22" s="2217"/>
      <c r="E22" s="2218"/>
      <c r="F22" s="789" t="s">
        <v>862</v>
      </c>
      <c r="G22" s="782"/>
      <c r="H22" s="764"/>
      <c r="I22" s="764"/>
      <c r="J22" s="797"/>
      <c r="K22" s="765"/>
    </row>
    <row r="23" spans="1:11" ht="13.5" thickBot="1" x14ac:dyDescent="0.25">
      <c r="A23" s="2247" t="s">
        <v>906</v>
      </c>
      <c r="B23" s="2246"/>
      <c r="C23" s="2246"/>
      <c r="D23" s="2246"/>
      <c r="E23" s="2246"/>
      <c r="F23" s="1761"/>
      <c r="G23" s="1758">
        <f>SUM(G14:G16,G21,G22)</f>
        <v>0</v>
      </c>
      <c r="H23" s="1758">
        <f>SUM(H14:H16,H21,H22)</f>
        <v>74822</v>
      </c>
      <c r="I23" s="1758">
        <f>SUM(I14:I16,I21,I22)</f>
        <v>0</v>
      </c>
      <c r="J23" s="1758">
        <f>SUM(J14:J16,J21,J22)</f>
        <v>0</v>
      </c>
      <c r="K23" s="1758">
        <f>SUM(K14:K16,K21,K22)</f>
        <v>0</v>
      </c>
    </row>
    <row r="24" spans="1:11" ht="14.25" thickTop="1" thickBot="1" x14ac:dyDescent="0.25">
      <c r="A24" s="2247" t="s">
        <v>1965</v>
      </c>
      <c r="B24" s="2246"/>
      <c r="C24" s="2246"/>
      <c r="D24" s="2246"/>
      <c r="E24" s="2246"/>
      <c r="F24" s="1762"/>
      <c r="G24" s="1763">
        <f>SUM(G3,G12)-G23</f>
        <v>0</v>
      </c>
      <c r="H24" s="1763">
        <f>SUM(H3,H12)-H23</f>
        <v>0</v>
      </c>
      <c r="I24" s="1763">
        <f>SUM(I3,I12)-I23</f>
        <v>0</v>
      </c>
      <c r="J24" s="1763">
        <f>SUM(J3,J12)-J23</f>
        <v>0</v>
      </c>
      <c r="K24" s="1763">
        <f>SUM(K3,K12)-K23</f>
        <v>48495</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48495</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&amp;L&amp;8Print Date: &amp;D 
&amp;F&amp;C65</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view="pageLayout" zoomScaleNormal="100" workbookViewId="0">
      <selection sqref="A1:F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1909</v>
      </c>
      <c r="B1" s="2253"/>
      <c r="C1" s="2254"/>
      <c r="D1" s="826"/>
      <c r="E1" s="827"/>
      <c r="F1" s="827"/>
      <c r="G1" s="828"/>
      <c r="H1" s="829"/>
      <c r="I1" s="830"/>
      <c r="J1" s="2250"/>
      <c r="K1" s="2251"/>
      <c r="L1" s="2251"/>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1313712</v>
      </c>
      <c r="D5" s="841"/>
      <c r="E5" s="841"/>
      <c r="F5" s="1760">
        <f>(C5+D5)-E5</f>
        <v>1313712</v>
      </c>
      <c r="G5" s="837"/>
      <c r="H5" s="842"/>
      <c r="I5" s="842"/>
      <c r="J5" s="842"/>
      <c r="K5" s="793"/>
      <c r="L5" s="1769">
        <f>F5-K5</f>
        <v>1313712</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43739361</v>
      </c>
      <c r="D8" s="844"/>
      <c r="E8" s="844"/>
      <c r="F8" s="1760">
        <f>(C8+D8)-E8</f>
        <v>43739361</v>
      </c>
      <c r="G8" s="843">
        <v>50</v>
      </c>
      <c r="H8" s="765">
        <v>13734447</v>
      </c>
      <c r="I8" s="765">
        <v>874788</v>
      </c>
      <c r="J8" s="765"/>
      <c r="K8" s="1769">
        <f>(H8+I8)-J8</f>
        <v>14609235</v>
      </c>
      <c r="L8" s="1769">
        <f>F8-K8</f>
        <v>29130126</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3892024</v>
      </c>
      <c r="D10" s="846">
        <v>687412</v>
      </c>
      <c r="E10" s="846"/>
      <c r="F10" s="1764">
        <f>(C10+D10)-E10</f>
        <v>4579436</v>
      </c>
      <c r="G10" s="843">
        <v>20</v>
      </c>
      <c r="H10" s="847">
        <v>1703560</v>
      </c>
      <c r="I10" s="847">
        <v>228972</v>
      </c>
      <c r="J10" s="847"/>
      <c r="K10" s="1769">
        <f>(H10+I10)-J10</f>
        <v>1932532</v>
      </c>
      <c r="L10" s="1769">
        <f>F10-K10</f>
        <v>2646904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1628905</v>
      </c>
      <c r="D12" s="844">
        <v>129113</v>
      </c>
      <c r="E12" s="844">
        <v>358716</v>
      </c>
      <c r="F12" s="1760">
        <f>(C12+D12)-E12</f>
        <v>1399302</v>
      </c>
      <c r="G12" s="843">
        <v>10</v>
      </c>
      <c r="H12" s="765">
        <v>971994</v>
      </c>
      <c r="I12" s="765">
        <v>162890</v>
      </c>
      <c r="J12" s="765">
        <v>358716</v>
      </c>
      <c r="K12" s="1769">
        <f>(H12+I12)-J12</f>
        <v>776168</v>
      </c>
      <c r="L12" s="1769">
        <f>F12-K12</f>
        <v>623134</v>
      </c>
    </row>
    <row r="13" spans="1:14" ht="14.25" thickTop="1" thickBot="1" x14ac:dyDescent="0.25">
      <c r="A13" s="848" t="s">
        <v>1122</v>
      </c>
      <c r="B13" s="840">
        <v>252</v>
      </c>
      <c r="C13" s="844">
        <v>1623306</v>
      </c>
      <c r="D13" s="844">
        <v>147273</v>
      </c>
      <c r="E13" s="844"/>
      <c r="F13" s="1760">
        <f>(C13+D13)-E13</f>
        <v>1770579</v>
      </c>
      <c r="G13" s="843">
        <v>5</v>
      </c>
      <c r="H13" s="765">
        <v>824596</v>
      </c>
      <c r="I13" s="765">
        <v>228729</v>
      </c>
      <c r="J13" s="765"/>
      <c r="K13" s="1769">
        <f>(H13+I13)-J13</f>
        <v>1053325</v>
      </c>
      <c r="L13" s="1769">
        <f>F13-K13</f>
        <v>717254</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52197308</v>
      </c>
      <c r="D16" s="1760">
        <f>SUM(D3,D5:D6,D8:D10,D12:D15)</f>
        <v>963798</v>
      </c>
      <c r="E16" s="1760">
        <f>SUM(E3,E5:E6,E8:E10,E12:E15)</f>
        <v>358716</v>
      </c>
      <c r="F16" s="1760">
        <f>SUM(F3,F5:F6,F8:F10,F12:F15)</f>
        <v>52802390</v>
      </c>
      <c r="G16" s="843"/>
      <c r="H16" s="1760">
        <f>SUM(H3,H6,H8:H10,H12:H14,)</f>
        <v>17234597</v>
      </c>
      <c r="I16" s="1760">
        <f>SUM(I3,I6,I8:I10,I12:I14,)</f>
        <v>1495379</v>
      </c>
      <c r="J16" s="1760">
        <f>SUM(J3,J6,J8:J10,J12:J14,)</f>
        <v>358716</v>
      </c>
      <c r="K16" s="1760">
        <f>(H16+I16)-J16</f>
        <v>18371260</v>
      </c>
      <c r="L16" s="1760">
        <f>F16-K16</f>
        <v>34431130</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1495379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&amp;L&amp;8Print Date: &amp;D
&amp;F&amp;C66</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view="pageLayout" topLeftCell="A67" zoomScaleNormal="100" workbookViewId="0">
      <selection sqref="A1:F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1975</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8923664</v>
      </c>
      <c r="G8" s="865"/>
    </row>
    <row r="9" spans="1:7" x14ac:dyDescent="0.2">
      <c r="A9" s="869" t="s">
        <v>460</v>
      </c>
      <c r="B9" s="870" t="s">
        <v>1877</v>
      </c>
      <c r="C9" s="871"/>
      <c r="D9" s="869" t="s">
        <v>501</v>
      </c>
      <c r="E9" s="868"/>
      <c r="F9" s="1909">
        <f>'Expenditures 15-22'!K151</f>
        <v>1141754</v>
      </c>
      <c r="G9" s="872"/>
    </row>
    <row r="10" spans="1:7" x14ac:dyDescent="0.2">
      <c r="A10" s="869" t="s">
        <v>499</v>
      </c>
      <c r="B10" s="870" t="s">
        <v>1878</v>
      </c>
      <c r="C10" s="871"/>
      <c r="D10" s="869" t="s">
        <v>501</v>
      </c>
      <c r="E10" s="868"/>
      <c r="F10" s="1909">
        <f>'Expenditures 15-22'!K174</f>
        <v>1465806</v>
      </c>
      <c r="G10" s="872"/>
    </row>
    <row r="11" spans="1:7" x14ac:dyDescent="0.2">
      <c r="A11" s="869" t="s">
        <v>461</v>
      </c>
      <c r="B11" s="870" t="s">
        <v>1879</v>
      </c>
      <c r="C11" s="871"/>
      <c r="D11" s="869" t="s">
        <v>501</v>
      </c>
      <c r="E11" s="868"/>
      <c r="F11" s="1909">
        <f>'Expenditures 15-22'!K210</f>
        <v>1220012</v>
      </c>
      <c r="G11" s="872"/>
    </row>
    <row r="12" spans="1:7" x14ac:dyDescent="0.2">
      <c r="A12" s="869" t="s">
        <v>462</v>
      </c>
      <c r="B12" s="870" t="s">
        <v>1880</v>
      </c>
      <c r="C12" s="871"/>
      <c r="D12" s="869" t="s">
        <v>501</v>
      </c>
      <c r="E12" s="868"/>
      <c r="F12" s="1909">
        <f>'Expenditures 15-22'!K295</f>
        <v>374056</v>
      </c>
      <c r="G12" s="872"/>
    </row>
    <row r="13" spans="1:7" x14ac:dyDescent="0.2">
      <c r="A13" s="869" t="s">
        <v>106</v>
      </c>
      <c r="B13" s="870" t="s">
        <v>1881</v>
      </c>
      <c r="C13" s="871"/>
      <c r="D13" s="869" t="s">
        <v>501</v>
      </c>
      <c r="E13" s="868"/>
      <c r="F13" s="1909">
        <f>'Expenditures 15-22'!K342</f>
        <v>1148785</v>
      </c>
      <c r="G13" s="873"/>
    </row>
    <row r="14" spans="1:7" ht="12" customHeight="1" thickBot="1" x14ac:dyDescent="0.25">
      <c r="A14" s="1770"/>
      <c r="B14" s="1771"/>
      <c r="C14" s="1772"/>
      <c r="D14" s="1773" t="s">
        <v>501</v>
      </c>
      <c r="E14" s="1774" t="s">
        <v>958</v>
      </c>
      <c r="F14" s="1775">
        <f>SUM(F8:F13)</f>
        <v>14274077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815122</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23910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10188</v>
      </c>
      <c r="G52" s="865"/>
    </row>
    <row r="53" spans="1:7" x14ac:dyDescent="0.2">
      <c r="A53" s="869" t="s">
        <v>459</v>
      </c>
      <c r="B53" s="869" t="s">
        <v>1475</v>
      </c>
      <c r="C53" s="889">
        <f>'Expenditures 15-22'!B102</f>
        <v>4000</v>
      </c>
      <c r="D53" s="888" t="str">
        <f>'Expenditures 15-22'!A102</f>
        <v>Total Payments to Other Govt Units</v>
      </c>
      <c r="E53" s="868"/>
      <c r="F53" s="1913">
        <f>'Expenditures 15-22'!K102</f>
        <v>933761</v>
      </c>
      <c r="G53" s="865"/>
    </row>
    <row r="54" spans="1:7" x14ac:dyDescent="0.2">
      <c r="A54" s="869" t="s">
        <v>459</v>
      </c>
      <c r="B54" s="869" t="s">
        <v>1476</v>
      </c>
      <c r="C54" s="889" t="s">
        <v>982</v>
      </c>
      <c r="D54" s="885" t="s">
        <v>1095</v>
      </c>
      <c r="E54" s="868"/>
      <c r="F54" s="1913">
        <f>'Expenditures 15-22'!G114</f>
        <v>129367</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89738</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1080000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44615</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248804</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588</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3376093</v>
      </c>
      <c r="G76" s="865"/>
    </row>
    <row r="77" spans="1:8" s="893" customFormat="1" ht="12" customHeight="1" thickTop="1" thickBot="1" x14ac:dyDescent="0.25">
      <c r="A77" s="1779"/>
      <c r="B77" s="1776"/>
      <c r="C77" s="1772"/>
      <c r="D77" s="1777" t="s">
        <v>1900</v>
      </c>
      <c r="E77" s="1774"/>
      <c r="F77" s="1780">
        <f>(F14-F76)</f>
        <v>10897984</v>
      </c>
      <c r="G77" s="869"/>
    </row>
    <row r="78" spans="1:8" s="893" customFormat="1" ht="12" customHeight="1" thickTop="1" x14ac:dyDescent="0.2">
      <c r="A78" s="1781"/>
      <c r="B78" s="1776"/>
      <c r="C78" s="1772"/>
      <c r="D78" s="1777" t="s">
        <v>2062</v>
      </c>
      <c r="E78" s="1774"/>
      <c r="F78" s="898">
        <v>903.62</v>
      </c>
      <c r="G78" s="899"/>
      <c r="H78" s="869"/>
    </row>
    <row r="79" spans="1:8" s="893" customFormat="1" ht="12" customHeight="1" thickBot="1" x14ac:dyDescent="0.25">
      <c r="A79" s="1782"/>
      <c r="B79" s="1776"/>
      <c r="C79" s="1772"/>
      <c r="D79" s="1777" t="s">
        <v>1901</v>
      </c>
      <c r="E79" s="1774" t="s">
        <v>958</v>
      </c>
      <c r="F79" s="1783">
        <f>IF(F78&gt;0,F77/F78," Complete Line 78")</f>
        <v>12060.361656448507</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26599</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442119</v>
      </c>
      <c r="G94" s="912"/>
    </row>
    <row r="95" spans="1:7" x14ac:dyDescent="0.2">
      <c r="A95" s="908" t="s">
        <v>140</v>
      </c>
      <c r="B95" s="908" t="s">
        <v>175</v>
      </c>
      <c r="C95" s="910">
        <v>1700</v>
      </c>
      <c r="D95" s="918" t="str">
        <f>'Revenues 9-14'!A82</f>
        <v>Total District/School Activity Income</v>
      </c>
      <c r="E95" s="906"/>
      <c r="F95" s="1789">
        <f>SUM('Revenues 9-14'!C82,'Revenues 9-14'!D82)</f>
        <v>45114</v>
      </c>
      <c r="G95" s="912"/>
    </row>
    <row r="96" spans="1:7" x14ac:dyDescent="0.2">
      <c r="A96" s="908" t="s">
        <v>459</v>
      </c>
      <c r="B96" s="908" t="s">
        <v>176</v>
      </c>
      <c r="C96" s="910">
        <f>'Revenues 9-14'!B84</f>
        <v>1811</v>
      </c>
      <c r="D96" s="911" t="str">
        <f>'Revenues 9-14'!A84</f>
        <v>Rentals - Regular Textbooks</v>
      </c>
      <c r="E96" s="906"/>
      <c r="F96" s="1789">
        <f>'Revenues 9-14'!C84</f>
        <v>115687</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625299</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16259</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42095</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207539</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0</v>
      </c>
      <c r="G125" s="930"/>
    </row>
    <row r="126" spans="1:7" x14ac:dyDescent="0.2">
      <c r="A126" s="927" t="s">
        <v>668</v>
      </c>
      <c r="B126" s="927" t="s">
        <v>2024</v>
      </c>
      <c r="C126" s="932">
        <v>4300</v>
      </c>
      <c r="D126" s="933" t="str">
        <f>'Revenues 9-14'!A204</f>
        <v>Total Title I</v>
      </c>
      <c r="E126" s="906"/>
      <c r="F126" s="1789">
        <f>SUM('Revenues 9-14'!C204,'Revenues 9-14'!D204,'Revenues 9-14'!F204,'Revenues 9-14'!G204)</f>
        <v>174013</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28818</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3654</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2587</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5800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21376</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3595</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1760554</v>
      </c>
    </row>
    <row r="175" spans="1:7" ht="12" customHeight="1" x14ac:dyDescent="0.2">
      <c r="A175" s="1770"/>
      <c r="B175" s="1784"/>
      <c r="C175" s="1785"/>
      <c r="D175" s="1786" t="s">
        <v>2057</v>
      </c>
      <c r="E175" s="1787"/>
      <c r="F175" s="1789">
        <f>'PCTC-OEPP 27-28'!F77-F174</f>
        <v>9137430</v>
      </c>
    </row>
    <row r="176" spans="1:7" ht="12" customHeight="1" x14ac:dyDescent="0.2">
      <c r="A176" s="1770"/>
      <c r="B176" s="1784"/>
      <c r="C176" s="1785"/>
      <c r="D176" s="1786" t="s">
        <v>1817</v>
      </c>
      <c r="E176" s="1787"/>
      <c r="F176" s="1789">
        <f>'Cap Outlay Deprec 26'!I18</f>
        <v>1495379</v>
      </c>
    </row>
    <row r="177" spans="1:7" ht="12" customHeight="1" x14ac:dyDescent="0.2">
      <c r="A177" s="1770"/>
      <c r="B177" s="1784"/>
      <c r="C177" s="1785"/>
      <c r="D177" s="1786" t="s">
        <v>2058</v>
      </c>
      <c r="E177" s="1787"/>
      <c r="F177" s="1789">
        <f>F175+F176</f>
        <v>10632809</v>
      </c>
    </row>
    <row r="178" spans="1:7" ht="12" customHeight="1" x14ac:dyDescent="0.2">
      <c r="A178" s="1770"/>
      <c r="B178" s="1790"/>
      <c r="C178" s="1785"/>
      <c r="D178" s="1786" t="str">
        <f>D78</f>
        <v>9 Month ADA from District Average Daily Attendance/Prior General State Aid Inquiry 2018-2019</v>
      </c>
      <c r="E178" s="1787"/>
      <c r="F178" s="1791">
        <f>'PCTC-OEPP 27-28'!F78</f>
        <v>903.62</v>
      </c>
      <c r="G178" s="930"/>
    </row>
    <row r="179" spans="1:7" ht="12" customHeight="1" thickBot="1" x14ac:dyDescent="0.25">
      <c r="A179" s="1770"/>
      <c r="B179" s="1790"/>
      <c r="C179" s="1785"/>
      <c r="D179" s="1786" t="s">
        <v>2059</v>
      </c>
      <c r="E179" s="1787" t="s">
        <v>1545</v>
      </c>
      <c r="F179" s="1792">
        <f>F177/F178</f>
        <v>11766.903122994179</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differentOddEven="1" alignWithMargins="0">
    <oddHeader xml:space="preserve">&amp;C </oddHeader>
    <oddFooter>&amp;L&amp;8Print Date: &amp;D
&amp;F&amp;C67</oddFooter>
    <evenFooter>&amp;C68</even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1"/>
  <sheetViews>
    <sheetView view="pageLayout" zoomScaleNormal="100" workbookViewId="0">
      <selection activeCell="A17" sqref="A17"/>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4" t="s">
        <v>1819</v>
      </c>
      <c r="B6" s="1535"/>
      <c r="C6" s="1535"/>
      <c r="D6" s="1535"/>
      <c r="E6" s="1535"/>
      <c r="F6" s="1535"/>
      <c r="G6" s="1536"/>
    </row>
    <row r="7" spans="1:7" ht="30.75" customHeight="1" x14ac:dyDescent="0.25">
      <c r="A7" s="2275" t="s">
        <v>1932</v>
      </c>
      <c r="B7" s="2276"/>
      <c r="C7" s="2276"/>
      <c r="D7" s="2276"/>
      <c r="E7" s="2276"/>
      <c r="F7" s="2276"/>
      <c r="G7" s="2277"/>
    </row>
    <row r="8" spans="1:7" ht="15.75" customHeight="1" x14ac:dyDescent="0.25">
      <c r="A8" s="2278" t="s">
        <v>1907</v>
      </c>
      <c r="B8" s="2279"/>
      <c r="C8" s="2279"/>
      <c r="D8" s="2279"/>
      <c r="E8" s="2279"/>
      <c r="F8" s="2279"/>
      <c r="G8" s="2280"/>
    </row>
    <row r="9" spans="1:7" ht="35.25" customHeight="1" x14ac:dyDescent="0.25">
      <c r="A9" s="2275" t="s">
        <v>1935</v>
      </c>
      <c r="B9" s="2276"/>
      <c r="C9" s="2276"/>
      <c r="D9" s="2276"/>
      <c r="E9" s="2276"/>
      <c r="F9" s="2276"/>
      <c r="G9" s="2277"/>
    </row>
    <row r="10" spans="1:7" ht="15" customHeight="1" x14ac:dyDescent="0.25">
      <c r="A10" s="1537" t="s">
        <v>1820</v>
      </c>
      <c r="B10" s="1538"/>
      <c r="C10" s="1538"/>
      <c r="D10" s="1538"/>
      <c r="E10" s="1538"/>
      <c r="F10" s="1538"/>
      <c r="G10" s="1539"/>
    </row>
    <row r="11" spans="1:7" ht="17.25" customHeight="1" x14ac:dyDescent="0.25">
      <c r="A11" s="2275" t="s">
        <v>1934</v>
      </c>
      <c r="B11" s="2276"/>
      <c r="C11" s="2276"/>
      <c r="D11" s="2276"/>
      <c r="E11" s="2276"/>
      <c r="F11" s="2276"/>
      <c r="G11" s="2277"/>
    </row>
    <row r="12" spans="1:7" ht="15" customHeight="1" x14ac:dyDescent="0.25">
      <c r="A12" s="1537" t="s">
        <v>1825</v>
      </c>
      <c r="B12" s="1538"/>
      <c r="C12" s="1538"/>
      <c r="D12" s="1538"/>
      <c r="E12" s="1538"/>
      <c r="F12" s="1538"/>
      <c r="G12" s="1539"/>
    </row>
    <row r="13" spans="1:7" ht="32.25" customHeight="1" x14ac:dyDescent="0.25">
      <c r="A13" s="2266" t="s">
        <v>1976</v>
      </c>
      <c r="B13" s="2267"/>
      <c r="C13" s="2267"/>
      <c r="D13" s="2267"/>
      <c r="E13" s="2267"/>
      <c r="F13" s="2267"/>
      <c r="G13" s="226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2079</v>
      </c>
      <c r="B17" s="1938" t="s">
        <v>2079</v>
      </c>
      <c r="C17" s="1939" t="s">
        <v>2079</v>
      </c>
      <c r="D17" s="1844">
        <v>0</v>
      </c>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1"/>
  <pageSetup scale="83" firstPageNumber="30"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view="pageLayout" zoomScaleNormal="100" workbookViewId="0">
      <selection sqref="A1:F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86" t="s">
        <v>1977</v>
      </c>
      <c r="B11" s="2287"/>
      <c r="C11" s="2287"/>
      <c r="D11" s="2288"/>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5646785</v>
      </c>
      <c r="F19" s="1799"/>
      <c r="G19" s="1801">
        <f>'Expenditures 15-22'!K33-SUM('Expenditures 15-22'!G33,'Expenditures 15-22'!I33)+'Expenditures 15-22'!D229</f>
        <v>5646785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354047</v>
      </c>
      <c r="F21" s="1802"/>
      <c r="G21" s="1805">
        <f>'Expenditures 15-22'!K42-SUM('Expenditures 15-22'!G42,'Expenditures 15-22'!I42)+'Expenditures 15-22'!K120-SUM('Expenditures 15-22'!G120,'Expenditures 15-22'!I120)+'Expenditures 15-22'!K180-SUM('Expenditures 15-22'!G180,'Expenditures 15-22'!I180)+'Expenditures 15-22'!D238</f>
        <v>354047</v>
      </c>
      <c r="H21" s="987"/>
      <c r="I21" s="162"/>
    </row>
    <row r="22" spans="1:9" s="668" customFormat="1" ht="12" customHeight="1" x14ac:dyDescent="0.2">
      <c r="A22" s="994" t="s">
        <v>564</v>
      </c>
      <c r="B22" s="995"/>
      <c r="C22" s="993">
        <v>2200</v>
      </c>
      <c r="D22" s="1802"/>
      <c r="E22" s="1804">
        <f>'Expenditures 15-22'!K47-SUM('Expenditures 15-22'!G47,'Expenditures 15-22'!I47)+'Expenditures 15-22'!D243</f>
        <v>161987</v>
      </c>
      <c r="F22" s="1802"/>
      <c r="G22" s="1805">
        <f>'Expenditures 15-22'!K47-SUM('Expenditures 15-22'!G47,'Expenditures 15-22'!I47)+'Expenditures 15-22'!D243</f>
        <v>161987</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1723424</v>
      </c>
      <c r="F23" s="1802"/>
      <c r="G23" s="1804">
        <f>'Expenditures 15-22'!K53-SUM('Expenditures 15-22'!G53,'Expenditures 15-22'!I53)+'Expenditures 15-22'!D257+'Expenditures 15-22'!K330-SUM('Expenditures 15-22'!G330,'Expenditures 15-22'!I330)</f>
        <v>1723424</v>
      </c>
      <c r="H23" s="987"/>
      <c r="I23" s="162"/>
    </row>
    <row r="24" spans="1:9" s="668" customFormat="1" ht="12" customHeight="1" x14ac:dyDescent="0.2">
      <c r="A24" s="994" t="s">
        <v>566</v>
      </c>
      <c r="B24" s="995"/>
      <c r="C24" s="993">
        <v>2400</v>
      </c>
      <c r="D24" s="1802"/>
      <c r="E24" s="1804">
        <f>'Expenditures 15-22'!K57-SUM('Expenditures 15-22'!G57,'Expenditures 15-22'!I57)+'Expenditures 15-22'!D261</f>
        <v>386075</v>
      </c>
      <c r="F24" s="1802"/>
      <c r="G24" s="1805">
        <f>'Expenditures 15-22'!K57-SUM('Expenditures 15-22'!G57,'Expenditures 15-22'!I57)+'Expenditures 15-22'!D261</f>
        <v>386075</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342891</v>
      </c>
      <c r="E27" s="1804">
        <f>E8</f>
        <v>0</v>
      </c>
      <c r="F27" s="1804">
        <f>'Expenditures 15-22'!K60-SUM('Expenditures 15-22'!G60,'Expenditures 15-22'!I60)+'Expenditures 15-22'!D264-E8</f>
        <v>342891</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1220771</v>
      </c>
      <c r="F28" s="1806">
        <f>'Expenditures 15-22'!K61-SUM('Expenditures 15-22'!G61,'Expenditures 15-22'!I61)+'Expenditures 15-22'!K124-SUM('Expenditures 15-22'!G124,'Expenditures 15-22'!I124)+'Expenditures 15-22'!D266-E9</f>
        <v>1220771</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1037182</v>
      </c>
      <c r="F29" s="1802"/>
      <c r="G29" s="1805">
        <f>'Expenditures 15-22'!K62-SUM('Expenditures 15-22'!G62,'Expenditures 15-22'!I62)+'Expenditures 15-22'!K125-SUM('Expenditures 15-22'!G125,'Expenditures 15-22'!I125)+'Expenditures 15-22'!K182-SUM('Expenditures 15-22'!G182,'Expenditures 15-22'!I182)+'Expenditures 15-22'!D267</f>
        <v>1037182</v>
      </c>
      <c r="H29" s="985"/>
    </row>
    <row r="30" spans="1:9" ht="12" customHeight="1" x14ac:dyDescent="0.2">
      <c r="A30" s="994" t="s">
        <v>100</v>
      </c>
      <c r="B30" s="997"/>
      <c r="C30" s="993">
        <v>2560</v>
      </c>
      <c r="D30" s="1802"/>
      <c r="E30" s="1804">
        <f>'Expenditures 15-22'!K63-SUM('Expenditures 15-22'!G63,'Expenditures 15-22'!I63)+'Expenditures 15-22'!D268-E10</f>
        <v>416890</v>
      </c>
      <c r="F30" s="1802"/>
      <c r="G30" s="1804">
        <f>'Expenditures 15-22'!K63-SUM('Expenditures 15-22'!G63,'Expenditures 15-22'!I63)+'Expenditures 15-22'!D268-E10</f>
        <v>416890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20544</v>
      </c>
      <c r="F38" s="1802"/>
      <c r="G38" s="1804">
        <f>'Expenditures 15-22'!K73-SUM('Expenditures 15-22'!G73,'Expenditures 15-22'!I73)+'Expenditures 15-22'!K128-SUM('Expenditures 15-22'!G128,'Expenditures 15-22'!I128)+'Expenditures 15-22'!K183-SUM('Expenditures 15-22'!G183,'Expenditures 15-22'!I183)+'Expenditures 15-22'!D278</f>
        <v>20544</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10188</v>
      </c>
      <c r="F39" s="1802"/>
      <c r="G39" s="1804">
        <f>'Expenditures 15-22'!K75-SUM('Expenditures 15-22'!G75,'Expenditures 15-22'!I75)+'Expenditures 15-22'!K130-SUM('Expenditures 15-22'!G130,'Expenditures 15-22'!I130)+'Expenditures 15-22'!K185-SUM('Expenditures 15-22'!G185,'Expenditures 15-22'!I185)+'Expenditures 15-22'!D280</f>
        <v>10188</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342891</v>
      </c>
      <c r="E41" s="1806">
        <f>SUM(E19:E40)</f>
        <v>10977893</v>
      </c>
      <c r="F41" s="1806">
        <f>SUM(F19:F39)</f>
        <v>1563662</v>
      </c>
      <c r="G41" s="1806">
        <f>SUM(G19:G40)</f>
        <v>9757122</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342891</v>
      </c>
      <c r="F43" s="1807" t="s">
        <v>473</v>
      </c>
      <c r="G43" s="1808">
        <f>F41</f>
        <v>1563662</v>
      </c>
    </row>
    <row r="44" spans="1:7" ht="12" customHeight="1" x14ac:dyDescent="0.2">
      <c r="A44" s="987"/>
      <c r="B44" s="162"/>
      <c r="C44" s="1001"/>
      <c r="D44" s="1807" t="s">
        <v>474</v>
      </c>
      <c r="E44" s="1808">
        <f>E41</f>
        <v>10977893</v>
      </c>
      <c r="F44" s="1807" t="s">
        <v>474</v>
      </c>
      <c r="G44" s="1808">
        <f>G41</f>
        <v>9757122</v>
      </c>
    </row>
    <row r="45" spans="1:7" ht="12" customHeight="1" x14ac:dyDescent="0.2">
      <c r="A45" s="987"/>
      <c r="B45" s="162"/>
      <c r="C45" s="162"/>
      <c r="D45" s="1809" t="s">
        <v>1006</v>
      </c>
      <c r="E45" s="1810">
        <f>(E43/E44)</f>
        <v>3.1234682283749714E-2</v>
      </c>
      <c r="F45" s="1809" t="s">
        <v>1006</v>
      </c>
      <c r="G45" s="1810">
        <f>(G43/G44)</f>
        <v>0.16025852705336677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&amp;L&amp;8Print Date:  &amp;D
&amp;F&amp;C73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L97"/>
  <sheetViews>
    <sheetView view="pageLayout" zoomScaleNormal="100" workbookViewId="0">
      <selection sqref="A1:F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3" t="s">
        <v>1379</v>
      </c>
      <c r="B1" s="2303"/>
      <c r="C1" s="2303"/>
      <c r="D1" s="2303"/>
      <c r="E1" s="2303"/>
      <c r="F1" s="2303"/>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4" t="s">
        <v>1546</v>
      </c>
      <c r="B5" s="2305"/>
      <c r="C5" s="2306"/>
      <c r="D5" s="2306"/>
      <c r="E5" s="2306"/>
      <c r="F5" s="2306"/>
    </row>
    <row r="6" spans="1:10" ht="12" customHeight="1" x14ac:dyDescent="0.25">
      <c r="A6" s="1850"/>
      <c r="B6" s="1851"/>
      <c r="C6" s="2307" t="str">
        <f>COVER!A17</f>
        <v>Rochelle Twp HSD 212</v>
      </c>
      <c r="D6" s="2307"/>
      <c r="E6" s="2307"/>
      <c r="F6" s="1852"/>
    </row>
    <row r="7" spans="1:10" ht="11.25" customHeight="1" thickBot="1" x14ac:dyDescent="0.3">
      <c r="A7" s="1850"/>
      <c r="B7" s="1851"/>
      <c r="C7" s="2308">
        <f>COVER!A13</f>
        <v>47071212017</v>
      </c>
      <c r="D7" s="2308"/>
      <c r="E7" s="2308"/>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2067</v>
      </c>
      <c r="D26" s="1865" t="s">
        <v>2067</v>
      </c>
      <c r="E26" s="1868"/>
      <c r="F26" s="1867" t="s">
        <v>2081</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2067</v>
      </c>
      <c r="D31" s="1865" t="s">
        <v>2067</v>
      </c>
      <c r="E31" s="1868"/>
      <c r="F31" s="1867" t="s">
        <v>2080</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1392</v>
      </c>
      <c r="B35" s="1872"/>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3"/>
      <c r="B39" s="1873"/>
      <c r="C39" s="1873"/>
      <c r="D39" s="1873"/>
      <c r="E39" s="1873"/>
      <c r="F39" s="1873"/>
    </row>
    <row r="40" spans="1:11" s="1870" customFormat="1" ht="12" customHeight="1" x14ac:dyDescent="0.25">
      <c r="A40" s="1874" t="s">
        <v>1391</v>
      </c>
      <c r="B40" s="1875"/>
      <c r="C40" s="2298"/>
      <c r="D40" s="2298"/>
      <c r="E40" s="2298"/>
      <c r="F40" s="2299"/>
      <c r="H40" s="1879"/>
      <c r="I40" s="1879"/>
      <c r="J40" s="1879"/>
      <c r="K40" s="1879"/>
    </row>
    <row r="41" spans="1:11" s="1870" customFormat="1" ht="12" customHeight="1" x14ac:dyDescent="0.25">
      <c r="A41" s="2300"/>
      <c r="B41" s="2301"/>
      <c r="C41" s="2301"/>
      <c r="D41" s="2301"/>
      <c r="E41" s="2301"/>
      <c r="F41" s="2302"/>
      <c r="H41" s="1879"/>
      <c r="I41" s="1879"/>
      <c r="J41" s="1879"/>
      <c r="K41" s="1879"/>
    </row>
    <row r="42" spans="1:11" s="1870" customFormat="1" ht="12" customHeight="1" x14ac:dyDescent="0.25">
      <c r="A42" s="2300"/>
      <c r="B42" s="2301"/>
      <c r="C42" s="2301"/>
      <c r="D42" s="2301"/>
      <c r="E42" s="2301"/>
      <c r="F42" s="2302"/>
      <c r="H42" s="1879"/>
      <c r="I42" s="1879"/>
      <c r="J42" s="1879"/>
      <c r="K42" s="1879"/>
    </row>
    <row r="43" spans="1:11" s="1870" customFormat="1" ht="15" x14ac:dyDescent="0.25">
      <c r="A43" s="2289"/>
      <c r="B43" s="2290"/>
      <c r="C43" s="2290"/>
      <c r="D43" s="2290"/>
      <c r="E43" s="2290"/>
      <c r="F43" s="2291"/>
      <c r="H43" s="1879"/>
      <c r="I43" s="1879"/>
      <c r="J43" s="1879"/>
      <c r="K43" s="1879"/>
    </row>
    <row r="44" spans="1:11" s="1870" customFormat="1" ht="12" hidden="1" customHeight="1" x14ac:dyDescent="0.25">
      <c r="A44" s="2289"/>
      <c r="B44" s="2290"/>
      <c r="C44" s="2290"/>
      <c r="D44" s="2290"/>
      <c r="E44" s="2290"/>
      <c r="F44" s="229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 74</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view="pageLayout" zoomScaleNormal="100" workbookViewId="0">
      <selection sqref="A1:F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Rochelle Twp HSD 212</v>
      </c>
      <c r="J6" s="2317"/>
      <c r="Q6" s="1664"/>
    </row>
    <row r="7" spans="1:17" x14ac:dyDescent="0.2">
      <c r="A7" s="2318" t="s">
        <v>869</v>
      </c>
      <c r="B7" s="2319"/>
      <c r="C7" s="2319"/>
      <c r="D7" s="2319"/>
      <c r="E7" s="2320"/>
      <c r="F7" s="1017"/>
      <c r="G7" s="1009"/>
      <c r="H7" s="1016" t="s">
        <v>372</v>
      </c>
      <c r="I7" s="2321">
        <f>COVER!A13</f>
        <v>47071212017</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429763</v>
      </c>
      <c r="F12" s="1039"/>
      <c r="G12" s="1811">
        <f t="shared" ref="G12:G18" si="0">SUM(E12:F12)</f>
        <v>429763</v>
      </c>
      <c r="H12" s="1040">
        <v>378610</v>
      </c>
      <c r="I12" s="1039"/>
      <c r="J12" s="1811">
        <f t="shared" ref="J12:J18" si="1">SUM(H12:I12)</f>
        <v>378610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429763</v>
      </c>
      <c r="F19" s="1813">
        <f t="shared" si="2"/>
        <v>0</v>
      </c>
      <c r="G19" s="1813">
        <f t="shared" si="2"/>
        <v>429763</v>
      </c>
      <c r="H19" s="1813">
        <f t="shared" si="2"/>
        <v>378610</v>
      </c>
      <c r="I19" s="1813">
        <f t="shared" si="2"/>
        <v>0</v>
      </c>
      <c r="J19" s="1813">
        <f t="shared" si="2"/>
        <v>378610</v>
      </c>
    </row>
    <row r="20" spans="1:10" ht="13.5" thickTop="1" x14ac:dyDescent="0.2">
      <c r="A20" s="1035">
        <v>9</v>
      </c>
      <c r="B20" s="2328" t="s">
        <v>1981</v>
      </c>
      <c r="C20" s="2328"/>
      <c r="D20" s="2329"/>
      <c r="E20" s="1046"/>
      <c r="F20" s="1046"/>
      <c r="G20" s="1046"/>
      <c r="H20" s="1046"/>
      <c r="I20" s="1046"/>
      <c r="J20" s="1814">
        <f>IF(AND(G19&gt;0,J19&gt;0),(((J19-G19)/G19)),"Enter Budget Data")</f>
        <v>-0.11902606785600435</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t="s">
        <v>2067</v>
      </c>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1983</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 xml:space="preserve">&amp;C </oddHeader>
    <oddFooter>&amp;C75</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zoomScaleNormal="10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headerFooter>
    <oddFooter>&amp;C7</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view="pageLayout" zoomScaleNormal="100" workbookViewId="0">
      <selection sqref="A1:F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2087</v>
      </c>
    </row>
    <row r="6" spans="1:2" x14ac:dyDescent="0.2">
      <c r="A6" s="1068">
        <v>2</v>
      </c>
      <c r="B6" s="329" t="s">
        <v>2090</v>
      </c>
    </row>
    <row r="7" spans="1:2" x14ac:dyDescent="0.2">
      <c r="A7" s="1068">
        <v>3</v>
      </c>
      <c r="B7" s="329" t="s">
        <v>2093</v>
      </c>
    </row>
    <row r="8" spans="1:2" x14ac:dyDescent="0.2">
      <c r="A8" s="1068">
        <v>4</v>
      </c>
      <c r="B8" s="329" t="s">
        <v>2088</v>
      </c>
    </row>
    <row r="9" spans="1:2" x14ac:dyDescent="0.2">
      <c r="A9" s="1068">
        <v>5</v>
      </c>
      <c r="B9" s="329" t="s">
        <v>2089</v>
      </c>
    </row>
    <row r="10" spans="1:2" x14ac:dyDescent="0.2">
      <c r="A10" s="1068">
        <v>6</v>
      </c>
      <c r="B10" s="329" t="s">
        <v>2091</v>
      </c>
    </row>
    <row r="11" spans="1:2" x14ac:dyDescent="0.2">
      <c r="A11" s="1069">
        <v>7</v>
      </c>
      <c r="B11" s="329" t="s">
        <v>2092</v>
      </c>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Rochelle Twp HSD 212</v>
      </c>
    </row>
    <row r="65" spans="2:2" x14ac:dyDescent="0.2">
      <c r="B65" s="1070">
        <f>COVER!A13</f>
        <v>47071212017</v>
      </c>
    </row>
  </sheetData>
  <phoneticPr fontId="14" type="noConversion"/>
  <pageMargins left="0.2" right="0.2" top="1.17" bottom="0.75" header="0.19" footer="0.16"/>
  <pageSetup scale="80" firstPageNumber="32" orientation="portrait" useFirstPageNumber="1" r:id="rId1"/>
  <headerFooter alignWithMargins="0">
    <oddHeader xml:space="preserve">&amp;C </oddHeader>
    <oddFooter>&amp;C76</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view="pageLayout" zoomScaleNormal="10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Footer>&amp;C77</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276225</xdr:colOff>
                <xdr:row>2</xdr:row>
                <xdr:rowOff>28575</xdr:rowOff>
              </from>
              <to>
                <xdr:col>1</xdr:col>
                <xdr:colOff>1190625</xdr:colOff>
                <xdr:row>6</xdr:row>
                <xdr:rowOff>28575</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view="pageLayout" zoomScaleNormal="10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1987</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1988</v>
      </c>
      <c r="B4" s="2356"/>
      <c r="C4" s="2356"/>
      <c r="D4" s="2356"/>
      <c r="E4" s="2356"/>
      <c r="F4" s="2357"/>
      <c r="G4" s="1074"/>
      <c r="H4" s="1074"/>
    </row>
    <row r="5" spans="1:8" ht="14.25" customHeight="1" x14ac:dyDescent="0.2">
      <c r="A5" s="2358" t="s">
        <v>1984</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9677198</v>
      </c>
      <c r="C8" s="1815">
        <f>'Acct Summary 7-8'!D8</f>
        <v>1109812</v>
      </c>
      <c r="D8" s="1815">
        <f>'Acct Summary 7-8'!F8</f>
        <v>1409936</v>
      </c>
      <c r="E8" s="1815">
        <f>'Acct Summary 7-8'!I8</f>
        <v>97744</v>
      </c>
      <c r="F8" s="1815">
        <f>SUM(B8:E8)</f>
        <v>12294690</v>
      </c>
    </row>
    <row r="9" spans="1:8" s="1079" customFormat="1" ht="14.25" customHeight="1" thickBot="1" x14ac:dyDescent="0.25">
      <c r="A9" s="1078" t="s">
        <v>1369</v>
      </c>
      <c r="B9" s="1816">
        <f>'Acct Summary 7-8'!C17</f>
        <v>8923664</v>
      </c>
      <c r="C9" s="1816">
        <f>'Acct Summary 7-8'!D17</f>
        <v>1141754</v>
      </c>
      <c r="D9" s="1816">
        <f>'Acct Summary 7-8'!F17</f>
        <v>1220012</v>
      </c>
      <c r="E9" s="1815"/>
      <c r="F9" s="1815">
        <f>SUM(B9:E9)</f>
        <v>11285430</v>
      </c>
    </row>
    <row r="10" spans="1:8" s="1079" customFormat="1" ht="14.25" thickTop="1" thickBot="1" x14ac:dyDescent="0.25">
      <c r="A10" s="1080" t="s">
        <v>1370</v>
      </c>
      <c r="B10" s="1817">
        <f>(B8-B9)</f>
        <v>753534</v>
      </c>
      <c r="C10" s="1817">
        <f>(C8-C9)</f>
        <v>-31942</v>
      </c>
      <c r="D10" s="1817">
        <f>(D8-D9)</f>
        <v>189924</v>
      </c>
      <c r="E10" s="1816">
        <f>(E8-E9)</f>
        <v>97744</v>
      </c>
      <c r="F10" s="1818">
        <f>SUM(F8-F9)</f>
        <v>1009260</v>
      </c>
    </row>
    <row r="11" spans="1:8" s="1079" customFormat="1" ht="14.25" thickTop="1" thickBot="1" x14ac:dyDescent="0.25">
      <c r="A11" s="1081" t="s">
        <v>1985</v>
      </c>
      <c r="B11" s="1819">
        <f>'Acct Summary 7-8'!C81</f>
        <v>8087579</v>
      </c>
      <c r="C11" s="1819">
        <f>'Acct Summary 7-8'!D81</f>
        <v>1177143</v>
      </c>
      <c r="D11" s="1819">
        <f>'Acct Summary 7-8'!F81</f>
        <v>1805715</v>
      </c>
      <c r="E11" s="1819">
        <f>'Acct Summary 7-8'!I81</f>
        <v>3238494</v>
      </c>
      <c r="F11" s="1820">
        <f>SUM(B11:E11)</f>
        <v>14308931</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Footer>&amp;C78</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topLeftCell="A67"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workbookViewId="0"/>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47071212017</v>
      </c>
    </row>
    <row r="3" spans="1:2" x14ac:dyDescent="0.2">
      <c r="A3" t="s">
        <v>956</v>
      </c>
      <c r="B3" s="138" t="str">
        <f>COVER!A15</f>
        <v>Ogle-Lee-DeKalb</v>
      </c>
    </row>
    <row r="4" spans="1:2" x14ac:dyDescent="0.2">
      <c r="A4" t="s">
        <v>1007</v>
      </c>
      <c r="B4" s="138" t="str">
        <f>COVER!A17</f>
        <v>Rochelle Twp HSD 212</v>
      </c>
    </row>
    <row r="5" spans="1:2" x14ac:dyDescent="0.2">
      <c r="A5" t="s">
        <v>704</v>
      </c>
      <c r="B5" s="138" t="str">
        <f>COVER!A38</f>
        <v>Jason Harper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f>IF(COVER!J31="x","Yes",IF(COVER!L31="x","No",0))</f>
        <v>0</v>
      </c>
    </row>
    <row r="15" spans="1:2" x14ac:dyDescent="0.2">
      <c r="A15" t="s">
        <v>577</v>
      </c>
      <c r="B15" s="138" t="str">
        <f>COVER!T23</f>
        <v>066-004023</v>
      </c>
    </row>
    <row r="16" spans="1:2" x14ac:dyDescent="0.2">
      <c r="A16" t="s">
        <v>422</v>
      </c>
      <c r="B16" s="138" t="str">
        <f>COVER!T13</f>
        <v>Wipfli LLP</v>
      </c>
    </row>
    <row r="17" spans="1:2" x14ac:dyDescent="0.2">
      <c r="A17" t="s">
        <v>884</v>
      </c>
      <c r="B17" s="138" t="str">
        <f>COVER!T15</f>
        <v>Rory Sohn</v>
      </c>
    </row>
    <row r="18" spans="1:2" x14ac:dyDescent="0.2">
      <c r="A18" t="s">
        <v>1150</v>
      </c>
      <c r="B18" s="138" t="str">
        <f>COVER!T17</f>
        <v>215 East First Street, Suite 200</v>
      </c>
    </row>
    <row r="19" spans="1:2" x14ac:dyDescent="0.2">
      <c r="A19" t="s">
        <v>886</v>
      </c>
      <c r="B19" s="138">
        <f>COVER!T25</f>
        <v>0</v>
      </c>
    </row>
    <row r="20" spans="1:2" x14ac:dyDescent="0.2">
      <c r="A20" t="s">
        <v>887</v>
      </c>
      <c r="B20" s="138" t="str">
        <f>COVER!T19</f>
        <v>Dixon</v>
      </c>
    </row>
    <row r="21" spans="1:2" x14ac:dyDescent="0.2">
      <c r="A21" t="s">
        <v>479</v>
      </c>
      <c r="B21" s="138" t="str">
        <f>COVER!X19</f>
        <v>IL</v>
      </c>
    </row>
    <row r="22" spans="1:2" x14ac:dyDescent="0.2">
      <c r="A22" t="s">
        <v>888</v>
      </c>
      <c r="B22" s="138">
        <f>COVER!Z19</f>
        <v>61021</v>
      </c>
    </row>
    <row r="23" spans="1:2" x14ac:dyDescent="0.2">
      <c r="A23" t="s">
        <v>1152</v>
      </c>
      <c r="B23" s="138" t="str">
        <f>COVER!T21</f>
        <v>815-284-3331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Yes</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991661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8081303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-3762</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-6276</v>
      </c>
      <c r="C91" s="2" t="s">
        <v>573</v>
      </c>
      <c r="D91" s="2" t="str">
        <f t="shared" si="0"/>
        <v>Error?</v>
      </c>
    </row>
    <row r="92" spans="1:4" x14ac:dyDescent="0.2">
      <c r="A92" s="5">
        <v>31</v>
      </c>
      <c r="B92" s="138">
        <f>'Assets-Liab 5-6'!C39</f>
        <v>8087579</v>
      </c>
      <c r="D92" s="2" t="str">
        <f t="shared" si="0"/>
        <v>Error?</v>
      </c>
    </row>
    <row r="93" spans="1:4" x14ac:dyDescent="0.2">
      <c r="A93" s="5">
        <v>32</v>
      </c>
      <c r="B93" s="138">
        <f>'Assets-Liab 5-6'!C41</f>
        <v>8081303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740172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1178902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1759</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1759</v>
      </c>
      <c r="C122" s="2" t="s">
        <v>573</v>
      </c>
      <c r="D122" s="2" t="str">
        <f t="shared" si="0"/>
        <v>Error?</v>
      </c>
    </row>
    <row r="123" spans="1:4" x14ac:dyDescent="0.2">
      <c r="A123" s="5">
        <v>62</v>
      </c>
      <c r="B123" s="138">
        <f>'Assets-Liab 5-6'!D39</f>
        <v>1177143</v>
      </c>
      <c r="D123" s="2" t="str">
        <f t="shared" si="0"/>
        <v>Error?</v>
      </c>
    </row>
    <row r="124" spans="1:4" x14ac:dyDescent="0.2">
      <c r="A124" s="5">
        <v>63</v>
      </c>
      <c r="B124" s="138">
        <f>'Assets-Liab 5-6'!D41</f>
        <v>1178902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874567</v>
      </c>
      <c r="D129" s="2" t="str">
        <f t="shared" si="1"/>
        <v>Error?</v>
      </c>
    </row>
    <row r="130" spans="1:4" x14ac:dyDescent="0.2">
      <c r="A130" s="5">
        <v>69</v>
      </c>
      <c r="B130" s="138">
        <f>'Assets-Liab 5-6'!E12</f>
        <v>0</v>
      </c>
      <c r="D130" s="2" t="str">
        <f t="shared" si="1"/>
        <v>Error?</v>
      </c>
    </row>
    <row r="131" spans="1:4" x14ac:dyDescent="0.2">
      <c r="A131" s="5">
        <v>70</v>
      </c>
      <c r="B131" s="138">
        <f>'Assets-Liab 5-6'!E13</f>
        <v>874567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266592</v>
      </c>
      <c r="C139" s="2" t="s">
        <v>573</v>
      </c>
      <c r="D139" s="2" t="str">
        <f t="shared" si="1"/>
        <v>Error?</v>
      </c>
    </row>
    <row r="140" spans="1:4" x14ac:dyDescent="0.2">
      <c r="A140" s="5">
        <v>79</v>
      </c>
      <c r="B140" s="138">
        <f>'Assets-Liab 5-6'!E39</f>
        <v>607975</v>
      </c>
      <c r="D140" s="2" t="str">
        <f t="shared" si="1"/>
        <v>Error?</v>
      </c>
    </row>
    <row r="141" spans="1:4" x14ac:dyDescent="0.2">
      <c r="A141" s="5">
        <v>80</v>
      </c>
      <c r="B141" s="138">
        <f>'Assets-Liab 5-6'!E41</f>
        <v>874567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262132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1808836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3121</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3121</v>
      </c>
      <c r="C169" s="2" t="s">
        <v>573</v>
      </c>
      <c r="D169" s="2" t="str">
        <f t="shared" si="1"/>
        <v>Error?</v>
      </c>
    </row>
    <row r="170" spans="1:4" x14ac:dyDescent="0.2">
      <c r="A170" s="5">
        <v>109</v>
      </c>
      <c r="B170" s="138">
        <f>'Assets-Liab 5-6'!F39</f>
        <v>1805715</v>
      </c>
      <c r="D170" s="2" t="str">
        <f t="shared" si="1"/>
        <v>Error?</v>
      </c>
    </row>
    <row r="171" spans="1:4" x14ac:dyDescent="0.2">
      <c r="A171" s="5">
        <v>110</v>
      </c>
      <c r="B171" s="138">
        <f>'Assets-Liab 5-6'!F41</f>
        <v>1808836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241378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241378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154968</v>
      </c>
      <c r="C188" s="2" t="s">
        <v>573</v>
      </c>
      <c r="D188" s="2" t="str">
        <f t="shared" si="1"/>
        <v>Error?</v>
      </c>
    </row>
    <row r="189" spans="1:4" x14ac:dyDescent="0.2">
      <c r="A189" s="5">
        <v>128</v>
      </c>
      <c r="B189" s="138">
        <f>'Assets-Liab 5-6'!G39</f>
        <v>86410</v>
      </c>
      <c r="D189" s="2" t="str">
        <f t="shared" si="1"/>
        <v>Error?</v>
      </c>
    </row>
    <row r="190" spans="1:4" x14ac:dyDescent="0.2">
      <c r="A190" s="5">
        <v>129</v>
      </c>
      <c r="B190" s="138">
        <f>'Assets-Liab 5-6'!G41</f>
        <v>241378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79860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79860</v>
      </c>
      <c r="D212" s="2" t="str">
        <f t="shared" si="2"/>
        <v>Error?</v>
      </c>
    </row>
    <row r="213" spans="1:4" x14ac:dyDescent="0.2">
      <c r="A213" s="12">
        <v>152</v>
      </c>
      <c r="B213" s="138">
        <f>'Assets-Liab 5-6'!H41</f>
        <v>79860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1313712</v>
      </c>
      <c r="D273" s="2" t="str">
        <f t="shared" si="3"/>
        <v>Error?</v>
      </c>
    </row>
    <row r="274" spans="1:4" x14ac:dyDescent="0.2">
      <c r="A274" s="5">
        <v>213</v>
      </c>
      <c r="B274" s="138">
        <f>'Assets-Liab 5-6'!M17</f>
        <v>29130126</v>
      </c>
      <c r="D274" s="2" t="str">
        <f t="shared" si="3"/>
        <v>Error?</v>
      </c>
    </row>
    <row r="275" spans="1:4" x14ac:dyDescent="0.2">
      <c r="A275" s="5">
        <v>214</v>
      </c>
      <c r="B275" s="138">
        <f>'Assets-Liab 5-6'!M18</f>
        <v>2646904</v>
      </c>
      <c r="D275" s="2" t="str">
        <f t="shared" si="3"/>
        <v>Error?</v>
      </c>
    </row>
    <row r="276" spans="1:4" x14ac:dyDescent="0.2">
      <c r="A276" s="5">
        <v>215</v>
      </c>
      <c r="B276" s="138">
        <f>'Assets-Liab 5-6'!M19</f>
        <v>1340388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34431130</v>
      </c>
      <c r="C279" s="2" t="s">
        <v>573</v>
      </c>
      <c r="D279" s="2" t="str">
        <f t="shared" si="3"/>
        <v>Error?</v>
      </c>
    </row>
    <row r="280" spans="1:4" x14ac:dyDescent="0.2">
      <c r="A280" s="5">
        <v>219</v>
      </c>
      <c r="B280" s="138">
        <f>'Assets-Liab 5-6'!M40</f>
        <v>34431130</v>
      </c>
      <c r="D280" s="2" t="str">
        <f t="shared" si="3"/>
        <v>Error?</v>
      </c>
    </row>
    <row r="281" spans="1:4" x14ac:dyDescent="0.2">
      <c r="A281" s="5">
        <v>220</v>
      </c>
      <c r="B281" s="138">
        <f>'Assets-Liab 5-6'!M41</f>
        <v>34431130</v>
      </c>
      <c r="C281" s="2" t="s">
        <v>573</v>
      </c>
      <c r="D281" s="2" t="str">
        <f t="shared" si="3"/>
        <v>Error?</v>
      </c>
    </row>
    <row r="282" spans="1:4" x14ac:dyDescent="0.2">
      <c r="A282" s="5">
        <v>221</v>
      </c>
      <c r="B282" s="138">
        <f>'Assets-Liab 5-6'!N21</f>
        <v>607976</v>
      </c>
      <c r="D282" s="2" t="str">
        <f t="shared" si="3"/>
        <v>Error?</v>
      </c>
    </row>
    <row r="283" spans="1:4" x14ac:dyDescent="0.2">
      <c r="A283" s="5">
        <v>222</v>
      </c>
      <c r="B283" s="138">
        <f>'Assets-Liab 5-6'!N22</f>
        <v>9617024</v>
      </c>
      <c r="D283" s="2" t="str">
        <f t="shared" si="3"/>
        <v>Error?</v>
      </c>
    </row>
    <row r="284" spans="1:4" x14ac:dyDescent="0.2">
      <c r="A284" s="5">
        <v>223</v>
      </c>
      <c r="B284" s="138">
        <f>'Assets-Liab 5-6'!N23</f>
        <v>10225000</v>
      </c>
      <c r="C284" s="2" t="s">
        <v>573</v>
      </c>
      <c r="D284" s="2" t="str">
        <f t="shared" si="3"/>
        <v>Error?</v>
      </c>
    </row>
    <row r="285" spans="1:4" x14ac:dyDescent="0.2">
      <c r="A285" s="5">
        <v>224</v>
      </c>
      <c r="B285" s="138">
        <f>'Assets-Liab 5-6'!N36</f>
        <v>10225000</v>
      </c>
      <c r="D285" s="2" t="str">
        <f t="shared" si="3"/>
        <v>Error?</v>
      </c>
    </row>
    <row r="286" spans="1:4" x14ac:dyDescent="0.2">
      <c r="A286" s="10">
        <v>225</v>
      </c>
      <c r="D286" s="2" t="str">
        <f t="shared" si="3"/>
        <v>OK</v>
      </c>
    </row>
    <row r="287" spans="1:4" x14ac:dyDescent="0.2">
      <c r="A287" s="5">
        <v>226</v>
      </c>
      <c r="B287" s="138">
        <f>'Assets-Liab 5-6'!N37</f>
        <v>10225000</v>
      </c>
      <c r="C287" s="2" t="s">
        <v>573</v>
      </c>
      <c r="D287" s="2" t="str">
        <f t="shared" si="3"/>
        <v>Error?</v>
      </c>
    </row>
    <row r="288" spans="1:4" x14ac:dyDescent="0.2">
      <c r="A288" s="5">
        <v>227</v>
      </c>
      <c r="B288" s="138">
        <f>'Assets-Liab 5-6'!N41</f>
        <v>10225000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175000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3206280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400673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4015288</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250809</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250809</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94638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94638</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305142</v>
      </c>
      <c r="D733" s="2" t="str">
        <f t="shared" si="10"/>
        <v>Error?</v>
      </c>
    </row>
    <row r="734" spans="1:4" x14ac:dyDescent="0.2">
      <c r="A734" s="5">
        <v>673</v>
      </c>
      <c r="B734" s="138">
        <f>'Expenditures 15-22'!C53</f>
        <v>305142</v>
      </c>
      <c r="C734" s="2" t="s">
        <v>573</v>
      </c>
      <c r="D734" s="2" t="str">
        <f t="shared" si="10"/>
        <v>Error?</v>
      </c>
    </row>
    <row r="735" spans="1:4" x14ac:dyDescent="0.2">
      <c r="A735" s="5">
        <v>674</v>
      </c>
      <c r="B735" s="138">
        <f>'Expenditures 15-22'!C55</f>
        <v>266408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266408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242595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407493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650088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20250</v>
      </c>
      <c r="D754" s="2" t="str">
        <f t="shared" si="10"/>
        <v>Error?</v>
      </c>
    </row>
    <row r="755" spans="1:4" x14ac:dyDescent="0.2">
      <c r="A755" s="5">
        <v>694</v>
      </c>
      <c r="B755" s="138">
        <f>'Expenditures 15-22'!C74</f>
        <v>1587335</v>
      </c>
      <c r="C755" s="2" t="s">
        <v>573</v>
      </c>
      <c r="D755" s="2" t="str">
        <f t="shared" si="10"/>
        <v>Error?</v>
      </c>
    </row>
    <row r="756" spans="1:4" x14ac:dyDescent="0.2">
      <c r="A756" s="5">
        <v>695</v>
      </c>
      <c r="B756" s="138">
        <f>'Expenditures 15-22'!C75</f>
        <v>10188</v>
      </c>
      <c r="D756" s="2" t="str">
        <f t="shared" si="10"/>
        <v>Error?</v>
      </c>
    </row>
    <row r="757" spans="1:4" x14ac:dyDescent="0.2">
      <c r="A757" s="5">
        <v>696</v>
      </c>
      <c r="B757" s="138">
        <f>'Expenditures 15-22'!C114</f>
        <v>5612811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995560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68178</v>
      </c>
      <c r="D776" s="2" t="str">
        <f t="shared" si="11"/>
        <v>Error?</v>
      </c>
    </row>
    <row r="777" spans="1:4" x14ac:dyDescent="0.2">
      <c r="A777" s="5">
        <v>716</v>
      </c>
      <c r="B777" s="138">
        <f>'Expenditures 15-22'!D15</f>
        <v>1213</v>
      </c>
      <c r="D777" s="2" t="str">
        <f t="shared" si="11"/>
        <v>Error?</v>
      </c>
    </row>
    <row r="778" spans="1:4" x14ac:dyDescent="0.2">
      <c r="A778" s="5">
        <v>717</v>
      </c>
      <c r="B778" s="138">
        <f>'Expenditures 15-22'!D33</f>
        <v>1188924</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71172</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71172</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27716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27716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66233</v>
      </c>
      <c r="D791" s="2" t="str">
        <f t="shared" si="11"/>
        <v>Error?</v>
      </c>
    </row>
    <row r="792" spans="1:4" x14ac:dyDescent="0.2">
      <c r="A792" s="5">
        <v>731</v>
      </c>
      <c r="B792" s="138">
        <f>'Expenditures 15-22'!D53</f>
        <v>104572</v>
      </c>
      <c r="C792" s="2" t="s">
        <v>573</v>
      </c>
      <c r="D792" s="2" t="str">
        <f t="shared" si="11"/>
        <v>Error?</v>
      </c>
    </row>
    <row r="793" spans="1:4" x14ac:dyDescent="0.2">
      <c r="A793" s="5">
        <v>732</v>
      </c>
      <c r="B793" s="138">
        <f>'Expenditures 15-22'!D55</f>
        <v>83593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83593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60641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47</v>
      </c>
      <c r="D799" s="2" t="str">
        <f t="shared" si="11"/>
        <v>Error?</v>
      </c>
    </row>
    <row r="800" spans="1:4" x14ac:dyDescent="0.2">
      <c r="A800" s="5">
        <v>739</v>
      </c>
      <c r="B800" s="138">
        <f>'Expenditures 15-22'!D63</f>
        <v>9397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70085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357138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1546062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2823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68422</v>
      </c>
      <c r="D834" s="2" t="str">
        <f t="shared" si="12"/>
        <v>Error?</v>
      </c>
    </row>
    <row r="835" spans="1:4" x14ac:dyDescent="0.2">
      <c r="A835" s="5">
        <v>774</v>
      </c>
      <c r="B835" s="138">
        <f>'Expenditures 15-22'!E15</f>
        <v>22697</v>
      </c>
      <c r="D835" s="2" t="str">
        <f t="shared" si="12"/>
        <v>Error?</v>
      </c>
    </row>
    <row r="836" spans="1:4" x14ac:dyDescent="0.2">
      <c r="A836" s="5">
        <v>775</v>
      </c>
      <c r="B836" s="138">
        <f>'Expenditures 15-22'!E33</f>
        <v>102007</v>
      </c>
      <c r="C836" s="2" t="s">
        <v>573</v>
      </c>
      <c r="D836" s="2" t="str">
        <f t="shared" si="12"/>
        <v>Error?</v>
      </c>
    </row>
    <row r="837" spans="1:4" x14ac:dyDescent="0.2">
      <c r="A837" s="5">
        <v>776</v>
      </c>
      <c r="B837" s="138">
        <f>'Expenditures 15-22'!E36</f>
        <v>8549</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1624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10173</v>
      </c>
      <c r="C843" s="2" t="s">
        <v>573</v>
      </c>
      <c r="D843" s="2" t="str">
        <f t="shared" si="12"/>
        <v>Error?</v>
      </c>
    </row>
    <row r="844" spans="1:4" x14ac:dyDescent="0.2">
      <c r="A844" s="5">
        <v>783</v>
      </c>
      <c r="B844" s="138">
        <f>'Expenditures 15-22'!E44</f>
        <v>14305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14305</v>
      </c>
      <c r="C847" s="2" t="s">
        <v>573</v>
      </c>
      <c r="D847" s="2" t="str">
        <f t="shared" si="12"/>
        <v>Error?</v>
      </c>
    </row>
    <row r="848" spans="1:4" x14ac:dyDescent="0.2">
      <c r="A848" s="5">
        <v>787</v>
      </c>
      <c r="B848" s="138">
        <f>'Expenditures 15-22'!E49</f>
        <v>74023</v>
      </c>
      <c r="D848" s="2" t="str">
        <f t="shared" si="12"/>
        <v>Error?</v>
      </c>
    </row>
    <row r="849" spans="1:4" x14ac:dyDescent="0.2">
      <c r="A849" s="5">
        <v>788</v>
      </c>
      <c r="B849" s="138">
        <f>'Expenditures 15-22'!E50</f>
        <v>53609</v>
      </c>
      <c r="D849" s="2" t="str">
        <f t="shared" si="12"/>
        <v>Error?</v>
      </c>
    </row>
    <row r="850" spans="1:4" x14ac:dyDescent="0.2">
      <c r="A850" s="5">
        <v>789</v>
      </c>
      <c r="B850" s="138">
        <f>'Expenditures 15-22'!E53</f>
        <v>127632</v>
      </c>
      <c r="C850" s="2" t="s">
        <v>573</v>
      </c>
      <c r="D850" s="2" t="str">
        <f t="shared" si="12"/>
        <v>Error?</v>
      </c>
    </row>
    <row r="851" spans="1:4" x14ac:dyDescent="0.2">
      <c r="A851" s="5">
        <v>790</v>
      </c>
      <c r="B851" s="138">
        <f>'Expenditures 15-22'!E55</f>
        <v>3292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3292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32944</v>
      </c>
      <c r="D855" s="2" t="str">
        <f t="shared" si="12"/>
        <v>Error?</v>
      </c>
    </row>
    <row r="856" spans="1:4" x14ac:dyDescent="0.2">
      <c r="A856" s="5">
        <v>795</v>
      </c>
      <c r="B856" s="138">
        <f>'Expenditures 15-22'!E61</f>
        <v>111685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144629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300031</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1276711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99646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52141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164679</v>
      </c>
      <c r="C894" s="2" t="s">
        <v>573</v>
      </c>
      <c r="D894" s="2" t="str">
        <f t="shared" si="12"/>
        <v>Error?</v>
      </c>
    </row>
    <row r="895" spans="1:4" x14ac:dyDescent="0.2">
      <c r="A895" s="5">
        <v>834</v>
      </c>
      <c r="B895" s="138">
        <f>'Expenditures 15-22'!F36</f>
        <v>5851</v>
      </c>
      <c r="D895" s="2" t="str">
        <f t="shared" ref="D895:D958" si="13">IF(ISBLANK(B895),"OK",IF(A895-B895=0,"OK","Error?"))</f>
        <v>Error?</v>
      </c>
    </row>
    <row r="896" spans="1:4" x14ac:dyDescent="0.2">
      <c r="A896" s="5">
        <v>835</v>
      </c>
      <c r="B896" s="138">
        <f>'Expenditures 15-22'!F37</f>
        <v>772</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6623</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19999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19999</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583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583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160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160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27365</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192044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47677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128393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720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720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254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254</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974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129367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39247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39381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78628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238</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238</v>
      </c>
      <c r="C1021" s="2" t="s">
        <v>573</v>
      </c>
      <c r="D1021" s="2" t="str">
        <f t="shared" si="14"/>
        <v>Error?</v>
      </c>
    </row>
    <row r="1022" spans="1:4" x14ac:dyDescent="0.2">
      <c r="A1022" s="5">
        <v>961</v>
      </c>
      <c r="B1022" s="138">
        <f>'Expenditures 15-22'!H49</f>
        <v>11548</v>
      </c>
      <c r="D1022" s="2" t="str">
        <f t="shared" si="14"/>
        <v>Error?</v>
      </c>
    </row>
    <row r="1023" spans="1:4" x14ac:dyDescent="0.2">
      <c r="A1023" s="5">
        <v>962</v>
      </c>
      <c r="B1023" s="138">
        <f>'Expenditures 15-22'!H50</f>
        <v>4779</v>
      </c>
      <c r="D1023" s="2" t="str">
        <f t="shared" ref="D1023:D1086" si="15">IF(ISBLANK(B1023),"OK",IF(A1023-B1023=0,"OK","Error?"))</f>
        <v>Error?</v>
      </c>
    </row>
    <row r="1024" spans="1:4" x14ac:dyDescent="0.2">
      <c r="A1024" s="5">
        <v>963</v>
      </c>
      <c r="B1024" s="138">
        <f>'Expenditures 15-22'!H53</f>
        <v>16327</v>
      </c>
      <c r="C1024" s="2" t="s">
        <v>573</v>
      </c>
      <c r="D1024" s="2" t="str">
        <f t="shared" si="15"/>
        <v>Error?</v>
      </c>
    </row>
    <row r="1025" spans="1:4" x14ac:dyDescent="0.2">
      <c r="A1025" s="5">
        <v>964</v>
      </c>
      <c r="B1025" s="138">
        <f>'Expenditures 15-22'!H55</f>
        <v>9459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9459</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2929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2929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28953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59088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166669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4391233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628795</v>
      </c>
      <c r="C1106" s="2" t="s">
        <v>573</v>
      </c>
      <c r="D1106" s="2" t="str">
        <f t="shared" si="16"/>
        <v>Error?</v>
      </c>
    </row>
    <row r="1107" spans="1:4" x14ac:dyDescent="0.2">
      <c r="A1107" s="5">
        <v>1046</v>
      </c>
      <c r="B1107" s="138">
        <f>'Expenditures 15-22'!K15</f>
        <v>23910</v>
      </c>
      <c r="C1107" s="2" t="s">
        <v>573</v>
      </c>
      <c r="D1107" s="2" t="str">
        <f t="shared" si="16"/>
        <v>Error?</v>
      </c>
    </row>
    <row r="1108" spans="1:4" x14ac:dyDescent="0.2">
      <c r="A1108" s="5">
        <v>1047</v>
      </c>
      <c r="B1108" s="138">
        <f>'Expenditures 15-22'!K33</f>
        <v>5677919</v>
      </c>
      <c r="C1108" s="2" t="s">
        <v>573</v>
      </c>
      <c r="D1108" s="2" t="str">
        <f t="shared" si="16"/>
        <v>Error?</v>
      </c>
    </row>
    <row r="1109" spans="1:4" x14ac:dyDescent="0.2">
      <c r="A1109" s="5">
        <v>1048</v>
      </c>
      <c r="B1109" s="138">
        <f>'Expenditures 15-22'!K36</f>
        <v>14400</v>
      </c>
      <c r="C1109" s="2" t="s">
        <v>573</v>
      </c>
      <c r="D1109" s="2" t="str">
        <f t="shared" si="16"/>
        <v>Error?</v>
      </c>
    </row>
    <row r="1110" spans="1:4" x14ac:dyDescent="0.2">
      <c r="A1110" s="5">
        <v>1049</v>
      </c>
      <c r="B1110" s="138">
        <f>'Expenditures 15-22'!K37</f>
        <v>322753</v>
      </c>
      <c r="C1110" s="2" t="s">
        <v>573</v>
      </c>
      <c r="D1110" s="2" t="str">
        <f t="shared" si="16"/>
        <v>Error?</v>
      </c>
    </row>
    <row r="1111" spans="1:4" x14ac:dyDescent="0.2">
      <c r="A1111" s="5">
        <v>1050</v>
      </c>
      <c r="B1111" s="138">
        <f>'Expenditures 15-22'!K38</f>
        <v>1624</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338777</v>
      </c>
      <c r="C1115" s="2" t="s">
        <v>573</v>
      </c>
      <c r="D1115" s="2" t="str">
        <f t="shared" si="16"/>
        <v>Error?</v>
      </c>
    </row>
    <row r="1116" spans="1:4" x14ac:dyDescent="0.2">
      <c r="A1116" s="5">
        <v>1055</v>
      </c>
      <c r="B1116" s="138">
        <f>'Expenditures 15-22'!K44</f>
        <v>14305</v>
      </c>
      <c r="C1116" s="2" t="s">
        <v>573</v>
      </c>
      <c r="D1116" s="2" t="str">
        <f t="shared" si="16"/>
        <v>Error?</v>
      </c>
    </row>
    <row r="1117" spans="1:4" x14ac:dyDescent="0.2">
      <c r="A1117" s="5">
        <v>1056</v>
      </c>
      <c r="B1117" s="138">
        <f>'Expenditures 15-22'!K45</f>
        <v>143311</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157616</v>
      </c>
      <c r="C1119" s="2" t="s">
        <v>573</v>
      </c>
      <c r="D1119" s="2" t="str">
        <f t="shared" si="16"/>
        <v>Error?</v>
      </c>
    </row>
    <row r="1120" spans="1:4" x14ac:dyDescent="0.2">
      <c r="A1120" s="5">
        <v>1059</v>
      </c>
      <c r="B1120" s="138">
        <f>'Expenditures 15-22'!K49</f>
        <v>85571</v>
      </c>
      <c r="C1120" s="2" t="s">
        <v>573</v>
      </c>
      <c r="D1120" s="2" t="str">
        <f t="shared" si="16"/>
        <v>Error?</v>
      </c>
    </row>
    <row r="1121" spans="1:4" x14ac:dyDescent="0.2">
      <c r="A1121" s="5">
        <v>1060</v>
      </c>
      <c r="B1121" s="138">
        <f>'Expenditures 15-22'!K50</f>
        <v>429763</v>
      </c>
      <c r="C1121" s="2" t="s">
        <v>573</v>
      </c>
      <c r="D1121" s="2" t="str">
        <f t="shared" si="16"/>
        <v>Error?</v>
      </c>
    </row>
    <row r="1122" spans="1:4" x14ac:dyDescent="0.2">
      <c r="A1122" s="5">
        <v>1061</v>
      </c>
      <c r="B1122" s="138">
        <f>'Expenditures 15-22'!K53</f>
        <v>553673</v>
      </c>
      <c r="C1122" s="2" t="s">
        <v>573</v>
      </c>
      <c r="D1122" s="2" t="str">
        <f t="shared" si="16"/>
        <v>Error?</v>
      </c>
    </row>
    <row r="1123" spans="1:4" x14ac:dyDescent="0.2">
      <c r="A1123" s="5">
        <v>1062</v>
      </c>
      <c r="B1123" s="138">
        <f>'Expenditures 15-22'!K55</f>
        <v>363335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363335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339269</v>
      </c>
      <c r="C1127" s="2" t="s">
        <v>573</v>
      </c>
      <c r="D1127" s="2" t="str">
        <f t="shared" si="16"/>
        <v>Error?</v>
      </c>
    </row>
    <row r="1128" spans="1:4" x14ac:dyDescent="0.2">
      <c r="A1128" s="5">
        <v>1067</v>
      </c>
      <c r="B1128" s="138">
        <f>'Expenditures 15-22'!K61</f>
        <v>111685</v>
      </c>
      <c r="C1128" s="2" t="s">
        <v>573</v>
      </c>
      <c r="D1128" s="2" t="str">
        <f t="shared" si="16"/>
        <v>Error?</v>
      </c>
    </row>
    <row r="1129" spans="1:4" x14ac:dyDescent="0.2">
      <c r="A1129" s="5">
        <v>1068</v>
      </c>
      <c r="B1129" s="138">
        <f>'Expenditures 15-22'!K62</f>
        <v>47</v>
      </c>
      <c r="C1129" s="2" t="s">
        <v>573</v>
      </c>
      <c r="D1129" s="2" t="str">
        <f t="shared" si="16"/>
        <v>Error?</v>
      </c>
    </row>
    <row r="1130" spans="1:4" x14ac:dyDescent="0.2">
      <c r="A1130" s="5">
        <v>1069</v>
      </c>
      <c r="B1130" s="138">
        <f>'Expenditures 15-22'!K63</f>
        <v>417144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868145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20250</v>
      </c>
      <c r="C1142" s="2" t="s">
        <v>573</v>
      </c>
      <c r="D1142" s="2" t="str">
        <f t="shared" si="16"/>
        <v>Error?</v>
      </c>
    </row>
    <row r="1143" spans="1:4" x14ac:dyDescent="0.2">
      <c r="A1143" s="5">
        <v>1082</v>
      </c>
      <c r="B1143" s="138">
        <f>'Expenditures 15-22'!K74</f>
        <v>2301796</v>
      </c>
      <c r="C1143" s="2" t="s">
        <v>573</v>
      </c>
      <c r="D1143" s="2" t="str">
        <f t="shared" si="16"/>
        <v>Error?</v>
      </c>
    </row>
    <row r="1144" spans="1:4" x14ac:dyDescent="0.2">
      <c r="A1144" s="5">
        <v>1083</v>
      </c>
      <c r="B1144" s="138">
        <f>'Expenditures 15-22'!K75</f>
        <v>10188</v>
      </c>
      <c r="C1144" s="2" t="s">
        <v>573</v>
      </c>
      <c r="D1144" s="2" t="str">
        <f t="shared" si="16"/>
        <v>Error?</v>
      </c>
    </row>
    <row r="1145" spans="1:4" x14ac:dyDescent="0.2">
      <c r="A1145" s="5">
        <v>1084</v>
      </c>
      <c r="B1145" s="138">
        <f>'Expenditures 15-22'!K102</f>
        <v>933761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8923664</v>
      </c>
      <c r="C1152" s="2" t="s">
        <v>573</v>
      </c>
      <c r="D1152" s="2" t="str">
        <f t="shared" si="17"/>
        <v>Error?</v>
      </c>
    </row>
    <row r="1153" spans="1:4" x14ac:dyDescent="0.2">
      <c r="A1153" s="5">
        <v>1092</v>
      </c>
      <c r="B1153" s="138">
        <f>'Expenditures 15-22'!K115</f>
        <v>753534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329318</v>
      </c>
      <c r="D1221" s="2" t="str">
        <f t="shared" si="18"/>
        <v>Error?</v>
      </c>
    </row>
    <row r="1222" spans="1:4" x14ac:dyDescent="0.2">
      <c r="A1222" s="10">
        <v>1161</v>
      </c>
      <c r="D1222" s="2" t="str">
        <f t="shared" si="18"/>
        <v>OK</v>
      </c>
    </row>
    <row r="1223" spans="1:4" x14ac:dyDescent="0.2">
      <c r="A1223" s="5">
        <v>1162</v>
      </c>
      <c r="B1223" s="138">
        <f>'Expenditures 15-22'!C127</f>
        <v>329318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329318</v>
      </c>
      <c r="C1225" s="2" t="s">
        <v>573</v>
      </c>
      <c r="D1225" s="2" t="str">
        <f t="shared" si="18"/>
        <v>Error?</v>
      </c>
    </row>
    <row r="1226" spans="1:4" x14ac:dyDescent="0.2">
      <c r="A1226" s="5">
        <v>1165</v>
      </c>
      <c r="B1226" s="138">
        <f>'Expenditures 15-22'!C151</f>
        <v>329318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104314</v>
      </c>
      <c r="D1229" s="2" t="str">
        <f t="shared" si="18"/>
        <v>Error?</v>
      </c>
    </row>
    <row r="1230" spans="1:4" x14ac:dyDescent="0.2">
      <c r="A1230" s="10">
        <v>1169</v>
      </c>
      <c r="D1230" s="2" t="str">
        <f t="shared" si="18"/>
        <v>OK</v>
      </c>
    </row>
    <row r="1231" spans="1:4" x14ac:dyDescent="0.2">
      <c r="A1231" s="5">
        <v>1170</v>
      </c>
      <c r="B1231" s="138">
        <f>'Expenditures 15-22'!D127</f>
        <v>104314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104314</v>
      </c>
      <c r="C1233" s="2" t="s">
        <v>573</v>
      </c>
      <c r="D1233" s="2" t="str">
        <f t="shared" si="18"/>
        <v>Error?</v>
      </c>
    </row>
    <row r="1234" spans="1:4" x14ac:dyDescent="0.2">
      <c r="A1234" s="5">
        <v>1173</v>
      </c>
      <c r="B1234" s="138">
        <f>'Expenditures 15-22'!D151</f>
        <v>104314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850</v>
      </c>
      <c r="D1236" s="2" t="str">
        <f t="shared" si="18"/>
        <v>Error?</v>
      </c>
    </row>
    <row r="1237" spans="1:4" x14ac:dyDescent="0.2">
      <c r="A1237" s="5">
        <v>1176</v>
      </c>
      <c r="B1237" s="138">
        <f>'Expenditures 15-22'!E124</f>
        <v>87241</v>
      </c>
      <c r="D1237" s="2" t="str">
        <f t="shared" si="18"/>
        <v>Error?</v>
      </c>
    </row>
    <row r="1238" spans="1:4" x14ac:dyDescent="0.2">
      <c r="A1238" s="10">
        <v>1177</v>
      </c>
      <c r="D1238" s="2" t="str">
        <f t="shared" si="18"/>
        <v>OK</v>
      </c>
    </row>
    <row r="1239" spans="1:4" x14ac:dyDescent="0.2">
      <c r="A1239" s="5">
        <v>1178</v>
      </c>
      <c r="B1239" s="138">
        <f>'Expenditures 15-22'!E127</f>
        <v>88091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88091</v>
      </c>
      <c r="C1241" s="2" t="s">
        <v>573</v>
      </c>
      <c r="D1241" s="2" t="str">
        <f t="shared" si="18"/>
        <v>Error?</v>
      </c>
    </row>
    <row r="1242" spans="1:4" x14ac:dyDescent="0.2">
      <c r="A1242" s="5">
        <v>1181</v>
      </c>
      <c r="B1242" s="138">
        <f>'Expenditures 15-22'!E151</f>
        <v>88091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5482</v>
      </c>
      <c r="D1244" s="2" t="str">
        <f t="shared" si="18"/>
        <v>Error?</v>
      </c>
    </row>
    <row r="1245" spans="1:4" x14ac:dyDescent="0.2">
      <c r="A1245" s="5">
        <v>1184</v>
      </c>
      <c r="B1245" s="138">
        <f>'Expenditures 15-22'!F124</f>
        <v>496091</v>
      </c>
      <c r="D1245" s="2" t="str">
        <f t="shared" si="18"/>
        <v>Error?</v>
      </c>
    </row>
    <row r="1246" spans="1:4" x14ac:dyDescent="0.2">
      <c r="A1246" s="10">
        <v>1185</v>
      </c>
      <c r="D1246" s="2" t="str">
        <f t="shared" si="18"/>
        <v>OK</v>
      </c>
    </row>
    <row r="1247" spans="1:4" x14ac:dyDescent="0.2">
      <c r="A1247" s="5">
        <v>1186</v>
      </c>
      <c r="B1247" s="138">
        <f>'Expenditures 15-22'!F127</f>
        <v>501573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501573</v>
      </c>
      <c r="C1249" s="2" t="s">
        <v>573</v>
      </c>
      <c r="D1249" s="2" t="str">
        <f t="shared" si="18"/>
        <v>Error?</v>
      </c>
    </row>
    <row r="1250" spans="1:4" x14ac:dyDescent="0.2">
      <c r="A1250" s="5">
        <v>1189</v>
      </c>
      <c r="B1250" s="138">
        <f>'Expenditures 15-22'!F151</f>
        <v>501573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49735</v>
      </c>
      <c r="D1252" s="2" t="str">
        <f t="shared" si="18"/>
        <v>Error?</v>
      </c>
    </row>
    <row r="1253" spans="1:4" x14ac:dyDescent="0.2">
      <c r="A1253" s="5">
        <v>1192</v>
      </c>
      <c r="B1253" s="138">
        <f>'Expenditures 15-22'!G124</f>
        <v>40003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89738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89738</v>
      </c>
      <c r="C1258" s="2" t="s">
        <v>573</v>
      </c>
      <c r="D1258" s="2" t="str">
        <f t="shared" si="18"/>
        <v>Error?</v>
      </c>
    </row>
    <row r="1259" spans="1:4" x14ac:dyDescent="0.2">
      <c r="A1259" s="5">
        <v>1198</v>
      </c>
      <c r="B1259" s="138">
        <f>'Expenditures 15-22'!G151</f>
        <v>89738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23291</v>
      </c>
      <c r="D1261" s="2" t="str">
        <f t="shared" si="18"/>
        <v>Error?</v>
      </c>
    </row>
    <row r="1262" spans="1:4" x14ac:dyDescent="0.2">
      <c r="A1262" s="5">
        <v>1201</v>
      </c>
      <c r="B1262" s="138">
        <f>'Expenditures 15-22'!H124</f>
        <v>5429</v>
      </c>
      <c r="D1262" s="2" t="str">
        <f t="shared" si="18"/>
        <v>Error?</v>
      </c>
    </row>
    <row r="1263" spans="1:4" x14ac:dyDescent="0.2">
      <c r="A1263" s="10">
        <v>1202</v>
      </c>
      <c r="D1263" s="2" t="str">
        <f t="shared" si="18"/>
        <v>OK</v>
      </c>
    </row>
    <row r="1264" spans="1:4" x14ac:dyDescent="0.2">
      <c r="A1264" s="5">
        <v>1203</v>
      </c>
      <c r="B1264" s="138">
        <f>'Expenditures 15-22'!H127</f>
        <v>28720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28720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28720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79358</v>
      </c>
      <c r="C1275" s="2" t="s">
        <v>573</v>
      </c>
      <c r="D1275" s="2" t="str">
        <f t="shared" si="18"/>
        <v>Error?</v>
      </c>
    </row>
    <row r="1276" spans="1:4" x14ac:dyDescent="0.2">
      <c r="A1276" s="5">
        <v>1215</v>
      </c>
      <c r="B1276" s="138">
        <f>'Expenditures 15-22'!K124</f>
        <v>1062396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1141754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1141754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1141754</v>
      </c>
      <c r="C1288" s="2" t="s">
        <v>573</v>
      </c>
      <c r="D1288" s="2" t="str">
        <f t="shared" si="19"/>
        <v>Error?</v>
      </c>
    </row>
    <row r="1289" spans="1:4" x14ac:dyDescent="0.2">
      <c r="A1289" s="5">
        <v>1228</v>
      </c>
      <c r="B1289" s="138">
        <f>'Expenditures 15-22'!K152</f>
        <v>-31942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385806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1080000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1465806</v>
      </c>
      <c r="C1317" s="2" t="s">
        <v>573</v>
      </c>
      <c r="D1317" s="2" t="str">
        <f t="shared" si="19"/>
        <v>Error?</v>
      </c>
    </row>
    <row r="1318" spans="1:4" x14ac:dyDescent="0.2">
      <c r="A1318" s="5">
        <v>1257</v>
      </c>
      <c r="B1318" s="138">
        <f>'Expenditures 15-22'!H174</f>
        <v>1465806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385806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1080000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1465806</v>
      </c>
      <c r="C1331" s="2" t="s">
        <v>573</v>
      </c>
      <c r="D1331" s="2" t="str">
        <f t="shared" si="19"/>
        <v>Error?</v>
      </c>
    </row>
    <row r="1332" spans="1:4" x14ac:dyDescent="0.2">
      <c r="A1332" s="5">
        <v>1271</v>
      </c>
      <c r="B1332" s="138">
        <f>'Expenditures 15-22'!K174</f>
        <v>1465806</v>
      </c>
      <c r="C1332" s="2" t="s">
        <v>573</v>
      </c>
      <c r="D1332" s="2" t="str">
        <f t="shared" si="19"/>
        <v>Error?</v>
      </c>
    </row>
    <row r="1333" spans="1:4" x14ac:dyDescent="0.2">
      <c r="A1333" s="5">
        <v>1272</v>
      </c>
      <c r="B1333" s="138">
        <f>'Expenditures 15-22'!K175</f>
        <v>-117152</v>
      </c>
      <c r="C1333" s="2" t="s">
        <v>573</v>
      </c>
      <c r="D1333" s="2" t="str">
        <f t="shared" si="19"/>
        <v>Error?</v>
      </c>
    </row>
    <row r="1334" spans="1:4" x14ac:dyDescent="0.2">
      <c r="A1334" s="10">
        <v>1273</v>
      </c>
      <c r="D1334" s="2" t="str">
        <f t="shared" si="19"/>
        <v>OK</v>
      </c>
    </row>
    <row r="1335" spans="1:4" x14ac:dyDescent="0.2">
      <c r="A1335" s="5">
        <v>1274</v>
      </c>
      <c r="B1335" s="138">
        <f>'Expenditures 15-22'!C182</f>
        <v>712194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712194</v>
      </c>
      <c r="C1339" s="2" t="s">
        <v>573</v>
      </c>
      <c r="D1339" s="2" t="str">
        <f t="shared" si="19"/>
        <v>Error?</v>
      </c>
    </row>
    <row r="1340" spans="1:4" x14ac:dyDescent="0.2">
      <c r="A1340" s="5">
        <v>1279</v>
      </c>
      <c r="B1340" s="138">
        <f>'Expenditures 15-22'!C210</f>
        <v>712194</v>
      </c>
      <c r="C1340" s="2" t="s">
        <v>573</v>
      </c>
      <c r="D1340" s="2" t="str">
        <f t="shared" si="19"/>
        <v>Error?</v>
      </c>
    </row>
    <row r="1341" spans="1:4" x14ac:dyDescent="0.2">
      <c r="A1341" s="5">
        <v>1280</v>
      </c>
      <c r="B1341" s="138">
        <f>'Expenditures 15-22'!D182</f>
        <v>19218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19218</v>
      </c>
      <c r="C1345" s="2" t="s">
        <v>573</v>
      </c>
      <c r="D1345" s="2" t="str">
        <f t="shared" si="20"/>
        <v>Error?</v>
      </c>
    </row>
    <row r="1346" spans="1:4" x14ac:dyDescent="0.2">
      <c r="A1346" s="5">
        <v>1285</v>
      </c>
      <c r="B1346" s="138">
        <f>'Expenditures 15-22'!D210</f>
        <v>19218</v>
      </c>
      <c r="C1346" s="2" t="s">
        <v>573</v>
      </c>
      <c r="D1346" s="2" t="str">
        <f t="shared" si="20"/>
        <v>Error?</v>
      </c>
    </row>
    <row r="1347" spans="1:4" x14ac:dyDescent="0.2">
      <c r="A1347" s="5">
        <v>1286</v>
      </c>
      <c r="B1347" s="138">
        <f>'Expenditures 15-22'!E182</f>
        <v>41947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41947</v>
      </c>
      <c r="C1351" s="2" t="s">
        <v>573</v>
      </c>
      <c r="D1351" s="2" t="str">
        <f t="shared" si="20"/>
        <v>Error?</v>
      </c>
    </row>
    <row r="1352" spans="1:4" x14ac:dyDescent="0.2">
      <c r="A1352" s="5">
        <v>1291</v>
      </c>
      <c r="B1352" s="138">
        <f>'Expenditures 15-22'!E196</f>
        <v>44615</v>
      </c>
      <c r="C1352" s="2" t="s">
        <v>573</v>
      </c>
      <c r="D1352" s="2" t="str">
        <f t="shared" si="20"/>
        <v>Error?</v>
      </c>
    </row>
    <row r="1353" spans="1:4" x14ac:dyDescent="0.2">
      <c r="A1353" s="5">
        <v>1292</v>
      </c>
      <c r="B1353" s="138">
        <f>'Expenditures 15-22'!E210</f>
        <v>86562</v>
      </c>
      <c r="C1353" s="2" t="s">
        <v>573</v>
      </c>
      <c r="D1353" s="2" t="str">
        <f t="shared" si="20"/>
        <v>Error?</v>
      </c>
    </row>
    <row r="1354" spans="1:4" x14ac:dyDescent="0.2">
      <c r="A1354" s="5">
        <v>1293</v>
      </c>
      <c r="B1354" s="138">
        <f>'Expenditures 15-22'!F182</f>
        <v>152463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152463</v>
      </c>
      <c r="C1358" s="2" t="s">
        <v>573</v>
      </c>
      <c r="D1358" s="2" t="str">
        <f t="shared" si="20"/>
        <v>Error?</v>
      </c>
    </row>
    <row r="1359" spans="1:4" x14ac:dyDescent="0.2">
      <c r="A1359" s="5">
        <v>1298</v>
      </c>
      <c r="B1359" s="138">
        <f>'Expenditures 15-22'!F210</f>
        <v>152463</v>
      </c>
      <c r="C1359" s="2" t="s">
        <v>573</v>
      </c>
      <c r="D1359" s="2" t="str">
        <f t="shared" si="20"/>
        <v>Error?</v>
      </c>
    </row>
    <row r="1360" spans="1:4" x14ac:dyDescent="0.2">
      <c r="A1360" s="5">
        <v>1299</v>
      </c>
      <c r="B1360" s="138">
        <f>'Expenditures 15-22'!G182</f>
        <v>248804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248804</v>
      </c>
      <c r="C1364" s="2" t="s">
        <v>573</v>
      </c>
      <c r="D1364" s="2" t="str">
        <f t="shared" si="20"/>
        <v>Error?</v>
      </c>
    </row>
    <row r="1365" spans="1:4" x14ac:dyDescent="0.2">
      <c r="A1365" s="5">
        <v>1304</v>
      </c>
      <c r="B1365" s="138">
        <f>'Expenditures 15-22'!G210</f>
        <v>248804</v>
      </c>
      <c r="C1365" s="2" t="s">
        <v>573</v>
      </c>
      <c r="D1365" s="2" t="str">
        <f t="shared" si="20"/>
        <v>Error?</v>
      </c>
    </row>
    <row r="1366" spans="1:4" x14ac:dyDescent="0.2">
      <c r="A1366" s="5">
        <v>1305</v>
      </c>
      <c r="B1366" s="138">
        <f>'Expenditures 15-22'!H182</f>
        <v>771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771</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771</v>
      </c>
      <c r="C1376" s="2" t="s">
        <v>573</v>
      </c>
      <c r="D1376" s="2" t="str">
        <f t="shared" si="20"/>
        <v>Error?</v>
      </c>
    </row>
    <row r="1377" spans="1:4" x14ac:dyDescent="0.2">
      <c r="A1377" s="5">
        <v>1316</v>
      </c>
      <c r="B1377" s="138">
        <f>'Expenditures 15-22'!K182</f>
        <v>1175397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1175397</v>
      </c>
      <c r="C1381" s="2" t="s">
        <v>573</v>
      </c>
      <c r="D1381" s="2" t="str">
        <f t="shared" si="20"/>
        <v>Error?</v>
      </c>
    </row>
    <row r="1382" spans="1:4" x14ac:dyDescent="0.2">
      <c r="A1382" s="5">
        <v>1321</v>
      </c>
      <c r="B1382" s="138">
        <f>'Expenditures 15-22'!K196</f>
        <v>44615</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1220012</v>
      </c>
      <c r="C1388" s="2" t="s">
        <v>573</v>
      </c>
      <c r="D1388" s="2" t="str">
        <f t="shared" si="20"/>
        <v>Error?</v>
      </c>
    </row>
    <row r="1389" spans="1:4" x14ac:dyDescent="0.2">
      <c r="A1389" s="5">
        <v>1328</v>
      </c>
      <c r="B1389" s="138">
        <f>'Expenditures 15-22'!K211</f>
        <v>189924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23022</v>
      </c>
      <c r="D1408" s="2" t="str">
        <f t="shared" si="21"/>
        <v>Error?</v>
      </c>
    </row>
    <row r="1409" spans="1:4" x14ac:dyDescent="0.2">
      <c r="A1409" s="5">
        <v>1348</v>
      </c>
      <c r="B1409" s="138">
        <f>'Expenditures 15-22'!D224</f>
        <v>588</v>
      </c>
      <c r="D1409" s="2" t="str">
        <f t="shared" si="21"/>
        <v>Error?</v>
      </c>
    </row>
    <row r="1410" spans="1:4" x14ac:dyDescent="0.2">
      <c r="A1410" s="5">
        <v>1349</v>
      </c>
      <c r="B1410" s="138">
        <f>'Expenditures 15-22'!D229</f>
        <v>97259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14003</v>
      </c>
      <c r="D1412" s="2" t="str">
        <f t="shared" si="21"/>
        <v>Error?</v>
      </c>
    </row>
    <row r="1413" spans="1:4" x14ac:dyDescent="0.2">
      <c r="A1413" s="5">
        <v>1352</v>
      </c>
      <c r="B1413" s="138">
        <f>'Expenditures 15-22'!D234</f>
        <v>1267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15270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5091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5091</v>
      </c>
      <c r="C1421" s="2" t="s">
        <v>573</v>
      </c>
      <c r="D1421" s="2" t="str">
        <f t="shared" si="21"/>
        <v>Error?</v>
      </c>
    </row>
    <row r="1422" spans="1:4" x14ac:dyDescent="0.2">
      <c r="A1422" s="5">
        <v>1361</v>
      </c>
      <c r="B1422" s="138">
        <f>'Expenditures 15-22'!D245</f>
        <v>191</v>
      </c>
      <c r="D1422" s="2" t="str">
        <f t="shared" si="21"/>
        <v>Error?</v>
      </c>
    </row>
    <row r="1423" spans="1:4" x14ac:dyDescent="0.2">
      <c r="A1423" s="5">
        <v>1362</v>
      </c>
      <c r="B1423" s="138">
        <f>'Expenditures 15-22'!D246</f>
        <v>6739</v>
      </c>
      <c r="D1423" s="2" t="str">
        <f t="shared" si="21"/>
        <v>Error?</v>
      </c>
    </row>
    <row r="1424" spans="1:4" x14ac:dyDescent="0.2">
      <c r="A1424" s="5">
        <v>1363</v>
      </c>
      <c r="B1424" s="138">
        <f>'Expenditures 15-22'!D257</f>
        <v>32545</v>
      </c>
      <c r="C1424" s="2" t="s">
        <v>573</v>
      </c>
      <c r="D1424" s="2" t="str">
        <f t="shared" si="21"/>
        <v>Error?</v>
      </c>
    </row>
    <row r="1425" spans="1:4" x14ac:dyDescent="0.2">
      <c r="A1425" s="5">
        <v>1364</v>
      </c>
      <c r="B1425" s="138">
        <f>'Expenditures 15-22'!D259</f>
        <v>22740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22740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3622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86693</v>
      </c>
      <c r="D1431" s="2" t="str">
        <f t="shared" si="21"/>
        <v>Error?</v>
      </c>
    </row>
    <row r="1432" spans="1:4" x14ac:dyDescent="0.2">
      <c r="A1432" s="5">
        <v>1371</v>
      </c>
      <c r="B1432" s="138">
        <f>'Expenditures 15-22'!D267</f>
        <v>110542</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200857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294</v>
      </c>
      <c r="D1445" s="2" t="str">
        <f t="shared" si="21"/>
        <v>Error?</v>
      </c>
    </row>
    <row r="1446" spans="1:4" x14ac:dyDescent="0.2">
      <c r="A1446" s="5">
        <v>1385</v>
      </c>
      <c r="B1446" s="138">
        <f>'Expenditures 15-22'!D279</f>
        <v>276797</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374056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23022</v>
      </c>
      <c r="C1472" s="2" t="s">
        <v>573</v>
      </c>
      <c r="D1472" s="2" t="str">
        <f t="shared" si="22"/>
        <v>Error?</v>
      </c>
    </row>
    <row r="1473" spans="1:4" x14ac:dyDescent="0.2">
      <c r="A1473" s="5">
        <v>1412</v>
      </c>
      <c r="B1473" s="138">
        <f>'Expenditures 15-22'!K224</f>
        <v>588</v>
      </c>
      <c r="C1473" s="2" t="s">
        <v>573</v>
      </c>
      <c r="D1473" s="2" t="str">
        <f t="shared" si="22"/>
        <v>Error?</v>
      </c>
    </row>
    <row r="1474" spans="1:4" x14ac:dyDescent="0.2">
      <c r="A1474" s="5">
        <v>1413</v>
      </c>
      <c r="B1474" s="138">
        <f>'Expenditures 15-22'!K229</f>
        <v>97259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14003</v>
      </c>
      <c r="C1476" s="2" t="s">
        <v>573</v>
      </c>
      <c r="D1476" s="2" t="str">
        <f t="shared" si="22"/>
        <v>Error?</v>
      </c>
    </row>
    <row r="1477" spans="1:4" x14ac:dyDescent="0.2">
      <c r="A1477" s="5">
        <v>1416</v>
      </c>
      <c r="B1477" s="138">
        <f>'Expenditures 15-22'!K234</f>
        <v>1267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15270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5091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5091</v>
      </c>
      <c r="C1485" s="2" t="s">
        <v>573</v>
      </c>
      <c r="D1485" s="2" t="str">
        <f t="shared" si="22"/>
        <v>Error?</v>
      </c>
    </row>
    <row r="1486" spans="1:4" x14ac:dyDescent="0.2">
      <c r="A1486" s="5">
        <v>1425</v>
      </c>
      <c r="B1486" s="138">
        <f>'Expenditures 15-22'!K245</f>
        <v>191</v>
      </c>
      <c r="C1486" s="2" t="s">
        <v>573</v>
      </c>
      <c r="D1486" s="2" t="str">
        <f t="shared" si="22"/>
        <v>Error?</v>
      </c>
    </row>
    <row r="1487" spans="1:4" x14ac:dyDescent="0.2">
      <c r="A1487" s="5">
        <v>1426</v>
      </c>
      <c r="B1487" s="138">
        <f>'Expenditures 15-22'!K246</f>
        <v>6739</v>
      </c>
      <c r="C1487" s="2" t="s">
        <v>573</v>
      </c>
      <c r="D1487" s="2" t="str">
        <f t="shared" si="22"/>
        <v>Error?</v>
      </c>
    </row>
    <row r="1488" spans="1:4" x14ac:dyDescent="0.2">
      <c r="A1488" s="5">
        <v>1427</v>
      </c>
      <c r="B1488" s="138">
        <f>'Expenditures 15-22'!K257</f>
        <v>32545</v>
      </c>
      <c r="C1488" s="2" t="s">
        <v>573</v>
      </c>
      <c r="D1488" s="2" t="str">
        <f t="shared" si="22"/>
        <v>Error?</v>
      </c>
    </row>
    <row r="1489" spans="1:4" x14ac:dyDescent="0.2">
      <c r="A1489" s="5">
        <v>1428</v>
      </c>
      <c r="B1489" s="138">
        <f>'Expenditures 15-22'!K259</f>
        <v>22740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22740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3622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86693</v>
      </c>
      <c r="C1495" s="2" t="s">
        <v>573</v>
      </c>
      <c r="D1495" s="2" t="str">
        <f t="shared" si="22"/>
        <v>Error?</v>
      </c>
    </row>
    <row r="1496" spans="1:4" x14ac:dyDescent="0.2">
      <c r="A1496" s="5">
        <v>1435</v>
      </c>
      <c r="B1496" s="138">
        <f>'Expenditures 15-22'!K267</f>
        <v>110542</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200857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294</v>
      </c>
      <c r="C1509" s="2" t="s">
        <v>573</v>
      </c>
      <c r="D1509" s="2" t="str">
        <f t="shared" si="22"/>
        <v>Error?</v>
      </c>
    </row>
    <row r="1510" spans="1:4" x14ac:dyDescent="0.2">
      <c r="A1510" s="5">
        <v>1449</v>
      </c>
      <c r="B1510" s="138">
        <f>'Expenditures 15-22'!K279</f>
        <v>276797</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374056</v>
      </c>
      <c r="C1517" s="2" t="s">
        <v>573</v>
      </c>
      <c r="D1517" s="2" t="str">
        <f t="shared" si="22"/>
        <v>Error?</v>
      </c>
    </row>
    <row r="1518" spans="1:4" x14ac:dyDescent="0.2">
      <c r="A1518" s="5">
        <v>1457</v>
      </c>
      <c r="B1518" s="138">
        <f>'Expenditures 15-22'!K296</f>
        <v>19629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78011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78011</v>
      </c>
      <c r="C1535" s="2" t="s">
        <v>573</v>
      </c>
      <c r="D1535" s="2" t="str">
        <f t="shared" ref="D1535:D1598" si="23">IF(ISBLANK(B1535),"OK",IF(A1535-B1535=0,"OK","Error?"))</f>
        <v>Error?</v>
      </c>
    </row>
    <row r="1536" spans="1:4" x14ac:dyDescent="0.2">
      <c r="A1536" s="5">
        <v>1475</v>
      </c>
      <c r="B1536" s="138">
        <f>'Expenditures 15-22'!E312</f>
        <v>78011</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112788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112788</v>
      </c>
      <c r="C1547" s="2" t="s">
        <v>573</v>
      </c>
      <c r="D1547" s="2" t="str">
        <f t="shared" si="23"/>
        <v>Error?</v>
      </c>
    </row>
    <row r="1548" spans="1:4" x14ac:dyDescent="0.2">
      <c r="A1548" s="5">
        <v>1487</v>
      </c>
      <c r="B1548" s="138">
        <f>'Expenditures 15-22'!G312</f>
        <v>112788</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190799</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190799</v>
      </c>
      <c r="C1559" s="2" t="s">
        <v>573</v>
      </c>
      <c r="D1559" s="2" t="str">
        <f t="shared" si="23"/>
        <v>Error?</v>
      </c>
    </row>
    <row r="1560" spans="1:4" x14ac:dyDescent="0.2">
      <c r="A1560" s="5">
        <v>1499</v>
      </c>
      <c r="B1560" s="138">
        <f>'Expenditures 15-22'!K312</f>
        <v>190799</v>
      </c>
      <c r="C1560" s="2" t="s">
        <v>573</v>
      </c>
      <c r="D1560" s="2" t="str">
        <f t="shared" si="23"/>
        <v>Error?</v>
      </c>
    </row>
    <row r="1561" spans="1:4" x14ac:dyDescent="0.2">
      <c r="A1561" s="5">
        <v>1500</v>
      </c>
      <c r="B1561" s="138">
        <f>'Expenditures 15-22'!K313</f>
        <v>-190799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7159045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8087579</v>
      </c>
      <c r="C1630" s="2" t="s">
        <v>573</v>
      </c>
      <c r="D1630" s="2" t="str">
        <f t="shared" si="24"/>
        <v>Error?</v>
      </c>
    </row>
    <row r="1631" spans="1:4" x14ac:dyDescent="0.2">
      <c r="A1631" s="5">
        <v>1570</v>
      </c>
      <c r="B1631" s="138">
        <f>'Acct Summary 7-8'!D79</f>
        <v>1209085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1177143</v>
      </c>
      <c r="C1644" s="2" t="s">
        <v>573</v>
      </c>
      <c r="D1644" s="2" t="str">
        <f t="shared" si="24"/>
        <v>Error?</v>
      </c>
    </row>
    <row r="1645" spans="1:4" x14ac:dyDescent="0.2">
      <c r="A1645" s="5">
        <v>1584</v>
      </c>
      <c r="B1645" s="138">
        <f>'Acct Summary 7-8'!E79</f>
        <v>725127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607975</v>
      </c>
      <c r="C1658" s="2" t="s">
        <v>573</v>
      </c>
      <c r="D1658" s="2" t="str">
        <f t="shared" si="24"/>
        <v>Error?</v>
      </c>
    </row>
    <row r="1659" spans="1:4" x14ac:dyDescent="0.2">
      <c r="A1659" s="5">
        <v>1598</v>
      </c>
      <c r="B1659" s="138">
        <f>'Acct Summary 7-8'!F79</f>
        <v>1615791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1805715</v>
      </c>
      <c r="C1672" s="2" t="s">
        <v>573</v>
      </c>
      <c r="D1672" s="2" t="str">
        <f t="shared" si="25"/>
        <v>Error?</v>
      </c>
    </row>
    <row r="1673" spans="1:4" x14ac:dyDescent="0.2">
      <c r="A1673" s="5">
        <v>1612</v>
      </c>
      <c r="B1673" s="138">
        <f>'Acct Summary 7-8'!G79</f>
        <v>66781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86410</v>
      </c>
      <c r="C1686" s="2" t="s">
        <v>573</v>
      </c>
      <c r="D1686" s="2" t="str">
        <f t="shared" si="25"/>
        <v>Error?</v>
      </c>
    </row>
    <row r="1687" spans="1:4" x14ac:dyDescent="0.2">
      <c r="A1687" s="5">
        <v>1626</v>
      </c>
      <c r="B1687" s="138">
        <f>'Acct Summary 7-8'!H79</f>
        <v>270659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79860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4863493</v>
      </c>
      <c r="C1744" s="2" t="s">
        <v>573</v>
      </c>
      <c r="D1744" s="2" t="str">
        <f t="shared" si="26"/>
        <v>Error?</v>
      </c>
    </row>
    <row r="1745" spans="1:5" x14ac:dyDescent="0.2">
      <c r="A1745" s="5">
        <v>1684</v>
      </c>
      <c r="B1745" s="138">
        <f>'Tax Sched 23'!B5</f>
        <v>935287</v>
      </c>
      <c r="C1745" s="2" t="s">
        <v>573</v>
      </c>
      <c r="D1745" s="2" t="str">
        <f t="shared" si="26"/>
        <v>Error?</v>
      </c>
    </row>
    <row r="1746" spans="1:5" x14ac:dyDescent="0.2">
      <c r="A1746" s="5">
        <v>1685</v>
      </c>
      <c r="B1746" s="138">
        <f>'Tax Sched 23'!B6</f>
        <v>1348654</v>
      </c>
      <c r="C1746" s="2" t="s">
        <v>573</v>
      </c>
      <c r="D1746" s="2" t="str">
        <f t="shared" si="26"/>
        <v>Error?</v>
      </c>
    </row>
    <row r="1747" spans="1:5" x14ac:dyDescent="0.2">
      <c r="A1747" s="5">
        <v>1686</v>
      </c>
      <c r="B1747" s="138">
        <f>'Tax Sched 23'!B7</f>
        <v>360676</v>
      </c>
      <c r="C1747" s="2" t="s">
        <v>573</v>
      </c>
      <c r="D1747" s="2" t="str">
        <f t="shared" si="26"/>
        <v>Error?</v>
      </c>
    </row>
    <row r="1748" spans="1:5" x14ac:dyDescent="0.2">
      <c r="A1748" s="5">
        <v>1687</v>
      </c>
      <c r="B1748" s="138">
        <f>'Tax Sched 23'!B8</f>
        <v>170250</v>
      </c>
      <c r="C1748" s="2" t="s">
        <v>573</v>
      </c>
      <c r="D1748" s="2" t="str">
        <f t="shared" si="26"/>
        <v>Error?</v>
      </c>
    </row>
    <row r="1749" spans="1:5" x14ac:dyDescent="0.2">
      <c r="A1749" s="5">
        <v>1688</v>
      </c>
      <c r="B1749" s="138">
        <f>'Tax Sched 23'!B10</f>
        <v>97744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1080816</v>
      </c>
      <c r="C1752" s="2" t="s">
        <v>573</v>
      </c>
      <c r="D1752" s="2" t="str">
        <f t="shared" si="26"/>
        <v>Error?</v>
      </c>
    </row>
    <row r="1753" spans="1:5" x14ac:dyDescent="0.2">
      <c r="A1753" s="5">
        <v>1692</v>
      </c>
      <c r="B1753" s="138">
        <f>'Tax Sched 23'!B12</f>
        <v>62487</v>
      </c>
      <c r="C1753" s="2" t="s">
        <v>573</v>
      </c>
      <c r="D1753" s="2" t="str">
        <f t="shared" si="26"/>
        <v>Error?</v>
      </c>
    </row>
    <row r="1754" spans="1:5" x14ac:dyDescent="0.2">
      <c r="A1754" s="5">
        <v>1693</v>
      </c>
      <c r="B1754" s="138">
        <f>'Tax Sched 23'!B14</f>
        <v>74822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9380580</v>
      </c>
      <c r="C1759" s="2" t="s">
        <v>573</v>
      </c>
      <c r="D1759" s="2" t="str">
        <f t="shared" si="26"/>
        <v>Error?</v>
      </c>
    </row>
    <row r="1760" spans="1:5" x14ac:dyDescent="0.2">
      <c r="A1760" s="5">
        <v>1699</v>
      </c>
      <c r="B1760" s="138">
        <f>'Tax Sched 23'!D4</f>
        <v>2114000</v>
      </c>
      <c r="C1760" s="2" t="s">
        <v>573</v>
      </c>
      <c r="D1760" s="2" t="str">
        <f t="shared" si="26"/>
        <v>Error?</v>
      </c>
    </row>
    <row r="1761" spans="1:5" x14ac:dyDescent="0.2">
      <c r="A1761" s="5">
        <v>1700</v>
      </c>
      <c r="B1761" s="138">
        <f>'Tax Sched 23'!D5</f>
        <v>404285</v>
      </c>
      <c r="C1761" s="2" t="s">
        <v>573</v>
      </c>
      <c r="D1761" s="2" t="str">
        <f t="shared" si="26"/>
        <v>Error?</v>
      </c>
    </row>
    <row r="1762" spans="1:5" s="8" customFormat="1" x14ac:dyDescent="0.2">
      <c r="A1762" s="5">
        <v>1701</v>
      </c>
      <c r="B1762" s="138">
        <f>'Tax Sched 23'!D6</f>
        <v>573565</v>
      </c>
      <c r="C1762" s="2" t="s">
        <v>573</v>
      </c>
      <c r="D1762" s="2" t="str">
        <f t="shared" si="26"/>
        <v>Error?</v>
      </c>
      <c r="E1762" s="9"/>
    </row>
    <row r="1763" spans="1:5" x14ac:dyDescent="0.2">
      <c r="A1763" s="5">
        <v>1702</v>
      </c>
      <c r="B1763" s="138">
        <f>'Tax Sched 23'!D7</f>
        <v>202219</v>
      </c>
      <c r="C1763" s="2" t="s">
        <v>573</v>
      </c>
      <c r="D1763" s="2" t="str">
        <f t="shared" si="26"/>
        <v>Error?</v>
      </c>
    </row>
    <row r="1764" spans="1:5" x14ac:dyDescent="0.2">
      <c r="A1764" s="5">
        <v>1703</v>
      </c>
      <c r="B1764" s="138">
        <f>'Tax Sched 23'!D8</f>
        <v>72534</v>
      </c>
      <c r="C1764" s="2" t="s">
        <v>573</v>
      </c>
      <c r="D1764" s="2" t="str">
        <f t="shared" si="26"/>
        <v>Error?</v>
      </c>
    </row>
    <row r="1765" spans="1:5" x14ac:dyDescent="0.2">
      <c r="A1765" s="5">
        <v>1704</v>
      </c>
      <c r="B1765" s="138">
        <f>'Tax Sched 23'!D10</f>
        <v>97744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457573</v>
      </c>
      <c r="C1768" s="2" t="s">
        <v>573</v>
      </c>
      <c r="D1768" s="2" t="str">
        <f t="shared" si="26"/>
        <v>Error?</v>
      </c>
    </row>
    <row r="1769" spans="1:5" x14ac:dyDescent="0.2">
      <c r="A1769" s="5">
        <v>1708</v>
      </c>
      <c r="B1769" s="138">
        <f>'Tax Sched 23'!D12</f>
        <v>-16732</v>
      </c>
      <c r="C1769" s="2" t="s">
        <v>573</v>
      </c>
      <c r="D1769" s="2" t="str">
        <f t="shared" si="26"/>
        <v>Error?</v>
      </c>
    </row>
    <row r="1770" spans="1:5" x14ac:dyDescent="0.2">
      <c r="A1770" s="5">
        <v>1709</v>
      </c>
      <c r="B1770" s="138">
        <f>'Tax Sched 23'!D14</f>
        <v>32343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4097261</v>
      </c>
      <c r="C1775" s="2" t="s">
        <v>573</v>
      </c>
      <c r="D1775" s="2" t="str">
        <f t="shared" si="26"/>
        <v>Error?</v>
      </c>
    </row>
    <row r="1776" spans="1:5" x14ac:dyDescent="0.2">
      <c r="A1776" s="5">
        <v>1715</v>
      </c>
      <c r="B1776" s="138">
        <f>'Tax Sched 23'!C4</f>
        <v>2749493</v>
      </c>
      <c r="D1776" s="2" t="str">
        <f t="shared" si="26"/>
        <v>Error?</v>
      </c>
    </row>
    <row r="1777" spans="1:4" x14ac:dyDescent="0.2">
      <c r="A1777" s="5">
        <v>1716</v>
      </c>
      <c r="B1777" s="138">
        <f>'Tax Sched 23'!C5</f>
        <v>531002</v>
      </c>
      <c r="D1777" s="2" t="str">
        <f t="shared" si="26"/>
        <v>Error?</v>
      </c>
    </row>
    <row r="1778" spans="1:4" x14ac:dyDescent="0.2">
      <c r="A1778" s="5">
        <v>1717</v>
      </c>
      <c r="B1778" s="138">
        <f>'Tax Sched 23'!C6</f>
        <v>775089</v>
      </c>
      <c r="D1778" s="2" t="str">
        <f t="shared" si="26"/>
        <v>Error?</v>
      </c>
    </row>
    <row r="1779" spans="1:4" x14ac:dyDescent="0.2">
      <c r="A1779" s="5">
        <v>1718</v>
      </c>
      <c r="B1779" s="138">
        <f>'Tax Sched 23'!C7</f>
        <v>158457</v>
      </c>
      <c r="D1779" s="2" t="str">
        <f t="shared" si="26"/>
        <v>Error?</v>
      </c>
    </row>
    <row r="1780" spans="1:4" x14ac:dyDescent="0.2">
      <c r="A1780" s="5">
        <v>1719</v>
      </c>
      <c r="B1780" s="138">
        <f>'Tax Sched 23'!C8</f>
        <v>97716</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623243</v>
      </c>
      <c r="D1784" s="2" t="str">
        <f t="shared" si="26"/>
        <v>Error?</v>
      </c>
    </row>
    <row r="1785" spans="1:4" x14ac:dyDescent="0.2">
      <c r="A1785" s="5">
        <v>1724</v>
      </c>
      <c r="B1785" s="138">
        <f>'Tax Sched 23'!C12</f>
        <v>79219</v>
      </c>
      <c r="D1785" s="2" t="str">
        <f t="shared" si="26"/>
        <v>Error?</v>
      </c>
    </row>
    <row r="1786" spans="1:4" x14ac:dyDescent="0.2">
      <c r="A1786" s="5">
        <v>1725</v>
      </c>
      <c r="B1786" s="138">
        <f>'Tax Sched 23'!C14</f>
        <v>42479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5283319</v>
      </c>
      <c r="C1791" s="2" t="s">
        <v>573</v>
      </c>
      <c r="D1791" s="2" t="str">
        <f t="shared" ref="D1791:D1854" si="27">IF(ISBLANK(B1791),"OK",IF(A1791-B1791=0,"OK","Error?"))</f>
        <v>Error?</v>
      </c>
    </row>
    <row r="1792" spans="1:4" x14ac:dyDescent="0.2">
      <c r="A1792" s="5">
        <v>1731</v>
      </c>
      <c r="B1792" s="138">
        <f>'Tax Sched 23'!F4</f>
        <v>2457280</v>
      </c>
      <c r="C1792" s="2" t="s">
        <v>573</v>
      </c>
      <c r="D1792" s="2" t="str">
        <f t="shared" si="27"/>
        <v>Error?</v>
      </c>
    </row>
    <row r="1793" spans="1:4" x14ac:dyDescent="0.2">
      <c r="A1793" s="5">
        <v>1732</v>
      </c>
      <c r="B1793" s="138">
        <f>'Tax Sched 23'!F5</f>
        <v>474244</v>
      </c>
      <c r="C1793" s="2" t="s">
        <v>573</v>
      </c>
      <c r="D1793" s="2" t="str">
        <f t="shared" si="27"/>
        <v>Error?</v>
      </c>
    </row>
    <row r="1794" spans="1:4" x14ac:dyDescent="0.2">
      <c r="A1794" s="5">
        <v>1733</v>
      </c>
      <c r="B1794" s="138">
        <f>'Tax Sched 23'!F6</f>
        <v>691887</v>
      </c>
      <c r="C1794" s="2" t="s">
        <v>573</v>
      </c>
      <c r="D1794" s="2" t="str">
        <f t="shared" si="27"/>
        <v>Error?</v>
      </c>
    </row>
    <row r="1795" spans="1:4" x14ac:dyDescent="0.2">
      <c r="A1795" s="5">
        <v>1734</v>
      </c>
      <c r="B1795" s="138">
        <f>'Tax Sched 23'!F7</f>
        <v>141549</v>
      </c>
      <c r="C1795" s="2" t="s">
        <v>573</v>
      </c>
      <c r="D1795" s="2" t="str">
        <f t="shared" si="27"/>
        <v>Error?</v>
      </c>
    </row>
    <row r="1796" spans="1:4" x14ac:dyDescent="0.2">
      <c r="A1796" s="5">
        <v>1735</v>
      </c>
      <c r="B1796" s="138">
        <f>'Tax Sched 23'!F8</f>
        <v>87290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556755</v>
      </c>
      <c r="C1800" s="2" t="s">
        <v>573</v>
      </c>
      <c r="D1800" s="2" t="str">
        <f t="shared" si="27"/>
        <v>Error?</v>
      </c>
    </row>
    <row r="1801" spans="1:4" x14ac:dyDescent="0.2">
      <c r="A1801" s="5">
        <v>1740</v>
      </c>
      <c r="B1801" s="138">
        <f>'Tax Sched 23'!F12</f>
        <v>70764</v>
      </c>
      <c r="C1801" s="2" t="s">
        <v>573</v>
      </c>
      <c r="D1801" s="2" t="str">
        <f t="shared" si="27"/>
        <v>Error?</v>
      </c>
    </row>
    <row r="1802" spans="1:4" x14ac:dyDescent="0.2">
      <c r="A1802" s="5">
        <v>1741</v>
      </c>
      <c r="B1802" s="138">
        <f>'Tax Sched 23'!F14</f>
        <v>37941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4720128</v>
      </c>
      <c r="C1807" s="2" t="s">
        <v>573</v>
      </c>
      <c r="D1807" s="2" t="str">
        <f t="shared" si="27"/>
        <v>Error?</v>
      </c>
    </row>
    <row r="1808" spans="1:4" x14ac:dyDescent="0.2">
      <c r="A1808" s="5">
        <v>1747</v>
      </c>
      <c r="B1808" s="138">
        <f>'Tax Sched 23'!E4</f>
        <v>5206773</v>
      </c>
      <c r="D1808" s="2" t="str">
        <f t="shared" si="27"/>
        <v>Error?</v>
      </c>
    </row>
    <row r="1809" spans="1:4" x14ac:dyDescent="0.2">
      <c r="A1809" s="5">
        <v>1748</v>
      </c>
      <c r="B1809" s="138">
        <f>'Tax Sched 23'!E5</f>
        <v>1005246</v>
      </c>
      <c r="D1809" s="2" t="str">
        <f t="shared" si="27"/>
        <v>Error?</v>
      </c>
    </row>
    <row r="1810" spans="1:4" x14ac:dyDescent="0.2">
      <c r="A1810" s="5">
        <v>1749</v>
      </c>
      <c r="B1810" s="138">
        <f>'Tax Sched 23'!E6</f>
        <v>1466976</v>
      </c>
      <c r="D1810" s="2" t="str">
        <f t="shared" si="27"/>
        <v>Error?</v>
      </c>
    </row>
    <row r="1811" spans="1:4" x14ac:dyDescent="0.2">
      <c r="A1811" s="5">
        <v>1750</v>
      </c>
      <c r="B1811" s="138">
        <f>'Tax Sched 23'!E7</f>
        <v>300006</v>
      </c>
      <c r="D1811" s="2" t="str">
        <f t="shared" si="27"/>
        <v>Error?</v>
      </c>
    </row>
    <row r="1812" spans="1:4" x14ac:dyDescent="0.2">
      <c r="A1812" s="5">
        <v>1751</v>
      </c>
      <c r="B1812" s="138">
        <f>'Tax Sched 23'!E8</f>
        <v>185006</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1179998</v>
      </c>
      <c r="D1816" s="2" t="str">
        <f t="shared" si="27"/>
        <v>Error?</v>
      </c>
    </row>
    <row r="1817" spans="1:4" x14ac:dyDescent="0.2">
      <c r="A1817" s="5">
        <v>1756</v>
      </c>
      <c r="B1817" s="138">
        <f>'Tax Sched 23'!E12</f>
        <v>149983</v>
      </c>
      <c r="D1817" s="2" t="str">
        <f t="shared" si="27"/>
        <v>Error?</v>
      </c>
    </row>
    <row r="1818" spans="1:4" x14ac:dyDescent="0.2">
      <c r="A1818" s="5">
        <v>1757</v>
      </c>
      <c r="B1818" s="138">
        <f>'Tax Sched 23'!E14</f>
        <v>80420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10003447</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11305000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74822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74822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74822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1313712</v>
      </c>
      <c r="D2008" s="2" t="str">
        <f t="shared" si="30"/>
        <v>Error?</v>
      </c>
    </row>
    <row r="2009" spans="1:4" x14ac:dyDescent="0.2">
      <c r="A2009" s="5">
        <v>1948</v>
      </c>
      <c r="B2009" s="138">
        <f>'Cap Outlay Deprec 26'!C8</f>
        <v>43739361</v>
      </c>
      <c r="D2009" s="2" t="str">
        <f t="shared" si="30"/>
        <v>Error?</v>
      </c>
    </row>
    <row r="2010" spans="1:4" x14ac:dyDescent="0.2">
      <c r="A2010" s="5">
        <v>1949</v>
      </c>
      <c r="B2010" s="138">
        <f>'Cap Outlay Deprec 26'!C10</f>
        <v>3892024</v>
      </c>
      <c r="D2010" s="2" t="str">
        <f t="shared" si="30"/>
        <v>Error?</v>
      </c>
    </row>
    <row r="2011" spans="1:4" x14ac:dyDescent="0.2">
      <c r="A2011" s="5">
        <v>1950</v>
      </c>
      <c r="B2011" s="138">
        <f>'Cap Outlay Deprec 26'!C12</f>
        <v>1628905</v>
      </c>
      <c r="D2011" s="2" t="str">
        <f t="shared" si="30"/>
        <v>Error?</v>
      </c>
    </row>
    <row r="2012" spans="1:4" x14ac:dyDescent="0.2">
      <c r="A2012" s="5">
        <v>1951</v>
      </c>
      <c r="B2012" s="138">
        <f>'Cap Outlay Deprec 26'!C13</f>
        <v>1623306</v>
      </c>
      <c r="D2012" s="2" t="str">
        <f t="shared" si="30"/>
        <v>Error?</v>
      </c>
    </row>
    <row r="2013" spans="1:4" x14ac:dyDescent="0.2">
      <c r="A2013" s="5">
        <v>1952</v>
      </c>
      <c r="B2013" s="138">
        <f>'Cap Outlay Deprec 26'!C16</f>
        <v>52197308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687412</v>
      </c>
      <c r="D2016" s="2" t="str">
        <f t="shared" si="30"/>
        <v>Error?</v>
      </c>
    </row>
    <row r="2017" spans="1:4" x14ac:dyDescent="0.2">
      <c r="A2017" s="5">
        <v>1956</v>
      </c>
      <c r="B2017" s="138">
        <f>'Cap Outlay Deprec 26'!D12</f>
        <v>129113</v>
      </c>
      <c r="D2017" s="2" t="str">
        <f t="shared" si="30"/>
        <v>Error?</v>
      </c>
    </row>
    <row r="2018" spans="1:4" x14ac:dyDescent="0.2">
      <c r="A2018" s="5">
        <v>1957</v>
      </c>
      <c r="B2018" s="138">
        <f>'Cap Outlay Deprec 26'!D13</f>
        <v>147273</v>
      </c>
      <c r="D2018" s="2" t="str">
        <f t="shared" si="30"/>
        <v>Error?</v>
      </c>
    </row>
    <row r="2019" spans="1:4" x14ac:dyDescent="0.2">
      <c r="A2019" s="5">
        <v>1958</v>
      </c>
      <c r="B2019" s="138">
        <f>'Cap Outlay Deprec 26'!D16</f>
        <v>963798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358716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358716</v>
      </c>
      <c r="C2025" s="2" t="s">
        <v>573</v>
      </c>
      <c r="D2025" s="2" t="str">
        <f t="shared" si="30"/>
        <v>Error?</v>
      </c>
    </row>
    <row r="2026" spans="1:4" x14ac:dyDescent="0.2">
      <c r="A2026" s="5">
        <v>1965</v>
      </c>
      <c r="B2026" s="138">
        <f>'Cap Outlay Deprec 26'!F5</f>
        <v>1313712</v>
      </c>
      <c r="C2026" s="2" t="s">
        <v>573</v>
      </c>
      <c r="D2026" s="2" t="str">
        <f t="shared" si="30"/>
        <v>Error?</v>
      </c>
    </row>
    <row r="2027" spans="1:4" x14ac:dyDescent="0.2">
      <c r="A2027" s="5">
        <v>1966</v>
      </c>
      <c r="B2027" s="138">
        <f>'Cap Outlay Deprec 26'!F8</f>
        <v>43739361</v>
      </c>
      <c r="C2027" s="2" t="s">
        <v>573</v>
      </c>
      <c r="D2027" s="2" t="str">
        <f t="shared" si="30"/>
        <v>Error?</v>
      </c>
    </row>
    <row r="2028" spans="1:4" x14ac:dyDescent="0.2">
      <c r="A2028" s="5">
        <v>1967</v>
      </c>
      <c r="B2028" s="138">
        <f>'Cap Outlay Deprec 26'!F10</f>
        <v>4579436</v>
      </c>
      <c r="C2028" s="2" t="s">
        <v>573</v>
      </c>
      <c r="D2028" s="2" t="str">
        <f t="shared" si="30"/>
        <v>Error?</v>
      </c>
    </row>
    <row r="2029" spans="1:4" x14ac:dyDescent="0.2">
      <c r="A2029" s="5">
        <v>1968</v>
      </c>
      <c r="B2029" s="138">
        <f>'Cap Outlay Deprec 26'!F12</f>
        <v>1399302</v>
      </c>
      <c r="C2029" s="2" t="s">
        <v>573</v>
      </c>
      <c r="D2029" s="2" t="str">
        <f t="shared" si="30"/>
        <v>Error?</v>
      </c>
    </row>
    <row r="2030" spans="1:4" x14ac:dyDescent="0.2">
      <c r="A2030" s="5">
        <v>1969</v>
      </c>
      <c r="B2030" s="138">
        <f>'Cap Outlay Deprec 26'!F13</f>
        <v>1770579</v>
      </c>
      <c r="C2030" s="2" t="s">
        <v>573</v>
      </c>
      <c r="D2030" s="2" t="str">
        <f t="shared" si="30"/>
        <v>Error?</v>
      </c>
    </row>
    <row r="2031" spans="1:4" x14ac:dyDescent="0.2">
      <c r="A2031" s="5">
        <v>1970</v>
      </c>
      <c r="B2031" s="138">
        <f>'Cap Outlay Deprec 26'!F16</f>
        <v>52802390</v>
      </c>
      <c r="C2031" s="2" t="s">
        <v>573</v>
      </c>
      <c r="D2031" s="2" t="str">
        <f t="shared" si="30"/>
        <v>Error?</v>
      </c>
    </row>
    <row r="2032" spans="1:4" x14ac:dyDescent="0.2">
      <c r="A2032" s="10">
        <v>1971</v>
      </c>
      <c r="D2032" s="2" t="str">
        <f t="shared" si="30"/>
        <v>OK</v>
      </c>
    </row>
    <row r="2033" spans="1:4" x14ac:dyDescent="0.2">
      <c r="A2033" s="5">
        <v>1972</v>
      </c>
      <c r="B2033" s="138">
        <f>'Cap Outlay Deprec 26'!H8</f>
        <v>13734447</v>
      </c>
      <c r="D2033" s="2" t="str">
        <f t="shared" si="30"/>
        <v>Error?</v>
      </c>
    </row>
    <row r="2034" spans="1:4" x14ac:dyDescent="0.2">
      <c r="A2034" s="5">
        <v>1973</v>
      </c>
      <c r="B2034" s="138">
        <f>'Cap Outlay Deprec 26'!H10</f>
        <v>1703560</v>
      </c>
      <c r="D2034" s="2" t="str">
        <f t="shared" si="30"/>
        <v>Error?</v>
      </c>
    </row>
    <row r="2035" spans="1:4" x14ac:dyDescent="0.2">
      <c r="A2035" s="5">
        <v>1974</v>
      </c>
      <c r="B2035" s="138">
        <f>'Cap Outlay Deprec 26'!H12</f>
        <v>971994</v>
      </c>
      <c r="D2035" s="2" t="str">
        <f t="shared" si="30"/>
        <v>Error?</v>
      </c>
    </row>
    <row r="2036" spans="1:4" x14ac:dyDescent="0.2">
      <c r="A2036" s="5">
        <v>1975</v>
      </c>
      <c r="B2036" s="138">
        <f>'Cap Outlay Deprec 26'!H13</f>
        <v>824596</v>
      </c>
      <c r="D2036" s="2" t="str">
        <f t="shared" si="30"/>
        <v>Error?</v>
      </c>
    </row>
    <row r="2037" spans="1:4" x14ac:dyDescent="0.2">
      <c r="A2037" s="5">
        <v>1976</v>
      </c>
      <c r="B2037" s="138">
        <f>'Cap Outlay Deprec 26'!H16</f>
        <v>17234597</v>
      </c>
      <c r="C2037" s="2" t="s">
        <v>573</v>
      </c>
      <c r="D2037" s="2" t="str">
        <f t="shared" si="30"/>
        <v>Error?</v>
      </c>
    </row>
    <row r="2038" spans="1:4" x14ac:dyDescent="0.2">
      <c r="A2038" s="10">
        <v>1977</v>
      </c>
      <c r="D2038" s="2" t="str">
        <f t="shared" si="30"/>
        <v>OK</v>
      </c>
    </row>
    <row r="2039" spans="1:4" x14ac:dyDescent="0.2">
      <c r="A2039" s="5">
        <v>1978</v>
      </c>
      <c r="B2039" s="138">
        <f>'Cap Outlay Deprec 26'!I8</f>
        <v>874788</v>
      </c>
      <c r="D2039" s="2" t="str">
        <f t="shared" si="30"/>
        <v>Error?</v>
      </c>
    </row>
    <row r="2040" spans="1:4" x14ac:dyDescent="0.2">
      <c r="A2040" s="5">
        <v>1979</v>
      </c>
      <c r="B2040" s="138">
        <f>'Cap Outlay Deprec 26'!I10</f>
        <v>228972</v>
      </c>
      <c r="D2040" s="2" t="str">
        <f t="shared" si="30"/>
        <v>Error?</v>
      </c>
    </row>
    <row r="2041" spans="1:4" x14ac:dyDescent="0.2">
      <c r="A2041" s="5">
        <v>1980</v>
      </c>
      <c r="B2041" s="138">
        <f>'Cap Outlay Deprec 26'!I12</f>
        <v>162890</v>
      </c>
      <c r="D2041" s="2" t="str">
        <f t="shared" si="30"/>
        <v>Error?</v>
      </c>
    </row>
    <row r="2042" spans="1:4" x14ac:dyDescent="0.2">
      <c r="A2042" s="5">
        <v>1981</v>
      </c>
      <c r="B2042" s="138">
        <f>'Cap Outlay Deprec 26'!I13</f>
        <v>228729</v>
      </c>
      <c r="D2042" s="2" t="str">
        <f t="shared" si="30"/>
        <v>Error?</v>
      </c>
    </row>
    <row r="2043" spans="1:4" x14ac:dyDescent="0.2">
      <c r="A2043" s="5">
        <v>1982</v>
      </c>
      <c r="B2043" s="138">
        <f>'Cap Outlay Deprec 26'!I16</f>
        <v>1495379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358716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358716</v>
      </c>
      <c r="C2049" s="2" t="s">
        <v>573</v>
      </c>
      <c r="D2049" s="2" t="str">
        <f t="shared" si="31"/>
        <v>Error?</v>
      </c>
    </row>
    <row r="2050" spans="1:4" x14ac:dyDescent="0.2">
      <c r="A2050" s="10">
        <v>1989</v>
      </c>
      <c r="D2050" s="2" t="str">
        <f t="shared" si="31"/>
        <v>OK</v>
      </c>
    </row>
    <row r="2051" spans="1:4" x14ac:dyDescent="0.2">
      <c r="A2051" s="5">
        <v>1990</v>
      </c>
      <c r="B2051" s="138">
        <f>'Cap Outlay Deprec 26'!K8</f>
        <v>14609235</v>
      </c>
      <c r="C2051" s="2" t="s">
        <v>573</v>
      </c>
      <c r="D2051" s="2" t="str">
        <f t="shared" si="31"/>
        <v>Error?</v>
      </c>
    </row>
    <row r="2052" spans="1:4" x14ac:dyDescent="0.2">
      <c r="A2052" s="5">
        <v>1991</v>
      </c>
      <c r="B2052" s="138">
        <f>'Cap Outlay Deprec 26'!K10</f>
        <v>1932532</v>
      </c>
      <c r="C2052" s="2" t="s">
        <v>573</v>
      </c>
      <c r="D2052" s="2" t="str">
        <f t="shared" si="31"/>
        <v>Error?</v>
      </c>
    </row>
    <row r="2053" spans="1:4" x14ac:dyDescent="0.2">
      <c r="A2053" s="5">
        <v>1992</v>
      </c>
      <c r="B2053" s="138">
        <f>'Cap Outlay Deprec 26'!K12</f>
        <v>776168</v>
      </c>
      <c r="C2053" s="2" t="s">
        <v>573</v>
      </c>
      <c r="D2053" s="2" t="str">
        <f t="shared" si="31"/>
        <v>Error?</v>
      </c>
    </row>
    <row r="2054" spans="1:4" x14ac:dyDescent="0.2">
      <c r="A2054" s="5">
        <v>1993</v>
      </c>
      <c r="B2054" s="138">
        <f>'Cap Outlay Deprec 26'!K13</f>
        <v>1053325</v>
      </c>
      <c r="C2054" s="2" t="s">
        <v>573</v>
      </c>
      <c r="D2054" s="2" t="str">
        <f t="shared" si="31"/>
        <v>Error?</v>
      </c>
    </row>
    <row r="2055" spans="1:4" x14ac:dyDescent="0.2">
      <c r="A2055" s="5">
        <v>1994</v>
      </c>
      <c r="B2055" s="138">
        <f>'Cap Outlay Deprec 26'!K16</f>
        <v>18371260</v>
      </c>
      <c r="C2055" s="2" t="s">
        <v>573</v>
      </c>
      <c r="D2055" s="2" t="str">
        <f t="shared" si="31"/>
        <v>Error?</v>
      </c>
    </row>
    <row r="2056" spans="1:4" x14ac:dyDescent="0.2">
      <c r="A2056" s="5">
        <v>1995</v>
      </c>
      <c r="B2056" s="138">
        <f>'Cap Outlay Deprec 26'!L5</f>
        <v>1313712</v>
      </c>
      <c r="C2056" s="2" t="s">
        <v>573</v>
      </c>
      <c r="D2056" s="2" t="str">
        <f t="shared" si="31"/>
        <v>Error?</v>
      </c>
    </row>
    <row r="2057" spans="1:4" x14ac:dyDescent="0.2">
      <c r="A2057" s="5">
        <v>1996</v>
      </c>
      <c r="B2057" s="138">
        <f>'Cap Outlay Deprec 26'!L8</f>
        <v>29130126</v>
      </c>
      <c r="C2057" s="2" t="s">
        <v>573</v>
      </c>
      <c r="D2057" s="2" t="str">
        <f t="shared" si="31"/>
        <v>Error?</v>
      </c>
    </row>
    <row r="2058" spans="1:4" x14ac:dyDescent="0.2">
      <c r="A2058" s="5">
        <v>1997</v>
      </c>
      <c r="B2058" s="138">
        <f>'Cap Outlay Deprec 26'!L10</f>
        <v>2646904</v>
      </c>
      <c r="C2058" s="2" t="s">
        <v>573</v>
      </c>
      <c r="D2058" s="2" t="str">
        <f t="shared" si="31"/>
        <v>Error?</v>
      </c>
    </row>
    <row r="2059" spans="1:4" x14ac:dyDescent="0.2">
      <c r="A2059" s="5">
        <v>1998</v>
      </c>
      <c r="B2059" s="138">
        <f>'Cap Outlay Deprec 26'!L12</f>
        <v>623134</v>
      </c>
      <c r="C2059" s="2" t="s">
        <v>573</v>
      </c>
      <c r="D2059" s="2" t="str">
        <f t="shared" si="31"/>
        <v>Error?</v>
      </c>
    </row>
    <row r="2060" spans="1:4" x14ac:dyDescent="0.2">
      <c r="A2060" s="5">
        <v>1999</v>
      </c>
      <c r="B2060" s="138">
        <f>'Cap Outlay Deprec 26'!L13</f>
        <v>717254</v>
      </c>
      <c r="C2060" s="2" t="s">
        <v>573</v>
      </c>
      <c r="D2060" s="2" t="str">
        <f t="shared" si="31"/>
        <v>Error?</v>
      </c>
    </row>
    <row r="2061" spans="1:4" x14ac:dyDescent="0.2">
      <c r="A2061" s="5">
        <v>2000</v>
      </c>
      <c r="B2061" s="138">
        <f>'Cap Outlay Deprec 26'!L16</f>
        <v>34431130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874673</v>
      </c>
      <c r="C2088" s="2" t="s">
        <v>573</v>
      </c>
      <c r="D2088" s="2" t="str">
        <f t="shared" si="31"/>
        <v>Error?</v>
      </c>
    </row>
    <row r="2089" spans="1:4" x14ac:dyDescent="0.2">
      <c r="A2089" s="5">
        <v>2028</v>
      </c>
      <c r="B2089" s="138">
        <f>'Expenditures 15-22'!K92</f>
        <v>59088</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175000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6661427</v>
      </c>
      <c r="C2551" s="2" t="s">
        <v>573</v>
      </c>
      <c r="D2551" s="2" t="str">
        <f t="shared" si="38"/>
        <v>Error?</v>
      </c>
    </row>
    <row r="2552" spans="1:4" x14ac:dyDescent="0.2">
      <c r="A2552" s="10">
        <v>2491</v>
      </c>
      <c r="D2552" s="2" t="str">
        <f t="shared" si="38"/>
        <v>OK</v>
      </c>
    </row>
    <row r="2553" spans="1:4" x14ac:dyDescent="0.2">
      <c r="A2553" s="5">
        <v>2492</v>
      </c>
      <c r="B2553" s="138">
        <f>'Acct Summary 7-8'!C6</f>
        <v>2775928</v>
      </c>
      <c r="C2553" s="2" t="s">
        <v>573</v>
      </c>
      <c r="D2553" s="2" t="str">
        <f t="shared" si="38"/>
        <v>Error?</v>
      </c>
    </row>
    <row r="2554" spans="1:4" x14ac:dyDescent="0.2">
      <c r="A2554" s="5">
        <v>2493</v>
      </c>
      <c r="B2554" s="138">
        <f>'Acct Summary 7-8'!C7</f>
        <v>239843</v>
      </c>
      <c r="C2554" s="2" t="s">
        <v>573</v>
      </c>
      <c r="D2554" s="2" t="str">
        <f t="shared" si="38"/>
        <v>Error?</v>
      </c>
    </row>
    <row r="2555" spans="1:4" x14ac:dyDescent="0.2">
      <c r="A2555" s="5">
        <v>2494</v>
      </c>
      <c r="B2555" s="138">
        <f>'Acct Summary 7-8'!C8</f>
        <v>9677198</v>
      </c>
      <c r="C2555" s="2" t="s">
        <v>573</v>
      </c>
      <c r="D2555" s="2" t="str">
        <f t="shared" si="38"/>
        <v>Error?</v>
      </c>
    </row>
    <row r="2556" spans="1:4" x14ac:dyDescent="0.2">
      <c r="A2556" s="5">
        <v>2495</v>
      </c>
      <c r="B2556" s="138">
        <f>'Acct Summary 7-8'!C12</f>
        <v>5677919</v>
      </c>
      <c r="C2556" s="2" t="s">
        <v>573</v>
      </c>
      <c r="D2556" s="2" t="str">
        <f t="shared" si="38"/>
        <v>Error?</v>
      </c>
    </row>
    <row r="2557" spans="1:4" x14ac:dyDescent="0.2">
      <c r="A2557" s="5">
        <v>2496</v>
      </c>
      <c r="B2557" s="138">
        <f>'Acct Summary 7-8'!C13</f>
        <v>2301796</v>
      </c>
      <c r="C2557" s="2" t="s">
        <v>573</v>
      </c>
      <c r="D2557" s="2" t="str">
        <f t="shared" si="38"/>
        <v>Error?</v>
      </c>
    </row>
    <row r="2558" spans="1:4" x14ac:dyDescent="0.2">
      <c r="A2558" s="5">
        <v>2497</v>
      </c>
      <c r="B2558" s="138">
        <f>'Acct Summary 7-8'!C14</f>
        <v>10188</v>
      </c>
      <c r="C2558" s="2" t="s">
        <v>573</v>
      </c>
      <c r="D2558" s="2" t="str">
        <f t="shared" si="38"/>
        <v>Error?</v>
      </c>
    </row>
    <row r="2559" spans="1:4" x14ac:dyDescent="0.2">
      <c r="A2559" s="5">
        <v>2498</v>
      </c>
      <c r="B2559" s="138">
        <f>'Acct Summary 7-8'!C15</f>
        <v>933761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8923664</v>
      </c>
      <c r="C2561" s="2" t="s">
        <v>573</v>
      </c>
      <c r="D2561" s="2" t="str">
        <f t="shared" si="39"/>
        <v>Error?</v>
      </c>
    </row>
    <row r="2562" spans="1:4" x14ac:dyDescent="0.2">
      <c r="A2562" s="5">
        <v>2501</v>
      </c>
      <c r="B2562" s="138">
        <f>'Acct Summary 7-8'!C20</f>
        <v>753534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1109812</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1109812</v>
      </c>
      <c r="C2568" s="2" t="s">
        <v>573</v>
      </c>
      <c r="D2568" s="2" t="str">
        <f t="shared" si="39"/>
        <v>Error?</v>
      </c>
    </row>
    <row r="2569" spans="1:4" x14ac:dyDescent="0.2">
      <c r="A2569" s="5">
        <v>2508</v>
      </c>
      <c r="B2569" s="138">
        <f>'Acct Summary 7-8'!D13</f>
        <v>1141754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1141754</v>
      </c>
      <c r="C2573" s="2" t="s">
        <v>573</v>
      </c>
      <c r="D2573" s="2" t="str">
        <f t="shared" si="39"/>
        <v>Error?</v>
      </c>
    </row>
    <row r="2574" spans="1:4" x14ac:dyDescent="0.2">
      <c r="A2574" s="5">
        <v>2513</v>
      </c>
      <c r="B2574" s="138">
        <f>'Acct Summary 7-8'!D20</f>
        <v>-31942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1202397</v>
      </c>
      <c r="C2591" s="2" t="s">
        <v>573</v>
      </c>
      <c r="D2591" s="2" t="str">
        <f t="shared" si="39"/>
        <v>Error?</v>
      </c>
    </row>
    <row r="2592" spans="1:4" x14ac:dyDescent="0.2">
      <c r="A2592" s="10">
        <v>2531</v>
      </c>
      <c r="D2592" s="2" t="str">
        <f t="shared" si="39"/>
        <v>OK</v>
      </c>
    </row>
    <row r="2593" spans="1:4" x14ac:dyDescent="0.2">
      <c r="A2593" s="5">
        <v>2532</v>
      </c>
      <c r="B2593" s="138">
        <f>'Acct Summary 7-8'!F6</f>
        <v>207539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1409936</v>
      </c>
      <c r="C2595" s="2" t="s">
        <v>573</v>
      </c>
      <c r="D2595" s="2" t="str">
        <f t="shared" si="39"/>
        <v>Error?</v>
      </c>
    </row>
    <row r="2596" spans="1:4" x14ac:dyDescent="0.2">
      <c r="A2596" s="5">
        <v>2535</v>
      </c>
      <c r="B2596" s="138">
        <f>'Acct Summary 7-8'!F13</f>
        <v>1175397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44615</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1220012</v>
      </c>
      <c r="C2600" s="2" t="s">
        <v>573</v>
      </c>
      <c r="D2600" s="2" t="str">
        <f t="shared" si="39"/>
        <v>Error?</v>
      </c>
    </row>
    <row r="2601" spans="1:4" x14ac:dyDescent="0.2">
      <c r="A2601" s="5">
        <v>2540</v>
      </c>
      <c r="B2601" s="138">
        <f>'Acct Summary 7-8'!F20</f>
        <v>189924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393685</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393685</v>
      </c>
      <c r="C2606" s="2" t="s">
        <v>573</v>
      </c>
      <c r="D2606" s="2" t="str">
        <f t="shared" si="39"/>
        <v>Error?</v>
      </c>
    </row>
    <row r="2607" spans="1:4" x14ac:dyDescent="0.2">
      <c r="A2607" s="5">
        <v>2546</v>
      </c>
      <c r="B2607" s="138">
        <f>'Acct Summary 7-8'!G12</f>
        <v>97259</v>
      </c>
      <c r="C2607" s="2" t="s">
        <v>573</v>
      </c>
      <c r="D2607" s="2" t="str">
        <f t="shared" si="39"/>
        <v>Error?</v>
      </c>
    </row>
    <row r="2608" spans="1:4" x14ac:dyDescent="0.2">
      <c r="A2608" s="5">
        <v>2547</v>
      </c>
      <c r="B2608" s="138">
        <f>'Acct Summary 7-8'!G13</f>
        <v>276797</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374056</v>
      </c>
      <c r="C2612" s="2" t="s">
        <v>573</v>
      </c>
      <c r="D2612" s="2" t="str">
        <f t="shared" si="39"/>
        <v>Error?</v>
      </c>
    </row>
    <row r="2613" spans="1:4" x14ac:dyDescent="0.2">
      <c r="A2613" s="5">
        <v>2552</v>
      </c>
      <c r="B2613" s="138">
        <f>'Acct Summary 7-8'!G20</f>
        <v>19629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1348654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1348654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1465806</v>
      </c>
      <c r="C2634" s="2" t="s">
        <v>573</v>
      </c>
      <c r="D2634" s="2" t="str">
        <f t="shared" si="40"/>
        <v>Error?</v>
      </c>
    </row>
    <row r="2635" spans="1:4" x14ac:dyDescent="0.2">
      <c r="A2635" s="5">
        <v>2574</v>
      </c>
      <c r="B2635" s="138">
        <f>'Acct Summary 7-8'!E17</f>
        <v>1465806</v>
      </c>
      <c r="C2635" s="2" t="s">
        <v>573</v>
      </c>
      <c r="D2635" s="2" t="str">
        <f t="shared" si="40"/>
        <v>Error?</v>
      </c>
    </row>
    <row r="2636" spans="1:4" x14ac:dyDescent="0.2">
      <c r="A2636" s="5">
        <v>2575</v>
      </c>
      <c r="B2636" s="138">
        <f>'Acct Summary 7-8'!E20</f>
        <v>-117152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190799</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190799</v>
      </c>
      <c r="C2661" s="2" t="s">
        <v>573</v>
      </c>
      <c r="D2661" s="2" t="str">
        <f t="shared" si="40"/>
        <v>Error?</v>
      </c>
    </row>
    <row r="2662" spans="1:4" x14ac:dyDescent="0.2">
      <c r="A2662" s="5">
        <v>2601</v>
      </c>
      <c r="B2662" s="138">
        <f>'Acct Summary 7-8'!H20</f>
        <v>-190799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874673</v>
      </c>
      <c r="C2789" s="2" t="s">
        <v>573</v>
      </c>
      <c r="D2789" s="2" t="str">
        <f t="shared" si="42"/>
        <v>Error?</v>
      </c>
    </row>
    <row r="2790" spans="1:4" x14ac:dyDescent="0.2">
      <c r="A2790" s="5">
        <v>2729</v>
      </c>
      <c r="B2790" s="138">
        <f>'Expenditures 15-22'!E102</f>
        <v>874673</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44615</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44615</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93617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3238494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213941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3238494</v>
      </c>
      <c r="D2912" s="2" t="str">
        <f t="shared" si="44"/>
        <v>Error?</v>
      </c>
    </row>
    <row r="2913" spans="1:4" x14ac:dyDescent="0.2">
      <c r="A2913" s="5">
        <v>2852</v>
      </c>
      <c r="B2913" s="138">
        <f>'Assets-Liab 5-6'!I41</f>
        <v>3238494</v>
      </c>
      <c r="C2913" s="2" t="s">
        <v>573</v>
      </c>
      <c r="D2913" s="2" t="str">
        <f t="shared" si="44"/>
        <v>Error?</v>
      </c>
    </row>
    <row r="2914" spans="1:4" x14ac:dyDescent="0.2">
      <c r="A2914" s="5">
        <v>2853</v>
      </c>
      <c r="B2914" s="138">
        <f>'Assets-Liab 5-6'!L33</f>
        <v>213941</v>
      </c>
      <c r="D2914" s="2" t="str">
        <f t="shared" si="44"/>
        <v>Error?</v>
      </c>
    </row>
    <row r="2915" spans="1:4" x14ac:dyDescent="0.2">
      <c r="A2915" s="10">
        <v>2854</v>
      </c>
      <c r="D2915" s="2" t="str">
        <f t="shared" si="44"/>
        <v>OK</v>
      </c>
    </row>
    <row r="2916" spans="1:4" x14ac:dyDescent="0.2">
      <c r="A2916" s="5">
        <v>2855</v>
      </c>
      <c r="B2916" s="138">
        <f>'Assets-Liab 5-6'!L34</f>
        <v>213941</v>
      </c>
      <c r="C2916" s="2" t="s">
        <v>573</v>
      </c>
      <c r="D2916" s="2" t="str">
        <f t="shared" si="44"/>
        <v>Error?</v>
      </c>
    </row>
    <row r="2917" spans="1:4" x14ac:dyDescent="0.2">
      <c r="A2917" s="5">
        <v>2856</v>
      </c>
      <c r="B2917" s="138">
        <f>'Assets-Liab 5-6'!L41</f>
        <v>213941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474279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330208</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70186</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474279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330208</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70186</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44615</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44615</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20788</v>
      </c>
      <c r="D3056" s="2" t="str">
        <f t="shared" si="46"/>
        <v>Error?</v>
      </c>
    </row>
    <row r="3057" spans="1:4" x14ac:dyDescent="0.2">
      <c r="A3057" s="5">
        <v>2996</v>
      </c>
      <c r="B3057" s="138">
        <f>'Expenditures 15-22'!E10</f>
        <v>6250</v>
      </c>
      <c r="D3057" s="2" t="str">
        <f t="shared" si="46"/>
        <v>Error?</v>
      </c>
    </row>
    <row r="3058" spans="1:4" x14ac:dyDescent="0.2">
      <c r="A3058" s="5">
        <v>2997</v>
      </c>
      <c r="B3058" s="138">
        <f>'Expenditures 15-22'!F10</f>
        <v>4104</v>
      </c>
      <c r="D3058" s="2" t="str">
        <f t="shared" si="46"/>
        <v>Error?</v>
      </c>
    </row>
    <row r="3059" spans="1:4" x14ac:dyDescent="0.2">
      <c r="A3059" s="5">
        <v>2998</v>
      </c>
      <c r="B3059" s="138">
        <f>'Expenditures 15-22'!G10</f>
        <v>80716</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111858</v>
      </c>
      <c r="C3062" s="2" t="s">
        <v>573</v>
      </c>
      <c r="D3062" s="2" t="str">
        <f t="shared" si="46"/>
        <v>Error?</v>
      </c>
    </row>
    <row r="3063" spans="1:4" x14ac:dyDescent="0.2">
      <c r="A3063" s="10">
        <v>3002</v>
      </c>
      <c r="D3063" s="2" t="str">
        <f t="shared" si="46"/>
        <v>OK</v>
      </c>
    </row>
    <row r="3064" spans="1:4" x14ac:dyDescent="0.2">
      <c r="A3064" s="5">
        <v>3003</v>
      </c>
      <c r="B3064" s="138">
        <f>'Expenditures 15-22'!D219</f>
        <v>2905</v>
      </c>
      <c r="D3064" s="2" t="str">
        <f t="shared" si="46"/>
        <v>Error?</v>
      </c>
    </row>
    <row r="3065" spans="1:4" x14ac:dyDescent="0.2">
      <c r="A3065" s="5">
        <v>3004</v>
      </c>
      <c r="B3065" s="138">
        <f>'Expenditures 15-22'!K219</f>
        <v>2905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97744</v>
      </c>
      <c r="C3225" s="2" t="s">
        <v>573</v>
      </c>
      <c r="D3225" s="2" t="str">
        <f t="shared" si="49"/>
        <v>Error?</v>
      </c>
    </row>
    <row r="3226" spans="1:4" x14ac:dyDescent="0.2">
      <c r="A3226" s="5">
        <v>3165</v>
      </c>
      <c r="B3226" s="138">
        <f>'Acct Summary 7-8'!I8</f>
        <v>97744</v>
      </c>
      <c r="C3226" s="2" t="s">
        <v>573</v>
      </c>
      <c r="D3226" s="2" t="str">
        <f t="shared" si="49"/>
        <v>Error?</v>
      </c>
    </row>
    <row r="3227" spans="1:4" x14ac:dyDescent="0.2">
      <c r="A3227" s="5">
        <v>3166</v>
      </c>
      <c r="B3227" s="138">
        <f>'Acct Summary 7-8'!I20</f>
        <v>97744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175000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175000</v>
      </c>
      <c r="C3232" s="2" t="s">
        <v>573</v>
      </c>
      <c r="D3232" s="2" t="str">
        <f t="shared" si="49"/>
        <v>Error?</v>
      </c>
    </row>
    <row r="3233" spans="1:4" x14ac:dyDescent="0.2">
      <c r="A3233" s="5">
        <v>3172</v>
      </c>
      <c r="B3233" s="138">
        <f>'Acct Summary 7-8'!C78</f>
        <v>928534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-31942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189924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19629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-117152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-190799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175000</v>
      </c>
      <c r="C3318" s="2" t="s">
        <v>573</v>
      </c>
      <c r="D3318" s="2" t="str">
        <f t="shared" si="50"/>
        <v>Error?</v>
      </c>
    </row>
    <row r="3319" spans="1:4" x14ac:dyDescent="0.2">
      <c r="A3319" s="5">
        <v>3258</v>
      </c>
      <c r="B3319" s="138">
        <f>'Acct Summary 7-8'!I77</f>
        <v>-175000</v>
      </c>
      <c r="C3319" s="2" t="s">
        <v>573</v>
      </c>
      <c r="D3319" s="2" t="str">
        <f t="shared" si="50"/>
        <v>Error?</v>
      </c>
    </row>
    <row r="3320" spans="1:4" x14ac:dyDescent="0.2">
      <c r="A3320" s="5">
        <v>3259</v>
      </c>
      <c r="B3320" s="138">
        <f>'Acct Summary 7-8'!I78</f>
        <v>-77256</v>
      </c>
      <c r="C3320" s="2" t="s">
        <v>573</v>
      </c>
      <c r="D3320" s="2" t="str">
        <f t="shared" si="50"/>
        <v>Error?</v>
      </c>
    </row>
    <row r="3321" spans="1:4" x14ac:dyDescent="0.2">
      <c r="A3321" s="5">
        <v>3260</v>
      </c>
      <c r="B3321" s="138">
        <f>'Acct Summary 7-8'!I79</f>
        <v>3315750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3238494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334072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84820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4245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423137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56874</v>
      </c>
      <c r="D3387" s="2" t="str">
        <f t="shared" si="51"/>
        <v>Error?</v>
      </c>
    </row>
    <row r="3388" spans="1:4" x14ac:dyDescent="0.2">
      <c r="A3388" s="5">
        <v>3327</v>
      </c>
      <c r="B3388" s="138">
        <f>'Expenditures 15-22'!D217</f>
        <v>12692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56874</v>
      </c>
      <c r="C3390" s="2" t="s">
        <v>573</v>
      </c>
      <c r="D3390" s="2" t="str">
        <f t="shared" si="51"/>
        <v>Error?</v>
      </c>
    </row>
    <row r="3391" spans="1:4" x14ac:dyDescent="0.2">
      <c r="A3391" s="5">
        <v>3330</v>
      </c>
      <c r="B3391" s="138">
        <f>'Expenditures 15-22'!K217</f>
        <v>12692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6617930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438730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1546704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79860</v>
      </c>
      <c r="D3425" s="2" t="str">
        <f t="shared" si="52"/>
        <v>Error?</v>
      </c>
    </row>
    <row r="3426" spans="1:4" x14ac:dyDescent="0.2">
      <c r="A3426" s="10">
        <v>3365</v>
      </c>
      <c r="D3426" s="2" t="str">
        <f t="shared" si="52"/>
        <v>OK</v>
      </c>
    </row>
    <row r="3427" spans="1:4" x14ac:dyDescent="0.2">
      <c r="A3427" s="5">
        <v>3366</v>
      </c>
      <c r="B3427" s="138">
        <f>'Assets-Liab 5-6'!I4</f>
        <v>3144877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213941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208435</v>
      </c>
      <c r="C3446" s="2" t="s">
        <v>573</v>
      </c>
      <c r="D3446" s="2" t="str">
        <f t="shared" si="52"/>
        <v>Error?</v>
      </c>
    </row>
    <row r="3447" spans="1:4" x14ac:dyDescent="0.2">
      <c r="A3447" s="5">
        <v>3386</v>
      </c>
      <c r="B3447" s="138">
        <f>'Tax Sched 23'!D16</f>
        <v>88014</v>
      </c>
      <c r="C3447" s="2" t="s">
        <v>573</v>
      </c>
      <c r="D3447" s="2" t="str">
        <f t="shared" si="52"/>
        <v>Error?</v>
      </c>
    </row>
    <row r="3448" spans="1:4" x14ac:dyDescent="0.2">
      <c r="A3448" s="5">
        <v>3387</v>
      </c>
      <c r="B3448" s="138">
        <f>'Tax Sched 23'!C16</f>
        <v>120421</v>
      </c>
      <c r="D3448" s="2" t="str">
        <f t="shared" si="52"/>
        <v>Error?</v>
      </c>
    </row>
    <row r="3449" spans="1:4" x14ac:dyDescent="0.2">
      <c r="A3449" s="5">
        <v>3388</v>
      </c>
      <c r="B3449" s="138">
        <f>'Tax Sched 23'!F16</f>
        <v>107569</v>
      </c>
      <c r="C3449" s="2" t="s">
        <v>573</v>
      </c>
      <c r="D3449" s="2" t="str">
        <f t="shared" si="52"/>
        <v>Error?</v>
      </c>
    </row>
    <row r="3450" spans="1:4" x14ac:dyDescent="0.2">
      <c r="A3450" s="5">
        <v>3389</v>
      </c>
      <c r="B3450" s="138">
        <f>'Tax Sched 23'!E16</f>
        <v>227990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16637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16637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50152</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-33515</v>
      </c>
      <c r="D3567" s="2" t="str">
        <f t="shared" si="54"/>
        <v>Error?</v>
      </c>
    </row>
    <row r="3568" spans="1:4" x14ac:dyDescent="0.2">
      <c r="A3568" s="5">
        <v>3507</v>
      </c>
      <c r="B3568" s="138">
        <f>'Assets-Liab 5-6'!K41</f>
        <v>16637</v>
      </c>
      <c r="C3568" s="2" t="s">
        <v>573</v>
      </c>
      <c r="D3568" s="2" t="str">
        <f t="shared" si="54"/>
        <v>Error?</v>
      </c>
    </row>
    <row r="3569" spans="1:4" x14ac:dyDescent="0.2">
      <c r="A3569" s="5">
        <v>3508</v>
      </c>
      <c r="B3569" s="138">
        <f>'Acct Summary 7-8'!K4</f>
        <v>62487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62487</v>
      </c>
      <c r="C3571" s="2" t="s">
        <v>573</v>
      </c>
      <c r="D3571" s="2" t="str">
        <f t="shared" si="54"/>
        <v>Error?</v>
      </c>
    </row>
    <row r="3572" spans="1:4" x14ac:dyDescent="0.2">
      <c r="A3572" s="5">
        <v>3511</v>
      </c>
      <c r="B3572" s="138">
        <f>'Acct Summary 7-8'!K13</f>
        <v>225791</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225791</v>
      </c>
      <c r="C3575" s="2" t="s">
        <v>573</v>
      </c>
      <c r="D3575" s="2" t="str">
        <f t="shared" si="54"/>
        <v>Error?</v>
      </c>
    </row>
    <row r="3576" spans="1:4" x14ac:dyDescent="0.2">
      <c r="A3576" s="5">
        <v>3515</v>
      </c>
      <c r="B3576" s="138">
        <f>'Acct Summary 7-8'!K20</f>
        <v>-163304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-163304</v>
      </c>
      <c r="C3588" s="2" t="s">
        <v>573</v>
      </c>
      <c r="D3588" s="2" t="str">
        <f t="shared" si="55"/>
        <v>Error?</v>
      </c>
    </row>
    <row r="3589" spans="1:4" x14ac:dyDescent="0.2">
      <c r="A3589" s="5">
        <v>3528</v>
      </c>
      <c r="B3589" s="138">
        <f>'Acct Summary 7-8'!K79</f>
        <v>129789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-33515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1542</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1542</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1542</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224249</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224249</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224249</v>
      </c>
      <c r="C3649" s="2" t="s">
        <v>573</v>
      </c>
      <c r="D3649" s="2" t="str">
        <f t="shared" si="56"/>
        <v>Error?</v>
      </c>
    </row>
    <row r="3650" spans="1:4" x14ac:dyDescent="0.2">
      <c r="A3650" s="5">
        <v>3589</v>
      </c>
      <c r="B3650" s="138">
        <f>'Expenditures 15-22'!G367</f>
        <v>224249</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225791</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225791</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225791</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225791</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-163304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177916</v>
      </c>
      <c r="C3725" s="2" t="s">
        <v>573</v>
      </c>
      <c r="D3725" s="2" t="str">
        <f t="shared" si="57"/>
        <v>Error?</v>
      </c>
    </row>
    <row r="3726" spans="1:4" x14ac:dyDescent="0.2">
      <c r="A3726" s="5">
        <v>3665</v>
      </c>
      <c r="B3726" s="138">
        <f>'Tax Sched 23'!D13</f>
        <v>71716</v>
      </c>
      <c r="C3726" s="2" t="s">
        <v>573</v>
      </c>
      <c r="D3726" s="2" t="str">
        <f t="shared" si="57"/>
        <v>Error?</v>
      </c>
    </row>
    <row r="3727" spans="1:4" x14ac:dyDescent="0.2">
      <c r="A3727" s="5">
        <v>3666</v>
      </c>
      <c r="B3727" s="138">
        <f>'Tax Sched 23'!C13</f>
        <v>106200</v>
      </c>
      <c r="D3727" s="2" t="str">
        <f t="shared" si="57"/>
        <v>Error?</v>
      </c>
    </row>
    <row r="3728" spans="1:4" x14ac:dyDescent="0.2">
      <c r="A3728" s="5">
        <v>3667</v>
      </c>
      <c r="B3728" s="138">
        <f>'Tax Sched 23'!F13</f>
        <v>94849</v>
      </c>
      <c r="C3728" s="2" t="s">
        <v>573</v>
      </c>
      <c r="D3728" s="2" t="str">
        <f t="shared" si="57"/>
        <v>Error?</v>
      </c>
    </row>
    <row r="3729" spans="1:4" x14ac:dyDescent="0.2">
      <c r="A3729" s="5">
        <v>3668</v>
      </c>
      <c r="B3729" s="138">
        <f>'Tax Sched 23'!E13</f>
        <v>201049</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3951282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13628480</v>
      </c>
      <c r="C4122" s="2" t="s">
        <v>573</v>
      </c>
      <c r="D4122" s="2" t="str">
        <f t="shared" si="63"/>
        <v>Error?</v>
      </c>
    </row>
    <row r="4123" spans="1:4" x14ac:dyDescent="0.2">
      <c r="A4123" s="5">
        <v>4062</v>
      </c>
      <c r="B4123" s="138">
        <f>'Acct Summary 7-8'!D10</f>
        <v>1109812</v>
      </c>
      <c r="C4123" s="2" t="s">
        <v>573</v>
      </c>
      <c r="D4123" s="2" t="str">
        <f t="shared" si="63"/>
        <v>Error?</v>
      </c>
    </row>
    <row r="4124" spans="1:4" x14ac:dyDescent="0.2">
      <c r="A4124" s="5">
        <v>4063</v>
      </c>
      <c r="B4124" s="138">
        <f>'Acct Summary 7-8'!E10</f>
        <v>1348654</v>
      </c>
      <c r="C4124" s="2" t="s">
        <v>573</v>
      </c>
      <c r="D4124" s="2" t="str">
        <f t="shared" si="63"/>
        <v>Error?</v>
      </c>
    </row>
    <row r="4125" spans="1:4" x14ac:dyDescent="0.2">
      <c r="A4125" s="5">
        <v>4064</v>
      </c>
      <c r="B4125" s="138">
        <f>'Acct Summary 7-8'!F10</f>
        <v>1409936</v>
      </c>
      <c r="C4125" s="2" t="s">
        <v>573</v>
      </c>
      <c r="D4125" s="2" t="str">
        <f t="shared" si="63"/>
        <v>Error?</v>
      </c>
    </row>
    <row r="4126" spans="1:4" x14ac:dyDescent="0.2">
      <c r="A4126" s="5">
        <v>4065</v>
      </c>
      <c r="B4126" s="138">
        <f>'Acct Summary 7-8'!G10</f>
        <v>393685</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97744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62487</v>
      </c>
      <c r="C4130" s="2" t="s">
        <v>573</v>
      </c>
      <c r="D4130" s="2" t="str">
        <f t="shared" si="63"/>
        <v>Error?</v>
      </c>
    </row>
    <row r="4131" spans="1:4" x14ac:dyDescent="0.2">
      <c r="A4131" s="5">
        <v>4070</v>
      </c>
      <c r="B4131" s="138">
        <f>'Acct Summary 7-8'!C18</f>
        <v>3951282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12874946</v>
      </c>
      <c r="C4136" s="2" t="s">
        <v>573</v>
      </c>
      <c r="D4136" s="2" t="str">
        <f t="shared" si="63"/>
        <v>Error?</v>
      </c>
    </row>
    <row r="4137" spans="1:4" x14ac:dyDescent="0.2">
      <c r="A4137" s="5">
        <v>4076</v>
      </c>
      <c r="B4137" s="138">
        <f>'Acct Summary 7-8'!D19</f>
        <v>1141754</v>
      </c>
      <c r="C4137" s="2" t="s">
        <v>573</v>
      </c>
      <c r="D4137" s="2" t="str">
        <f t="shared" si="63"/>
        <v>Error?</v>
      </c>
    </row>
    <row r="4138" spans="1:4" x14ac:dyDescent="0.2">
      <c r="A4138" s="5">
        <v>4077</v>
      </c>
      <c r="B4138" s="138">
        <f>'Acct Summary 7-8'!E19</f>
        <v>1465806</v>
      </c>
      <c r="C4138" s="2" t="s">
        <v>573</v>
      </c>
      <c r="D4138" s="2" t="str">
        <f t="shared" si="63"/>
        <v>Error?</v>
      </c>
    </row>
    <row r="4139" spans="1:4" x14ac:dyDescent="0.2">
      <c r="A4139" s="5">
        <v>4078</v>
      </c>
      <c r="B4139" s="138">
        <f>'Acct Summary 7-8'!F19</f>
        <v>1220012</v>
      </c>
      <c r="C4139" s="2" t="s">
        <v>573</v>
      </c>
      <c r="D4139" s="2" t="str">
        <f t="shared" si="63"/>
        <v>Error?</v>
      </c>
    </row>
    <row r="4140" spans="1:4" x14ac:dyDescent="0.2">
      <c r="A4140" s="5">
        <v>4079</v>
      </c>
      <c r="B4140" s="138">
        <f>'Acct Summary 7-8'!G19</f>
        <v>374056</v>
      </c>
      <c r="C4140" s="2" t="s">
        <v>573</v>
      </c>
      <c r="D4140" s="2" t="str">
        <f t="shared" si="63"/>
        <v>Error?</v>
      </c>
    </row>
    <row r="4141" spans="1:4" x14ac:dyDescent="0.2">
      <c r="A4141" s="5">
        <v>4080</v>
      </c>
      <c r="B4141" s="138">
        <f>'Acct Summary 7-8'!H19</f>
        <v>190799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225791</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10225000</v>
      </c>
      <c r="C4171" s="2" t="s">
        <v>573</v>
      </c>
      <c r="D4171" s="2" t="str">
        <f t="shared" si="64"/>
        <v>Error?</v>
      </c>
    </row>
    <row r="4172" spans="1:4" x14ac:dyDescent="0.2">
      <c r="A4172" s="5">
        <v>4111</v>
      </c>
      <c r="B4172" s="138">
        <f>'Short-Term Long-Term Debt 24'!J49</f>
        <v>9617024</v>
      </c>
      <c r="C4172" s="2" t="s">
        <v>573</v>
      </c>
      <c r="D4172" s="2" t="str">
        <f t="shared" si="64"/>
        <v>Error?</v>
      </c>
    </row>
    <row r="4173" spans="1:4" x14ac:dyDescent="0.2">
      <c r="A4173" s="5">
        <v>4112</v>
      </c>
      <c r="B4173" s="138">
        <f>'Short-Term Long-Term Debt 24'!H49</f>
        <v>1080000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1300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1670</v>
      </c>
      <c r="C4268" s="2" t="s">
        <v>573</v>
      </c>
      <c r="D4268" s="2" t="str">
        <f t="shared" si="65"/>
        <v>Error?</v>
      </c>
    </row>
    <row r="4269" spans="1:5" x14ac:dyDescent="0.2">
      <c r="A4269" s="12">
        <v>4208</v>
      </c>
      <c r="B4269" s="138">
        <f>'FP Info 3'!J16</f>
        <v>14308931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3595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28818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5800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21376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402098501</v>
      </c>
      <c r="D4995" s="2" t="str">
        <f t="shared" si="77"/>
        <v>Error?</v>
      </c>
    </row>
    <row r="4996" spans="1:4" x14ac:dyDescent="0.2">
      <c r="A4996" s="12">
        <v>4935</v>
      </c>
      <c r="B4996" s="138">
        <f>'FP Info 3'!H31</f>
        <v>27744796.569000002</v>
      </c>
      <c r="D4996" s="2" t="str">
        <f t="shared" si="77"/>
        <v>Error?</v>
      </c>
    </row>
    <row r="4997" spans="1:4" x14ac:dyDescent="0.2">
      <c r="A4997" s="12">
        <v>4936</v>
      </c>
      <c r="B4997" s="138">
        <f>'FP Info 3'!H37</f>
        <v>10225000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177916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4863493</v>
      </c>
      <c r="D5061" s="2" t="str">
        <f t="shared" si="78"/>
        <v>Error?</v>
      </c>
    </row>
    <row r="5062" spans="1:4" x14ac:dyDescent="0.2">
      <c r="A5062" s="10">
        <v>5001</v>
      </c>
      <c r="D5062" s="2" t="str">
        <f t="shared" si="78"/>
        <v>OK</v>
      </c>
    </row>
    <row r="5063" spans="1:4" x14ac:dyDescent="0.2">
      <c r="A5063" s="5">
        <v>5002</v>
      </c>
      <c r="B5063" s="138">
        <f>'Revenues 9-14'!C7</f>
        <v>74822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5116231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688172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688172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137583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137583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442119</v>
      </c>
      <c r="D5095" s="2" t="str">
        <f t="shared" si="78"/>
        <v>Error?</v>
      </c>
    </row>
    <row r="5096" spans="1:4" x14ac:dyDescent="0.2">
      <c r="A5096" s="5">
        <v>5035</v>
      </c>
      <c r="B5096" s="138">
        <f>'Revenues 9-14'!C75</f>
        <v>442119</v>
      </c>
      <c r="C5096" s="2" t="s">
        <v>573</v>
      </c>
      <c r="D5096" s="2" t="str">
        <f t="shared" si="78"/>
        <v>Error?</v>
      </c>
    </row>
    <row r="5097" spans="1:4" x14ac:dyDescent="0.2">
      <c r="A5097" s="5">
        <v>5036</v>
      </c>
      <c r="B5097" s="138">
        <f>'Revenues 9-14'!C77</f>
        <v>40831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4283</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45114</v>
      </c>
      <c r="C5102" s="2" t="s">
        <v>573</v>
      </c>
      <c r="D5102" s="2" t="str">
        <f t="shared" si="78"/>
        <v>Error?</v>
      </c>
    </row>
    <row r="5103" spans="1:4" x14ac:dyDescent="0.2">
      <c r="A5103" s="5">
        <v>5042</v>
      </c>
      <c r="B5103" s="138">
        <f>'Revenues 9-14'!C84</f>
        <v>115687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115687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48343</v>
      </c>
      <c r="D5119" s="2" t="str">
        <f t="shared" ref="D5119:D5182" si="79">IF(ISBLANK(B5119),"OK",IF(A5119-B5119=0,"OK","Error?"))</f>
        <v>Error?</v>
      </c>
    </row>
    <row r="5120" spans="1:4" x14ac:dyDescent="0.2">
      <c r="A5120" s="5">
        <v>5059</v>
      </c>
      <c r="B5120" s="138">
        <f>'Revenues 9-14'!C108</f>
        <v>116521</v>
      </c>
      <c r="C5120" s="2" t="s">
        <v>573</v>
      </c>
      <c r="D5120" s="2" t="str">
        <f t="shared" si="79"/>
        <v>Error?</v>
      </c>
    </row>
    <row r="5121" spans="1:4" x14ac:dyDescent="0.2">
      <c r="A5121" s="5">
        <v>5060</v>
      </c>
      <c r="B5121" s="138">
        <f>'Revenues 9-14'!C109</f>
        <v>6661427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2092275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2092275</v>
      </c>
      <c r="C5132" s="2" t="s">
        <v>573</v>
      </c>
      <c r="D5132" s="2" t="str">
        <f t="shared" si="79"/>
        <v>Error?</v>
      </c>
    </row>
    <row r="5133" spans="1:4" x14ac:dyDescent="0.2">
      <c r="A5133" s="5">
        <v>5072</v>
      </c>
      <c r="B5133" s="138">
        <f>'Revenues 9-14'!C125</f>
        <v>53082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572217</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625299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16259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42095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683653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2775928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174013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28818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174013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3654</v>
      </c>
      <c r="D5278" s="2" t="str">
        <f t="shared" si="81"/>
        <v>Error?</v>
      </c>
    </row>
    <row r="5279" spans="1:4" x14ac:dyDescent="0.2">
      <c r="A5279" s="5">
        <v>5218</v>
      </c>
      <c r="B5279" s="138">
        <f>'Revenues 9-14'!C214</f>
        <v>2587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6241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239843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239843</v>
      </c>
      <c r="C5326" s="2" t="s">
        <v>573</v>
      </c>
      <c r="D5326" s="2" t="str">
        <f t="shared" si="82"/>
        <v>Error?</v>
      </c>
    </row>
    <row r="5327" spans="1:5" x14ac:dyDescent="0.2">
      <c r="A5327" s="5">
        <v>5266</v>
      </c>
      <c r="B5327" s="138">
        <f>'Revenues 9-14'!C268</f>
        <v>9677198</v>
      </c>
      <c r="C5327" s="2" t="s">
        <v>573</v>
      </c>
      <c r="D5327" s="2" t="str">
        <f t="shared" si="82"/>
        <v>Error?</v>
      </c>
    </row>
    <row r="5328" spans="1:5" x14ac:dyDescent="0.2">
      <c r="A5328" s="5">
        <v>5267</v>
      </c>
      <c r="B5328" s="138">
        <f>'Revenues 9-14'!D5</f>
        <v>935287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935287</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133016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133016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27642</v>
      </c>
      <c r="D5354" s="2" t="str">
        <f t="shared" si="82"/>
        <v>Error?</v>
      </c>
    </row>
    <row r="5355" spans="1:4" x14ac:dyDescent="0.2">
      <c r="A5355" s="5">
        <v>5294</v>
      </c>
      <c r="B5355" s="138">
        <f>'Revenues 9-14'!D108</f>
        <v>41509</v>
      </c>
      <c r="C5355" s="2" t="s">
        <v>573</v>
      </c>
      <c r="D5355" s="2" t="str">
        <f t="shared" si="82"/>
        <v>Error?</v>
      </c>
    </row>
    <row r="5356" spans="1:4" x14ac:dyDescent="0.2">
      <c r="A5356" s="5">
        <v>5295</v>
      </c>
      <c r="B5356" s="138">
        <f>'Revenues 9-14'!D109</f>
        <v>1109812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1109812</v>
      </c>
      <c r="C5508" s="2" t="s">
        <v>573</v>
      </c>
      <c r="D5508" s="2" t="str">
        <f t="shared" si="85"/>
        <v>Error?</v>
      </c>
    </row>
    <row r="5509" spans="1:4" x14ac:dyDescent="0.2">
      <c r="A5509" s="5">
        <v>5448</v>
      </c>
      <c r="B5509" s="138">
        <f>'Revenues 9-14'!E5</f>
        <v>1348654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1348654</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1348654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1348654</v>
      </c>
      <c r="C5552" s="2" t="s">
        <v>573</v>
      </c>
      <c r="D5552" s="2" t="str">
        <f t="shared" si="85"/>
        <v>Error?</v>
      </c>
    </row>
    <row r="5553" spans="1:4" x14ac:dyDescent="0.2">
      <c r="A5553" s="5">
        <v>5492</v>
      </c>
      <c r="B5553" s="138">
        <f>'Revenues 9-14'!F5</f>
        <v>360676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360676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815122</v>
      </c>
      <c r="D5564" s="2" t="str">
        <f t="shared" si="85"/>
        <v>Error?</v>
      </c>
    </row>
    <row r="5565" spans="1:4" x14ac:dyDescent="0.2">
      <c r="A5565" s="5">
        <v>5504</v>
      </c>
      <c r="B5565" s="138">
        <f>'Revenues 9-14'!F44</f>
        <v>26599</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841721</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1202397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125239</v>
      </c>
      <c r="D5615" s="2" t="str">
        <f t="shared" si="86"/>
        <v>Error?</v>
      </c>
    </row>
    <row r="5616" spans="1:4" x14ac:dyDescent="0.2">
      <c r="A5616" s="10">
        <v>5555</v>
      </c>
      <c r="D5616" s="2" t="str">
        <f t="shared" si="86"/>
        <v>OK</v>
      </c>
    </row>
    <row r="5617" spans="1:5" x14ac:dyDescent="0.2">
      <c r="A5617" s="5">
        <v>5556</v>
      </c>
      <c r="B5617" s="138">
        <f>'Revenues 9-14'!F153</f>
        <v>82300</v>
      </c>
      <c r="D5617" s="2" t="str">
        <f t="shared" si="86"/>
        <v>Error?</v>
      </c>
    </row>
    <row r="5618" spans="1:5" x14ac:dyDescent="0.2">
      <c r="A5618" s="5">
        <v>5557</v>
      </c>
      <c r="B5618" s="138">
        <f>'Revenues 9-14'!F155</f>
        <v>207539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207539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207539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1409936</v>
      </c>
      <c r="C5720" s="2" t="s">
        <v>573</v>
      </c>
      <c r="D5720" s="2" t="str">
        <f t="shared" si="88"/>
        <v>Error?</v>
      </c>
    </row>
    <row r="5721" spans="1:4" x14ac:dyDescent="0.2">
      <c r="A5721" s="5">
        <v>5660</v>
      </c>
      <c r="B5721" s="138">
        <f>'Revenues 9-14'!G5</f>
        <v>170250</v>
      </c>
      <c r="D5721" s="2" t="str">
        <f t="shared" si="88"/>
        <v>Error?</v>
      </c>
    </row>
    <row r="5722" spans="1:4" x14ac:dyDescent="0.2">
      <c r="A5722" s="5">
        <v>5661</v>
      </c>
      <c r="B5722" s="138">
        <f>'Revenues 9-14'!G7</f>
        <v>0</v>
      </c>
      <c r="D5722" s="2" t="str">
        <f t="shared" si="88"/>
        <v>Error?</v>
      </c>
    </row>
    <row r="5723" spans="1:4" x14ac:dyDescent="0.2">
      <c r="A5723" s="5">
        <v>5662</v>
      </c>
      <c r="B5723" s="138">
        <f>'Revenues 9-14'!G8</f>
        <v>208435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378685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15000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393685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97744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97744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97744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62487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62487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62487</v>
      </c>
      <c r="C6023" s="2" t="s">
        <v>573</v>
      </c>
      <c r="D6023" s="2" t="str">
        <f t="shared" si="93"/>
        <v>Error?</v>
      </c>
    </row>
    <row r="6024" spans="1:5" x14ac:dyDescent="0.2">
      <c r="A6024" s="5">
        <v>5963</v>
      </c>
      <c r="B6024" s="138">
        <f>'Revenues 9-14'!G109</f>
        <v>393685</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97744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62487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903.62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471712</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788575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266592</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154968</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50152</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-2514</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728</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728</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787847</v>
      </c>
      <c r="D6215" s="2" t="str">
        <f t="shared" si="96"/>
        <v>Error?</v>
      </c>
      <c r="E6215" s="2" t="s">
        <v>190</v>
      </c>
    </row>
    <row r="6216" spans="1:5" x14ac:dyDescent="0.2">
      <c r="A6216">
        <v>6155</v>
      </c>
      <c r="B6216" s="138">
        <f>'Assets-Liab 5-6'!J41</f>
        <v>788575</v>
      </c>
      <c r="D6216" s="2" t="str">
        <f t="shared" si="96"/>
        <v>Error?</v>
      </c>
      <c r="E6216" s="2" t="s">
        <v>190</v>
      </c>
    </row>
    <row r="6217" spans="1:5" x14ac:dyDescent="0.2">
      <c r="A6217">
        <v>6156</v>
      </c>
      <c r="B6217" s="138">
        <f>'Assets-Liab 5-6'!J4</f>
        <v>86089</v>
      </c>
      <c r="D6217" s="2" t="str">
        <f t="shared" si="96"/>
        <v>Error?</v>
      </c>
      <c r="E6217" s="2" t="s">
        <v>190</v>
      </c>
    </row>
    <row r="6218" spans="1:5" x14ac:dyDescent="0.2">
      <c r="A6218">
        <v>6157</v>
      </c>
      <c r="B6218" s="138">
        <f>'Assets-Liab 5-6'!J5</f>
        <v>702486</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1080816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1080816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1080816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1148785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1148785</v>
      </c>
      <c r="D6229" s="2" t="str">
        <f t="shared" si="96"/>
        <v>Error?</v>
      </c>
      <c r="E6229" s="2" t="s">
        <v>190</v>
      </c>
    </row>
    <row r="6230" spans="1:5" x14ac:dyDescent="0.2">
      <c r="A6230">
        <v>6169</v>
      </c>
      <c r="B6230" s="138">
        <f>'Acct Summary 7-8'!J20</f>
        <v>-67969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-67969</v>
      </c>
      <c r="D6263" s="2" t="str">
        <f t="shared" si="96"/>
        <v>Error?</v>
      </c>
      <c r="E6263" s="2" t="s">
        <v>190</v>
      </c>
    </row>
    <row r="6264" spans="1:5" x14ac:dyDescent="0.2">
      <c r="A6264">
        <v>6203</v>
      </c>
      <c r="B6264" s="138">
        <f>'Acct Summary 7-8'!J79</f>
        <v>855816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787847</v>
      </c>
      <c r="D6266" s="2" t="str">
        <f t="shared" si="96"/>
        <v>Error?</v>
      </c>
      <c r="E6266" s="2" t="s">
        <v>190</v>
      </c>
    </row>
    <row r="6267" spans="1:5" x14ac:dyDescent="0.2">
      <c r="A6267">
        <v>6206</v>
      </c>
      <c r="B6267" s="138">
        <f>'Acct Summary 7-8'!C82</f>
        <v>928534</v>
      </c>
      <c r="D6267" s="2" t="str">
        <f t="shared" si="96"/>
        <v>Error?</v>
      </c>
      <c r="E6267" s="2" t="s">
        <v>190</v>
      </c>
    </row>
    <row r="6268" spans="1:5" x14ac:dyDescent="0.2">
      <c r="A6268">
        <v>6207</v>
      </c>
      <c r="B6268" s="138">
        <f>'Acct Summary 7-8'!D82</f>
        <v>-31942</v>
      </c>
      <c r="D6268" s="2" t="str">
        <f t="shared" si="96"/>
        <v>Error?</v>
      </c>
      <c r="E6268" s="2" t="s">
        <v>190</v>
      </c>
    </row>
    <row r="6269" spans="1:5" x14ac:dyDescent="0.2">
      <c r="A6269">
        <v>6208</v>
      </c>
      <c r="B6269" s="138">
        <f>'Acct Summary 7-8'!E82</f>
        <v>-117152</v>
      </c>
      <c r="D6269" s="2" t="str">
        <f t="shared" si="96"/>
        <v>Error?</v>
      </c>
      <c r="E6269" s="2" t="s">
        <v>190</v>
      </c>
    </row>
    <row r="6270" spans="1:5" x14ac:dyDescent="0.2">
      <c r="A6270">
        <v>6209</v>
      </c>
      <c r="B6270" s="138">
        <f>'Acct Summary 7-8'!F82</f>
        <v>189924</v>
      </c>
      <c r="D6270" s="2" t="str">
        <f t="shared" si="96"/>
        <v>Error?</v>
      </c>
      <c r="E6270" s="2" t="s">
        <v>190</v>
      </c>
    </row>
    <row r="6271" spans="1:5" x14ac:dyDescent="0.2">
      <c r="A6271">
        <v>6210</v>
      </c>
      <c r="B6271" s="138">
        <f>'Acct Summary 7-8'!G82</f>
        <v>19629</v>
      </c>
      <c r="D6271" s="2" t="str">
        <f t="shared" ref="D6271:D6334" si="97">IF(ISBLANK(B6271),"OK",IF(A6271-B6271=0,"OK","Error?"))</f>
        <v>Error?</v>
      </c>
      <c r="E6271" s="2" t="s">
        <v>190</v>
      </c>
    </row>
    <row r="6272" spans="1:5" x14ac:dyDescent="0.2">
      <c r="A6272">
        <v>6211</v>
      </c>
      <c r="B6272" s="138">
        <f>'Acct Summary 7-8'!H82</f>
        <v>-190799</v>
      </c>
      <c r="D6272" s="2" t="str">
        <f t="shared" si="97"/>
        <v>Error?</v>
      </c>
      <c r="E6272" s="2" t="s">
        <v>190</v>
      </c>
    </row>
    <row r="6273" spans="1:5" x14ac:dyDescent="0.2">
      <c r="A6273">
        <v>6212</v>
      </c>
      <c r="B6273" s="138">
        <f>'Acct Summary 7-8'!I82</f>
        <v>-77256</v>
      </c>
      <c r="D6273" s="2" t="str">
        <f t="shared" si="97"/>
        <v>Error?</v>
      </c>
      <c r="E6273" s="2" t="s">
        <v>190</v>
      </c>
    </row>
    <row r="6274" spans="1:5" x14ac:dyDescent="0.2">
      <c r="A6274">
        <v>6213</v>
      </c>
      <c r="B6274" s="138">
        <f>'Acct Summary 7-8'!J82</f>
        <v>-67969</v>
      </c>
      <c r="D6274" s="2" t="str">
        <f t="shared" si="97"/>
        <v>Error?</v>
      </c>
      <c r="E6274" s="2" t="s">
        <v>190</v>
      </c>
    </row>
    <row r="6275" spans="1:5" x14ac:dyDescent="0.2">
      <c r="A6275">
        <v>6214</v>
      </c>
      <c r="B6275" s="138">
        <f>'Acct Summary 7-8'!K82</f>
        <v>-163304</v>
      </c>
      <c r="D6275" s="2" t="str">
        <f t="shared" si="97"/>
        <v>Error?</v>
      </c>
      <c r="E6275" s="2" t="s">
        <v>190</v>
      </c>
    </row>
    <row r="6276" spans="1:5" x14ac:dyDescent="0.2">
      <c r="A6276">
        <v>6215</v>
      </c>
      <c r="B6276" s="138">
        <f>'Acct Summary 7-8'!C83</f>
        <v>0.11480988315539174</v>
      </c>
      <c r="D6276" s="2" t="str">
        <f t="shared" si="97"/>
        <v>Error?</v>
      </c>
      <c r="E6276" s="2" t="s">
        <v>190</v>
      </c>
    </row>
    <row r="6277" spans="1:5" x14ac:dyDescent="0.2">
      <c r="A6277">
        <v>6216</v>
      </c>
      <c r="B6277" s="138">
        <f>'Acct Summary 7-8'!D83</f>
        <v>-2.7135190881651592E-2</v>
      </c>
      <c r="D6277" s="2" t="str">
        <f t="shared" si="97"/>
        <v>Error?</v>
      </c>
      <c r="E6277" s="2" t="s">
        <v>190</v>
      </c>
    </row>
    <row r="6278" spans="1:5" x14ac:dyDescent="0.2">
      <c r="A6278">
        <v>6217</v>
      </c>
      <c r="B6278" s="138">
        <f>'Acct Summary 7-8'!E83</f>
        <v>-0.19269213372260371</v>
      </c>
      <c r="D6278" s="2" t="str">
        <f t="shared" si="97"/>
        <v>Error?</v>
      </c>
      <c r="E6278" s="2" t="s">
        <v>190</v>
      </c>
    </row>
    <row r="6279" spans="1:5" x14ac:dyDescent="0.2">
      <c r="A6279">
        <v>6218</v>
      </c>
      <c r="B6279" s="138">
        <f>'Acct Summary 7-8'!F83</f>
        <v>0.10517938877397597</v>
      </c>
      <c r="D6279" s="2" t="str">
        <f t="shared" si="97"/>
        <v>Error?</v>
      </c>
      <c r="E6279" s="2" t="s">
        <v>190</v>
      </c>
    </row>
    <row r="6280" spans="1:5" x14ac:dyDescent="0.2">
      <c r="A6280">
        <v>6219</v>
      </c>
      <c r="B6280" s="138">
        <f>'Acct Summary 7-8'!G83</f>
        <v>0.22716120819349611</v>
      </c>
      <c r="D6280" s="2" t="str">
        <f t="shared" si="97"/>
        <v>Error?</v>
      </c>
      <c r="E6280" s="2" t="s">
        <v>190</v>
      </c>
    </row>
    <row r="6281" spans="1:5" x14ac:dyDescent="0.2">
      <c r="A6281">
        <v>6220</v>
      </c>
      <c r="B6281" s="138">
        <f>'Acct Summary 7-8'!H83</f>
        <v>-2.389168544953669</v>
      </c>
      <c r="D6281" s="2" t="str">
        <f t="shared" si="97"/>
        <v>Error?</v>
      </c>
      <c r="E6281" s="2" t="s">
        <v>190</v>
      </c>
    </row>
    <row r="6282" spans="1:5" x14ac:dyDescent="0.2">
      <c r="A6282">
        <v>6221</v>
      </c>
      <c r="B6282" s="138">
        <f>'Acct Summary 7-8'!I83</f>
        <v>-2.3855532849528207E-2</v>
      </c>
      <c r="D6282" s="2" t="str">
        <f t="shared" si="97"/>
        <v>Error?</v>
      </c>
      <c r="E6282" s="2" t="s">
        <v>190</v>
      </c>
    </row>
    <row r="6283" spans="1:5" x14ac:dyDescent="0.2">
      <c r="A6283">
        <v>6222</v>
      </c>
      <c r="B6283" s="138">
        <f>'Acct Summary 7-8'!J83</f>
        <v>-8.6271826890246456E-2</v>
      </c>
      <c r="D6283" s="2" t="str">
        <f t="shared" si="97"/>
        <v>Error?</v>
      </c>
      <c r="E6283" s="2" t="s">
        <v>190</v>
      </c>
    </row>
    <row r="6284" spans="1:5" x14ac:dyDescent="0.2">
      <c r="A6284">
        <v>6223</v>
      </c>
      <c r="B6284" s="138">
        <f>'Acct Summary 7-8'!K83</f>
        <v>4.872564523347755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1080816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1080816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2472</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59306</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6400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1080816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16259</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98986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38339</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38339</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59088</v>
      </c>
      <c r="D6983" s="2" t="str">
        <f t="shared" si="108"/>
        <v>Error?</v>
      </c>
    </row>
    <row r="6984" spans="1:4" x14ac:dyDescent="0.2">
      <c r="A6984">
        <v>6923</v>
      </c>
      <c r="B6984" s="138">
        <f>'Expenditures 15-22'!K86</f>
        <v>59088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59088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1148785</v>
      </c>
      <c r="D7042" s="2" t="str">
        <f t="shared" si="109"/>
        <v>Error?</v>
      </c>
    </row>
    <row r="7043" spans="1:5" x14ac:dyDescent="0.2">
      <c r="A7043">
        <v>6982</v>
      </c>
      <c r="B7043" s="138">
        <f>'Revenues 9-14'!H9</f>
        <v>0</v>
      </c>
      <c r="D7043" s="2" t="str">
        <f t="shared" si="109"/>
        <v>Error?</v>
      </c>
    </row>
    <row r="7044" spans="1:5" x14ac:dyDescent="0.2">
      <c r="A7044">
        <v>6983</v>
      </c>
      <c r="B7044" s="138">
        <f>'Revenues 9-14'!D106</f>
        <v>13867</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1080816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1178</v>
      </c>
      <c r="D7079" s="2" t="str">
        <f t="shared" si="109"/>
        <v>Error?</v>
      </c>
    </row>
    <row r="7080" spans="1:4" x14ac:dyDescent="0.2">
      <c r="A7080">
        <v>7019</v>
      </c>
      <c r="B7080" s="138">
        <f>'Expenditures 15-22'!K226</f>
        <v>1178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25615</v>
      </c>
      <c r="D7093" s="2" t="str">
        <f t="shared" si="109"/>
        <v>Error?</v>
      </c>
    </row>
    <row r="7094" spans="1:4" x14ac:dyDescent="0.2">
      <c r="A7094">
        <v>7033</v>
      </c>
      <c r="B7094" s="138">
        <f>'Expenditures 15-22'!K254</f>
        <v>25615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166571</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166571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717815</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148968</v>
      </c>
      <c r="D7174" s="2" t="str">
        <f t="shared" si="111"/>
        <v>Error?</v>
      </c>
    </row>
    <row r="7175" spans="1:4" x14ac:dyDescent="0.2">
      <c r="A7175">
        <v>7114</v>
      </c>
      <c r="B7175" s="138">
        <f>'Expenditures 15-22'!F325</f>
        <v>13826</v>
      </c>
      <c r="D7175" s="2" t="str">
        <f t="shared" si="111"/>
        <v>Error?</v>
      </c>
    </row>
    <row r="7176" spans="1:4" x14ac:dyDescent="0.2">
      <c r="A7176">
        <v>7115</v>
      </c>
      <c r="B7176" s="138">
        <f>'Expenditures 15-22'!G325</f>
        <v>11579</v>
      </c>
      <c r="D7176" s="2" t="str">
        <f t="shared" si="111"/>
        <v>Error?</v>
      </c>
    </row>
    <row r="7177" spans="1:4" x14ac:dyDescent="0.2">
      <c r="A7177">
        <v>7116</v>
      </c>
      <c r="B7177" s="138">
        <f>'Expenditures 15-22'!H325</f>
        <v>90026</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982214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717815</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315539</v>
      </c>
      <c r="D7201" s="2" t="str">
        <f t="shared" si="111"/>
        <v>Error?</v>
      </c>
    </row>
    <row r="7202" spans="1:4" x14ac:dyDescent="0.2">
      <c r="A7202">
        <v>7141</v>
      </c>
      <c r="B7202" s="138">
        <f>'Expenditures 15-22'!F330</f>
        <v>13826</v>
      </c>
      <c r="D7202" s="2" t="str">
        <f t="shared" si="111"/>
        <v>Error?</v>
      </c>
    </row>
    <row r="7203" spans="1:4" x14ac:dyDescent="0.2">
      <c r="A7203">
        <v>7142</v>
      </c>
      <c r="B7203" s="138">
        <f>'Expenditures 15-22'!G330</f>
        <v>11579</v>
      </c>
      <c r="D7203" s="2" t="str">
        <f t="shared" si="111"/>
        <v>Error?</v>
      </c>
    </row>
    <row r="7204" spans="1:4" x14ac:dyDescent="0.2">
      <c r="A7204">
        <v>7143</v>
      </c>
      <c r="B7204" s="138">
        <f>'Expenditures 15-22'!H330</f>
        <v>90026</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1148785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717815</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315539</v>
      </c>
      <c r="D7218" s="2" t="str">
        <f t="shared" si="111"/>
        <v>Error?</v>
      </c>
    </row>
    <row r="7219" spans="1:4" x14ac:dyDescent="0.2">
      <c r="A7219">
        <v>7158</v>
      </c>
      <c r="B7219" s="138">
        <f>'Expenditures 15-22'!F342</f>
        <v>13826</v>
      </c>
      <c r="D7219" s="2" t="str">
        <f t="shared" si="111"/>
        <v>Error?</v>
      </c>
    </row>
    <row r="7220" spans="1:4" x14ac:dyDescent="0.2">
      <c r="A7220">
        <v>7159</v>
      </c>
      <c r="B7220" s="138">
        <f>'Expenditures 15-22'!G342</f>
        <v>11579</v>
      </c>
      <c r="D7220" s="2" t="str">
        <f t="shared" si="111"/>
        <v>Error?</v>
      </c>
    </row>
    <row r="7221" spans="1:4" x14ac:dyDescent="0.2">
      <c r="A7221">
        <v>7160</v>
      </c>
      <c r="B7221" s="138">
        <f>'Expenditures 15-22'!H342</f>
        <v>90026</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1148785</v>
      </c>
      <c r="D7224" s="2" t="str">
        <f t="shared" si="111"/>
        <v>Error?</v>
      </c>
    </row>
    <row r="7225" spans="1:4" x14ac:dyDescent="0.2">
      <c r="A7225">
        <v>7164</v>
      </c>
      <c r="B7225" s="138">
        <f>'Expenditures 15-22'!K343</f>
        <v>-67969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74263</v>
      </c>
      <c r="D7263" s="2" t="str">
        <f t="shared" si="112"/>
        <v>Error?</v>
      </c>
    </row>
    <row r="7264" spans="1:4" x14ac:dyDescent="0.2">
      <c r="A7264">
        <f t="shared" si="113"/>
        <v>7203</v>
      </c>
      <c r="B7264" s="138">
        <f>'Expenditures 15-22'!D17</f>
        <v>18365</v>
      </c>
      <c r="D7264" s="2" t="str">
        <f t="shared" si="112"/>
        <v>Error?</v>
      </c>
    </row>
    <row r="7265" spans="1:5" x14ac:dyDescent="0.2">
      <c r="A7265">
        <f t="shared" si="113"/>
        <v>7204</v>
      </c>
      <c r="B7265" s="138">
        <f>'Expenditures 15-22'!E17</f>
        <v>1815</v>
      </c>
      <c r="D7265" s="2" t="str">
        <f t="shared" si="112"/>
        <v>Error?</v>
      </c>
    </row>
    <row r="7266" spans="1:5" x14ac:dyDescent="0.2">
      <c r="A7266">
        <f t="shared" si="113"/>
        <v>7205</v>
      </c>
      <c r="B7266" s="138">
        <f>'Expenditures 15-22'!F17</f>
        <v>4543</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1495379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6400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42095</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48495</v>
      </c>
      <c r="D7719" s="2" t="str">
        <f t="shared" si="126"/>
        <v>Error?</v>
      </c>
      <c r="E7719" s="2" t="s">
        <v>827</v>
      </c>
    </row>
    <row r="7720" spans="1:6" x14ac:dyDescent="0.2">
      <c r="A7720">
        <v>7659</v>
      </c>
      <c r="B7720" s="138">
        <f>'Rest Tax Levies-Tort Im 25'!H14</f>
        <v>74822</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48495</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48495</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1989</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3" t="str">
        <f>COVER!A17</f>
        <v>Rochelle Twp HSD 212</v>
      </c>
      <c r="B7" s="2384"/>
      <c r="C7" s="2384"/>
      <c r="D7" s="2421"/>
      <c r="E7" s="2422">
        <f>COVER!A13</f>
        <v>47071212017</v>
      </c>
      <c r="F7" s="2423"/>
      <c r="G7" s="2390" t="str">
        <f>COVER!T23</f>
        <v>066-004023</v>
      </c>
      <c r="H7" s="2391"/>
      <c r="I7" s="2391"/>
      <c r="J7" s="2391"/>
      <c r="K7" s="2391"/>
      <c r="L7" s="239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3"/>
      <c r="B9" s="2394"/>
      <c r="C9" s="2394"/>
      <c r="D9" s="2394"/>
      <c r="E9" s="2394"/>
      <c r="F9" s="2395"/>
      <c r="G9" s="2396" t="str">
        <f>COVER!T13</f>
        <v>Wipfli LLP</v>
      </c>
      <c r="H9" s="2397"/>
      <c r="I9" s="2397"/>
      <c r="J9" s="2397"/>
      <c r="K9" s="2397"/>
      <c r="L9" s="2398"/>
    </row>
    <row r="10" spans="1:29" ht="13.5" customHeight="1" x14ac:dyDescent="0.2">
      <c r="A10" s="2380" t="str">
        <f>COVER!A38</f>
        <v>Jason Harper</v>
      </c>
      <c r="B10" s="2381"/>
      <c r="C10" s="2381"/>
      <c r="D10" s="2381"/>
      <c r="E10" s="2381"/>
      <c r="F10" s="2382"/>
      <c r="G10" s="2396" t="str">
        <f>COVER!T17</f>
        <v>215 East First Street, Suite 200</v>
      </c>
      <c r="H10" s="2409"/>
      <c r="I10" s="2409"/>
      <c r="J10" s="2409"/>
      <c r="K10" s="2409"/>
      <c r="L10" s="2410"/>
    </row>
    <row r="11" spans="1:29" ht="13.5" customHeight="1" x14ac:dyDescent="0.2">
      <c r="A11" s="1184" t="s">
        <v>1519</v>
      </c>
      <c r="B11" s="1185"/>
      <c r="C11" s="1186"/>
      <c r="D11" s="1191"/>
      <c r="E11" s="1186"/>
      <c r="F11" s="1190"/>
      <c r="G11" s="2396" t="str">
        <f>COVER!T19</f>
        <v>Dixon</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f>COVER!T25</f>
        <v>0</v>
      </c>
      <c r="J13" s="2418"/>
      <c r="K13" s="2418"/>
      <c r="L13" s="2419"/>
    </row>
    <row r="14" spans="1:29" ht="13.5" customHeight="1" x14ac:dyDescent="0.2">
      <c r="A14" s="2396" t="str">
        <f>COVER!A19</f>
        <v>1401 Flagg Road</v>
      </c>
      <c r="B14" s="2409"/>
      <c r="C14" s="2409"/>
      <c r="D14" s="2409"/>
      <c r="E14" s="2409"/>
      <c r="F14" s="2410"/>
      <c r="G14" s="1195" t="s">
        <v>1185</v>
      </c>
      <c r="H14" s="1193"/>
      <c r="I14" s="1193"/>
      <c r="J14" s="1193"/>
      <c r="K14" s="1193"/>
      <c r="L14" s="1194"/>
    </row>
    <row r="15" spans="1:29" ht="13.5" customHeight="1" x14ac:dyDescent="0.2">
      <c r="A15" s="2396" t="str">
        <f>COVER!A21</f>
        <v>Rochelle</v>
      </c>
      <c r="B15" s="2409"/>
      <c r="C15" s="2409"/>
      <c r="D15" s="2409"/>
      <c r="E15" s="2409"/>
      <c r="F15" s="2410"/>
      <c r="G15" s="2406" t="str">
        <f>COVER!T15</f>
        <v>Rory Sohn</v>
      </c>
      <c r="H15" s="2407"/>
      <c r="I15" s="2407"/>
      <c r="J15" s="2407"/>
      <c r="K15" s="2407"/>
      <c r="L15" s="2408"/>
    </row>
    <row r="16" spans="1:29" ht="12.2" customHeight="1" x14ac:dyDescent="0.2">
      <c r="A16" s="2386">
        <f>COVER!A25</f>
        <v>61068</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1184</v>
      </c>
      <c r="H17" s="1193"/>
      <c r="I17" s="1193"/>
      <c r="J17" s="1193"/>
      <c r="K17" s="1197" t="s">
        <v>1183</v>
      </c>
      <c r="L17" s="1190"/>
      <c r="M17" s="1183"/>
    </row>
    <row r="18" spans="1:13" ht="12.2" customHeight="1" x14ac:dyDescent="0.2">
      <c r="A18" s="2380"/>
      <c r="B18" s="2381"/>
      <c r="C18" s="2381"/>
      <c r="D18" s="2381"/>
      <c r="E18" s="2381"/>
      <c r="F18" s="2382"/>
      <c r="G18" s="2383" t="str">
        <f>COVER!T21</f>
        <v>815-284-3331</v>
      </c>
      <c r="H18" s="2384"/>
      <c r="I18" s="2384"/>
      <c r="J18" s="2384"/>
      <c r="K18" s="2383" t="str">
        <f>COVER!X21</f>
        <v>815-284-9480</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Rochelle Twp HSD 212</v>
      </c>
      <c r="B1" s="2420"/>
      <c r="C1" s="2420"/>
      <c r="D1" s="2420"/>
    </row>
    <row r="2" spans="1:11" s="1212" customFormat="1" ht="12.75" x14ac:dyDescent="0.2">
      <c r="A2" s="2425">
        <f>'Single Audit Cover'!E7</f>
        <v>47071212017</v>
      </c>
      <c r="B2" s="2426"/>
      <c r="C2" s="2426"/>
      <c r="D2" s="2426"/>
    </row>
    <row r="3" spans="1:11" s="1212" customFormat="1" ht="12.75" x14ac:dyDescent="0.2">
      <c r="A3" s="2424" t="s">
        <v>1513</v>
      </c>
      <c r="B3" s="2420"/>
      <c r="C3" s="2420"/>
      <c r="D3" s="242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Rochelle Twp HSD 212</v>
      </c>
      <c r="B1" s="2428"/>
      <c r="C1" s="2428"/>
      <c r="D1" s="2428"/>
      <c r="E1" s="2428"/>
    </row>
    <row r="2" spans="1:5" x14ac:dyDescent="0.2">
      <c r="A2" s="2429">
        <f>'Single Audit Cover'!E7</f>
        <v>47071212017</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239843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-3595</v>
      </c>
    </row>
    <row r="19" spans="1:4" ht="13.5" thickBot="1" x14ac:dyDescent="0.25">
      <c r="A19" s="1262" t="s">
        <v>1235</v>
      </c>
      <c r="D19" s="1263">
        <f>SUM(D10:D17)</f>
        <v>236248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236248</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236248</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workbookViewId="0"/>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Rochelle Twp HSD 212</v>
      </c>
      <c r="C1" s="2432"/>
      <c r="D1" s="2432"/>
      <c r="E1" s="2432"/>
      <c r="F1" s="2432"/>
      <c r="G1" s="2432"/>
      <c r="H1" s="2432"/>
      <c r="I1" s="2432"/>
      <c r="J1" s="2432"/>
      <c r="K1" s="2432"/>
      <c r="L1" s="2432"/>
      <c r="M1" s="2432"/>
    </row>
    <row r="2" spans="2:14" ht="15" x14ac:dyDescent="0.2">
      <c r="B2" s="2433">
        <f>'Single Audit Cover'!E7</f>
        <v>47071212017</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4"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zoomScaleNormal="10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2067</v>
      </c>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2067</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t="s">
        <v>2094</v>
      </c>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2064</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 xml:space="preserve">&amp;C </oddHeader>
    <oddFooter>&amp;L&amp;8Printed: &amp;D  &amp;F&amp;C8</oddFooter>
    <evenFooter>&amp;C9</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Rochelle Twp HSD 212</v>
      </c>
      <c r="B1" s="2437"/>
      <c r="C1" s="2437"/>
      <c r="D1" s="2437"/>
      <c r="E1" s="2437"/>
      <c r="F1" s="2437"/>
    </row>
    <row r="2" spans="1:7" ht="13.5" customHeight="1" x14ac:dyDescent="0.2">
      <c r="A2" s="2433">
        <f>'Single Audit Cover'!E7</f>
        <v>47071212017</v>
      </c>
      <c r="B2" s="2433"/>
      <c r="C2" s="2433"/>
      <c r="D2" s="2433"/>
      <c r="E2" s="2433"/>
      <c r="F2" s="2433"/>
      <c r="G2" s="1272"/>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1728</v>
      </c>
      <c r="C6" s="317"/>
      <c r="D6" s="317"/>
    </row>
    <row r="7" spans="1:7" ht="60.95" customHeight="1" x14ac:dyDescent="0.2">
      <c r="A7" s="2436" t="s">
        <v>1729</v>
      </c>
      <c r="B7" s="2436"/>
      <c r="C7" s="2436"/>
      <c r="D7" s="2436"/>
      <c r="E7" s="2436"/>
      <c r="F7" s="243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6" t="s">
        <v>1731</v>
      </c>
      <c r="B13" s="2436"/>
      <c r="C13" s="2436"/>
      <c r="D13" s="2436"/>
      <c r="E13" s="2436"/>
      <c r="F13" s="2436"/>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1732</v>
      </c>
      <c r="B32" s="2444"/>
      <c r="C32" s="2444"/>
      <c r="D32" s="2444"/>
      <c r="E32" s="2444"/>
      <c r="F32" s="2444"/>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5">
        <f>+C33+C34</f>
        <v>0</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workbookViewId="0"/>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Rochelle Twp HSD 212</v>
      </c>
      <c r="C1" s="2453"/>
      <c r="D1" s="2453"/>
      <c r="E1" s="2453"/>
      <c r="F1" s="2453"/>
      <c r="G1" s="2453"/>
      <c r="H1" s="2453"/>
      <c r="I1" s="2453"/>
      <c r="J1" s="1406"/>
    </row>
    <row r="2" spans="2:10" s="317" customFormat="1" ht="12.75" customHeight="1" x14ac:dyDescent="0.2">
      <c r="B2" s="2454">
        <f>'Single Audit Cover'!E7</f>
        <v>47071212017</v>
      </c>
      <c r="C2" s="2455"/>
      <c r="D2" s="2455"/>
      <c r="E2" s="2455"/>
      <c r="F2" s="2455"/>
      <c r="G2" s="2455"/>
      <c r="H2" s="2455"/>
      <c r="I2" s="2455"/>
      <c r="J2" s="1406"/>
    </row>
    <row r="3" spans="2:10" s="317" customFormat="1" ht="12.75" customHeight="1" x14ac:dyDescent="0.2">
      <c r="B3" s="2456" t="s">
        <v>1285</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1284</v>
      </c>
      <c r="C7" s="2457"/>
      <c r="D7" s="2457"/>
      <c r="E7" s="2457"/>
      <c r="F7" s="2457"/>
      <c r="G7" s="2457"/>
      <c r="H7" s="2457"/>
      <c r="I7" s="245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8"/>
      <c r="D11" s="245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9"/>
      <c r="E29" s="2459"/>
      <c r="F29" s="2459"/>
      <c r="G29" s="2459"/>
      <c r="H29" s="2459"/>
      <c r="I29" s="245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0" t="s">
        <v>1751</v>
      </c>
      <c r="D37" s="2461"/>
      <c r="E37" s="2461"/>
      <c r="F37" s="2462"/>
      <c r="G37" s="2460" t="s">
        <v>1592</v>
      </c>
      <c r="H37" s="2461"/>
      <c r="I37" s="2462"/>
    </row>
    <row r="38" spans="2:9" ht="16.5" customHeight="1" x14ac:dyDescent="0.2">
      <c r="B38" s="1428"/>
      <c r="C38" s="2448"/>
      <c r="D38" s="2449"/>
      <c r="E38" s="2449"/>
      <c r="F38" s="2450"/>
      <c r="G38" s="2463"/>
      <c r="H38" s="2464"/>
      <c r="I38" s="2465"/>
    </row>
    <row r="39" spans="2:9" ht="16.5" customHeight="1" x14ac:dyDescent="0.2">
      <c r="B39" s="1428"/>
      <c r="C39" s="2448"/>
      <c r="D39" s="2449"/>
      <c r="E39" s="2449"/>
      <c r="F39" s="2450"/>
      <c r="G39" s="2451"/>
      <c r="H39" s="2451"/>
      <c r="I39" s="2451"/>
    </row>
    <row r="40" spans="2:9" ht="16.5" customHeight="1" x14ac:dyDescent="0.2">
      <c r="B40" s="1428"/>
      <c r="C40" s="2448"/>
      <c r="D40" s="2449"/>
      <c r="E40" s="2449"/>
      <c r="F40" s="2450"/>
      <c r="G40" s="2451"/>
      <c r="H40" s="2451"/>
      <c r="I40" s="2451"/>
    </row>
    <row r="41" spans="2:9" ht="16.5" customHeight="1" x14ac:dyDescent="0.2">
      <c r="B41" s="1428"/>
      <c r="C41" s="2448"/>
      <c r="D41" s="2449"/>
      <c r="E41" s="2449"/>
      <c r="F41" s="2450"/>
      <c r="G41" s="2451"/>
      <c r="H41" s="2451"/>
      <c r="I41" s="2451"/>
    </row>
    <row r="42" spans="2:9" ht="16.5" customHeight="1" x14ac:dyDescent="0.2">
      <c r="B42" s="1428"/>
      <c r="C42" s="2448"/>
      <c r="D42" s="2449"/>
      <c r="E42" s="2449"/>
      <c r="F42" s="2450"/>
      <c r="G42" s="2451"/>
      <c r="H42" s="2451"/>
      <c r="I42" s="2451"/>
    </row>
    <row r="43" spans="2:9" ht="16.5" customHeight="1" x14ac:dyDescent="0.2">
      <c r="B43" s="1428"/>
      <c r="C43" s="2466" t="s">
        <v>1593</v>
      </c>
      <c r="D43" s="2467"/>
      <c r="E43" s="2467"/>
      <c r="F43" s="2468"/>
      <c r="G43" s="2469">
        <f>SUM(G38:I42)</f>
        <v>0</v>
      </c>
      <c r="H43" s="2469"/>
      <c r="I43" s="2469"/>
    </row>
    <row r="44" spans="2:9" ht="12.75" customHeight="1" x14ac:dyDescent="0.2"/>
    <row r="45" spans="2:9" ht="12.75" customHeight="1" x14ac:dyDescent="0.2">
      <c r="B45" s="1419" t="s">
        <v>1841</v>
      </c>
      <c r="D45" s="2470">
        <v>0</v>
      </c>
      <c r="E45" s="247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2"/>
      <c r="F49" s="2472"/>
      <c r="G49" s="247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Rochelle Twp HSD 212</v>
      </c>
      <c r="C1" s="2452"/>
      <c r="D1" s="2452"/>
      <c r="E1" s="2452"/>
      <c r="F1" s="2452"/>
      <c r="G1" s="2452"/>
      <c r="H1" s="2452"/>
      <c r="I1" s="2452"/>
      <c r="J1" s="2452"/>
      <c r="K1" s="2452"/>
      <c r="L1" s="1371"/>
      <c r="M1" s="1371"/>
    </row>
    <row r="2" spans="1:13" ht="12" customHeight="1" x14ac:dyDescent="0.2">
      <c r="B2" s="2454">
        <f>'Single Audit Cover'!E7</f>
        <v>47071212017</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Rochelle Twp HSD 212</v>
      </c>
      <c r="C1" s="2479"/>
      <c r="D1" s="2479"/>
      <c r="E1" s="2479"/>
      <c r="F1" s="2479"/>
      <c r="G1" s="2479"/>
      <c r="H1" s="2479"/>
      <c r="I1" s="2479"/>
      <c r="J1" s="2479"/>
      <c r="K1" s="2479"/>
      <c r="L1" s="1449"/>
    </row>
    <row r="2" spans="1:12" ht="12.75" customHeight="1" x14ac:dyDescent="0.2">
      <c r="B2" s="2480">
        <f>'Single Audit Cover'!E7</f>
        <v>47071212017</v>
      </c>
      <c r="C2" s="2480"/>
      <c r="D2" s="2480"/>
      <c r="E2" s="2480"/>
      <c r="F2" s="2480"/>
      <c r="G2" s="2480"/>
      <c r="H2" s="2480"/>
      <c r="I2" s="2480"/>
      <c r="J2" s="2480"/>
      <c r="K2" s="2480"/>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Rochelle Twp HSD 212</v>
      </c>
      <c r="C1" s="2452"/>
      <c r="D1" s="2452"/>
      <c r="E1" s="1469"/>
    </row>
    <row r="2" spans="2:5" s="1279" customFormat="1" ht="12.75" customHeight="1" x14ac:dyDescent="0.2">
      <c r="B2" s="2454">
        <f>'Single Audit Cover'!E7</f>
        <v>47071212017</v>
      </c>
      <c r="C2" s="2454"/>
      <c r="D2" s="2454"/>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710B7-AD0F-4990-B2D7-6002F8DE98EA}">
  <sheetPr>
    <tabColor rgb="FF00B050"/>
  </sheetPr>
  <dimension ref="A1"/>
  <sheetViews>
    <sheetView workbookViewId="0">
      <selection activeCell="L49" sqref="L49"/>
    </sheetView>
  </sheetViews>
  <sheetFormatPr defaultRowHeight="12.75" x14ac:dyDescent="0.2"/>
  <sheetData/>
  <pageMargins left="0.5" right="0.5" top="0.5" bottom="0.2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zoomScaleNormal="100" workbookViewId="0">
      <selection activeCell="O17" sqref="O1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402098501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1.2999999999999999E-2</v>
      </c>
      <c r="E10" s="356" t="s">
        <v>1005</v>
      </c>
      <c r="F10" s="355">
        <v>2.5000000000000001E-3</v>
      </c>
      <c r="G10" s="356" t="s">
        <v>1005</v>
      </c>
      <c r="H10" s="355">
        <v>1.1999999999999999E-3</v>
      </c>
      <c r="I10" s="356" t="s">
        <v>1006</v>
      </c>
      <c r="J10" s="1732">
        <f>ROUND(D10+F10+H10,5)</f>
        <v>1.67E-2</v>
      </c>
      <c r="K10" s="222"/>
      <c r="L10" s="355">
        <v>5.0000000000000001E-4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12294690</v>
      </c>
      <c r="E16" s="356"/>
      <c r="F16" s="1733">
        <f>SUM('Acct Summary 7-8'!C17,'Acct Summary 7-8'!D17,'Acct Summary 7-8'!F17)</f>
        <v>11285430</v>
      </c>
      <c r="G16" s="356"/>
      <c r="H16" s="1733">
        <f>SUM(D16-F16)</f>
        <v>1009260</v>
      </c>
      <c r="I16" s="222"/>
      <c r="J16" s="1733">
        <f>SUM('Acct Summary 7-8'!C81,'Acct Summary 7-8'!D81,'Acct Summary 7-8'!F81,'Acct Summary 7-8'!I81)</f>
        <v>14308931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2075</v>
      </c>
      <c r="C31" s="367" t="s">
        <v>586</v>
      </c>
      <c r="D31" s="237" t="s">
        <v>1072</v>
      </c>
      <c r="E31" s="222"/>
      <c r="F31" s="222"/>
      <c r="G31" s="363"/>
      <c r="H31" s="1735">
        <f>IF(B31="X",(J7*0.069),IF(B32="X",(J7*0.138),"Enter x in a.or b."))</f>
        <v>27744796.569000002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10225000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&amp;L&amp;8Printed: &amp;D
&amp;F&amp;C10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zoomScaleNormal="100" workbookViewId="0">
      <selection activeCell="F46" sqref="F4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Rochelle Twp HSD 212</v>
      </c>
      <c r="E7" s="391"/>
      <c r="G7" s="252"/>
      <c r="H7" s="387"/>
      <c r="I7" s="387"/>
      <c r="J7" s="387"/>
      <c r="K7" s="387"/>
      <c r="L7" s="329"/>
      <c r="M7" s="329"/>
      <c r="N7" s="329"/>
      <c r="O7" s="329"/>
      <c r="P7" s="329"/>
    </row>
    <row r="8" spans="1:18" ht="12.75" x14ac:dyDescent="0.2">
      <c r="A8" s="329"/>
      <c r="B8" s="329"/>
      <c r="C8" s="389" t="s">
        <v>1125</v>
      </c>
      <c r="D8" s="392">
        <f>COVER!A13</f>
        <v>47071212017</v>
      </c>
      <c r="E8" s="393"/>
      <c r="G8" s="329"/>
      <c r="H8" s="329"/>
      <c r="I8" s="329"/>
      <c r="J8" s="329"/>
      <c r="K8" s="329"/>
      <c r="L8" s="329"/>
      <c r="M8" s="329"/>
      <c r="N8" s="329"/>
      <c r="O8" s="329"/>
      <c r="P8" s="329"/>
    </row>
    <row r="9" spans="1:18" ht="12.75" x14ac:dyDescent="0.2">
      <c r="A9" s="329"/>
      <c r="B9" s="329"/>
      <c r="C9" s="389" t="s">
        <v>713</v>
      </c>
      <c r="D9" s="394" t="str">
        <f>COVER!A15</f>
        <v>Ogle-Lee-DeKalb</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14308931</v>
      </c>
      <c r="I12" s="404"/>
      <c r="J12" s="404"/>
      <c r="K12" s="405">
        <f>TRUNC((H12/H13*100000),5)/100000</f>
        <v>1.1638301575000001</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12294690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11285430</v>
      </c>
      <c r="I17" s="404"/>
      <c r="J17" s="416"/>
      <c r="K17" s="405">
        <f>TRUNC((H17/H18*100000),5)/100000</f>
        <v>0.91791090289999988</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12294690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13835823</v>
      </c>
      <c r="I24" s="422"/>
      <c r="J24" s="422"/>
      <c r="K24" s="423">
        <f>TRUNC(((H24/H25*100000)/100000),2)</f>
        <v>441.35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31348.416669999999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5707788.2216999996</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10225000</v>
      </c>
      <c r="I32" s="420"/>
      <c r="J32" s="420"/>
      <c r="K32" s="423">
        <f>TRUNC(100-((((H32/H33*100))*100)/100),2)</f>
        <v>63.14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27744796.569000002</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oddFooter>&amp;L&amp;8Printed: &amp;D
&amp;F&amp;C11</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topLeftCell="B1" zoomScaleNormal="100" workbookViewId="0">
      <selection activeCell="H44" sqref="H4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6617930</v>
      </c>
      <c r="D4" s="466">
        <v>438730</v>
      </c>
      <c r="E4" s="466"/>
      <c r="F4" s="466">
        <v>1546704</v>
      </c>
      <c r="G4" s="466"/>
      <c r="H4" s="466">
        <v>79860</v>
      </c>
      <c r="I4" s="466">
        <v>3144877</v>
      </c>
      <c r="J4" s="467">
        <v>86089</v>
      </c>
      <c r="K4" s="466"/>
      <c r="L4" s="466">
        <v>213941</v>
      </c>
      <c r="M4" s="468"/>
      <c r="N4" s="469"/>
    </row>
    <row r="5" spans="1:14" x14ac:dyDescent="0.2">
      <c r="A5" s="463" t="s">
        <v>992</v>
      </c>
      <c r="B5" s="470">
        <v>120</v>
      </c>
      <c r="C5" s="465">
        <v>991661</v>
      </c>
      <c r="D5" s="466">
        <v>740172</v>
      </c>
      <c r="E5" s="466">
        <v>874567</v>
      </c>
      <c r="F5" s="466">
        <v>262132</v>
      </c>
      <c r="G5" s="466">
        <v>241378</v>
      </c>
      <c r="H5" s="466"/>
      <c r="I5" s="466">
        <v>93617</v>
      </c>
      <c r="J5" s="467">
        <v>702486</v>
      </c>
      <c r="K5" s="471">
        <v>16637</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471712</v>
      </c>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8081303</v>
      </c>
      <c r="D13" s="1737">
        <f t="shared" ref="D13:L13" si="0">SUM(D4:D12)</f>
        <v>1178902</v>
      </c>
      <c r="E13" s="1737">
        <f t="shared" si="0"/>
        <v>874567</v>
      </c>
      <c r="F13" s="1737">
        <f t="shared" si="0"/>
        <v>1808836</v>
      </c>
      <c r="G13" s="1737">
        <f t="shared" si="0"/>
        <v>241378</v>
      </c>
      <c r="H13" s="1737">
        <f t="shared" si="0"/>
        <v>79860</v>
      </c>
      <c r="I13" s="1737">
        <f t="shared" si="0"/>
        <v>3238494</v>
      </c>
      <c r="J13" s="1737">
        <f t="shared" si="0"/>
        <v>788575</v>
      </c>
      <c r="K13" s="1737">
        <f t="shared" si="0"/>
        <v>16637</v>
      </c>
      <c r="L13" s="1737">
        <f t="shared" si="0"/>
        <v>213941</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1313712</v>
      </c>
      <c r="N16" s="484"/>
    </row>
    <row r="17" spans="1:14" s="485" customFormat="1" ht="12.75" customHeight="1" x14ac:dyDescent="0.2">
      <c r="A17" s="482" t="s">
        <v>1403</v>
      </c>
      <c r="B17" s="483">
        <v>230</v>
      </c>
      <c r="C17" s="477"/>
      <c r="D17" s="477"/>
      <c r="E17" s="477"/>
      <c r="F17" s="477"/>
      <c r="G17" s="477"/>
      <c r="H17" s="477"/>
      <c r="I17" s="477"/>
      <c r="J17" s="477"/>
      <c r="K17" s="477"/>
      <c r="L17" s="477"/>
      <c r="M17" s="467">
        <v>29130126</v>
      </c>
      <c r="N17" s="484"/>
    </row>
    <row r="18" spans="1:14" s="485" customFormat="1" ht="12.75" customHeight="1" x14ac:dyDescent="0.2">
      <c r="A18" s="482" t="s">
        <v>1404</v>
      </c>
      <c r="B18" s="483">
        <v>240</v>
      </c>
      <c r="C18" s="477"/>
      <c r="D18" s="477"/>
      <c r="E18" s="477"/>
      <c r="F18" s="477"/>
      <c r="G18" s="477"/>
      <c r="H18" s="477"/>
      <c r="I18" s="477"/>
      <c r="J18" s="477"/>
      <c r="K18" s="477"/>
      <c r="L18" s="477"/>
      <c r="M18" s="467">
        <v>2646904</v>
      </c>
      <c r="N18" s="484"/>
    </row>
    <row r="19" spans="1:14" s="485" customFormat="1" ht="12.75" customHeight="1" x14ac:dyDescent="0.2">
      <c r="A19" s="482" t="s">
        <v>1405</v>
      </c>
      <c r="B19" s="483">
        <v>250</v>
      </c>
      <c r="C19" s="477"/>
      <c r="D19" s="477"/>
      <c r="E19" s="477"/>
      <c r="F19" s="477"/>
      <c r="G19" s="477"/>
      <c r="H19" s="477"/>
      <c r="I19" s="477"/>
      <c r="J19" s="477"/>
      <c r="K19" s="477"/>
      <c r="L19" s="477"/>
      <c r="M19" s="467">
        <v>1340388</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607976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9617024</v>
      </c>
    </row>
    <row r="23" spans="1:14" ht="13.5" customHeight="1" thickBot="1" x14ac:dyDescent="0.25">
      <c r="A23" s="1736" t="s">
        <v>643</v>
      </c>
      <c r="B23" s="1741"/>
      <c r="C23" s="468"/>
      <c r="D23" s="468"/>
      <c r="E23" s="468"/>
      <c r="F23" s="468"/>
      <c r="G23" s="468"/>
      <c r="H23" s="468"/>
      <c r="I23" s="468"/>
      <c r="J23" s="468"/>
      <c r="K23" s="468"/>
      <c r="L23" s="468"/>
      <c r="M23" s="1688">
        <f>SUM(M15:M22)</f>
        <v>34431130</v>
      </c>
      <c r="N23" s="1688">
        <f>SUM(N21:N22)</f>
        <v>10225000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v>266592</v>
      </c>
      <c r="F25" s="478"/>
      <c r="G25" s="478">
        <v>154968</v>
      </c>
      <c r="H25" s="479"/>
      <c r="I25" s="468"/>
      <c r="J25" s="478"/>
      <c r="K25" s="478">
        <v>50152</v>
      </c>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-2514</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-3762</v>
      </c>
      <c r="D31" s="467">
        <v>1759</v>
      </c>
      <c r="E31" s="467"/>
      <c r="F31" s="466">
        <v>3121</v>
      </c>
      <c r="G31" s="467"/>
      <c r="H31" s="467"/>
      <c r="I31" s="467"/>
      <c r="J31" s="467">
        <v>728</v>
      </c>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213941</v>
      </c>
      <c r="M33" s="468"/>
      <c r="N33" s="469"/>
    </row>
    <row r="34" spans="1:14" ht="13.5" customHeight="1" thickBot="1" x14ac:dyDescent="0.25">
      <c r="A34" s="1738" t="s">
        <v>654</v>
      </c>
      <c r="B34" s="1739"/>
      <c r="C34" s="1740">
        <f>SUM(C25:C33)</f>
        <v>-6276</v>
      </c>
      <c r="D34" s="1740">
        <f t="shared" ref="D34:K34" si="1">SUM(D25:D33)</f>
        <v>1759</v>
      </c>
      <c r="E34" s="1740">
        <f t="shared" si="1"/>
        <v>266592</v>
      </c>
      <c r="F34" s="1740">
        <f t="shared" si="1"/>
        <v>3121</v>
      </c>
      <c r="G34" s="1740">
        <f t="shared" si="1"/>
        <v>154968</v>
      </c>
      <c r="H34" s="1740">
        <f t="shared" si="1"/>
        <v>0</v>
      </c>
      <c r="I34" s="1740">
        <f t="shared" si="1"/>
        <v>0</v>
      </c>
      <c r="J34" s="1740">
        <f t="shared" si="1"/>
        <v>728</v>
      </c>
      <c r="K34" s="1740">
        <f t="shared" si="1"/>
        <v>50152</v>
      </c>
      <c r="L34" s="1721">
        <f>SUM(L33)</f>
        <v>213941</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10225000</v>
      </c>
    </row>
    <row r="37" spans="1:14" ht="13.5" thickBot="1" x14ac:dyDescent="0.25">
      <c r="A37" s="1736" t="s">
        <v>653</v>
      </c>
      <c r="B37" s="1741"/>
      <c r="C37" s="477"/>
      <c r="D37" s="477"/>
      <c r="E37" s="477"/>
      <c r="F37" s="477"/>
      <c r="G37" s="477"/>
      <c r="H37" s="477"/>
      <c r="I37" s="477"/>
      <c r="J37" s="477"/>
      <c r="K37" s="477"/>
      <c r="L37" s="480"/>
      <c r="M37" s="468"/>
      <c r="N37" s="1688">
        <f>SUM(N36:N36)</f>
        <v>10225000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8087579</v>
      </c>
      <c r="D39" s="466">
        <v>1177143</v>
      </c>
      <c r="E39" s="466">
        <v>607975</v>
      </c>
      <c r="F39" s="466">
        <v>1805715</v>
      </c>
      <c r="G39" s="466">
        <v>86410</v>
      </c>
      <c r="H39" s="466">
        <v>79860</v>
      </c>
      <c r="I39" s="466">
        <v>3238494</v>
      </c>
      <c r="J39" s="467">
        <v>787847</v>
      </c>
      <c r="K39" s="466">
        <v>-33515</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34431130</v>
      </c>
      <c r="N40" s="497"/>
    </row>
    <row r="41" spans="1:14" ht="13.5" customHeight="1" thickBot="1" x14ac:dyDescent="0.25">
      <c r="A41" s="1736" t="s">
        <v>655</v>
      </c>
      <c r="B41" s="1706"/>
      <c r="C41" s="1688">
        <f>(SUM(C34,C37,C38,C39))</f>
        <v>8081303</v>
      </c>
      <c r="D41" s="1688">
        <f t="shared" ref="D41:L41" si="2">SUM(D34,D37,D38:D39)</f>
        <v>1178902</v>
      </c>
      <c r="E41" s="1688">
        <f t="shared" si="2"/>
        <v>874567</v>
      </c>
      <c r="F41" s="1688">
        <f t="shared" si="2"/>
        <v>1808836</v>
      </c>
      <c r="G41" s="1688">
        <f t="shared" si="2"/>
        <v>241378</v>
      </c>
      <c r="H41" s="1688">
        <f t="shared" si="2"/>
        <v>79860</v>
      </c>
      <c r="I41" s="1688">
        <f t="shared" si="2"/>
        <v>3238494</v>
      </c>
      <c r="J41" s="1688">
        <f t="shared" si="2"/>
        <v>788575</v>
      </c>
      <c r="K41" s="1688">
        <f t="shared" si="2"/>
        <v>16637</v>
      </c>
      <c r="L41" s="1688">
        <f t="shared" si="2"/>
        <v>213941</v>
      </c>
      <c r="M41" s="1688">
        <f>SUM(M40)</f>
        <v>34431130</v>
      </c>
      <c r="N41" s="1688">
        <f>SUM(N37)</f>
        <v>10225000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1" gridLinesSet="0"/>
  <pageMargins left="0.3" right="0.15" top="0.86" bottom="0.25" header="0.28000000000000003" footer="0.1"/>
  <pageSetup scale="75" firstPageNumber="5" orientation="landscape" useFirstPageNumber="1" r:id="rId1"/>
  <headerFooter alignWithMargins="0">
    <oddHeader xml:space="preserve">&amp;C&amp;"Arial,Bold"&amp;9BASIC FINANCIAL STATEMENTS
STATEMENT OF ASSETS AND LIABILITIES ARISING FROM CASH TRANSACTIONS
STATEMENT OF POSITION AS OF JUNE 30, 2019
</oddHeader>
    <oddFooter>&amp;CSee Notes to the Accompanying Financial Statements.</oddFooter>
    <evenFooter>&amp;C13</even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view="pageLayout" zoomScaleNormal="100" workbookViewId="0">
      <selection activeCell="G84" sqref="G8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6661427</v>
      </c>
      <c r="D4" s="1742">
        <f>'Revenues 9-14'!D109</f>
        <v>1109812</v>
      </c>
      <c r="E4" s="1742">
        <f>'Revenues 9-14'!E109</f>
        <v>1348654</v>
      </c>
      <c r="F4" s="1742">
        <f>'Revenues 9-14'!F109</f>
        <v>1202397</v>
      </c>
      <c r="G4" s="1742">
        <f>'Revenues 9-14'!G109</f>
        <v>393685</v>
      </c>
      <c r="H4" s="1742">
        <f>'Revenues 9-14'!H109</f>
        <v>0</v>
      </c>
      <c r="I4" s="1742">
        <f>'Revenues 9-14'!I109</f>
        <v>97744</v>
      </c>
      <c r="J4" s="1742">
        <f>'Revenues 9-14'!J109</f>
        <v>1080816</v>
      </c>
      <c r="K4" s="1742">
        <f>'Revenues 9-14'!K109</f>
        <v>62487</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2775928</v>
      </c>
      <c r="D6" s="1743">
        <f>'Revenues 9-14'!D170</f>
        <v>0</v>
      </c>
      <c r="E6" s="1743">
        <f>'Revenues 9-14'!E170</f>
        <v>0</v>
      </c>
      <c r="F6" s="1743">
        <f>'Revenues 9-14'!F170</f>
        <v>207539</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239843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9677198</v>
      </c>
      <c r="D8" s="1688">
        <f t="shared" ref="D8:K8" si="0">SUM(D4:D7)</f>
        <v>1109812</v>
      </c>
      <c r="E8" s="1688">
        <f t="shared" si="0"/>
        <v>1348654</v>
      </c>
      <c r="F8" s="1688">
        <f t="shared" si="0"/>
        <v>1409936</v>
      </c>
      <c r="G8" s="1688">
        <f t="shared" si="0"/>
        <v>393685</v>
      </c>
      <c r="H8" s="1688">
        <f t="shared" si="0"/>
        <v>0</v>
      </c>
      <c r="I8" s="1688">
        <f t="shared" si="0"/>
        <v>97744</v>
      </c>
      <c r="J8" s="1688">
        <f t="shared" si="0"/>
        <v>1080816</v>
      </c>
      <c r="K8" s="1688">
        <f t="shared" si="0"/>
        <v>62487</v>
      </c>
      <c r="L8" s="347"/>
    </row>
    <row r="9" spans="1:13" ht="15.75" thickTop="1" x14ac:dyDescent="0.2">
      <c r="A9" s="514" t="s">
        <v>1653</v>
      </c>
      <c r="B9" s="515">
        <v>3998</v>
      </c>
      <c r="C9" s="481">
        <v>3951282</v>
      </c>
      <c r="D9" s="516"/>
      <c r="E9" s="481"/>
      <c r="F9" s="481"/>
      <c r="G9" s="517"/>
      <c r="H9" s="481"/>
      <c r="I9" s="509" t="s">
        <v>1169</v>
      </c>
      <c r="J9" s="478"/>
      <c r="K9" s="481"/>
      <c r="L9" s="347"/>
    </row>
    <row r="10" spans="1:13" s="519" customFormat="1" ht="13.5" thickBot="1" x14ac:dyDescent="0.25">
      <c r="A10" s="1736" t="s">
        <v>1173</v>
      </c>
      <c r="B10" s="1709"/>
      <c r="C10" s="1688">
        <f>SUM(C8:C9)</f>
        <v>13628480</v>
      </c>
      <c r="D10" s="1688">
        <f t="shared" ref="D10:K10" si="1">SUM(D8:D9)</f>
        <v>1109812</v>
      </c>
      <c r="E10" s="1688">
        <f t="shared" si="1"/>
        <v>1348654</v>
      </c>
      <c r="F10" s="1688">
        <f t="shared" si="1"/>
        <v>1409936</v>
      </c>
      <c r="G10" s="1688">
        <f t="shared" si="1"/>
        <v>393685</v>
      </c>
      <c r="H10" s="1688">
        <f t="shared" si="1"/>
        <v>0</v>
      </c>
      <c r="I10" s="1688">
        <f t="shared" si="1"/>
        <v>97744</v>
      </c>
      <c r="J10" s="1688">
        <f t="shared" si="1"/>
        <v>1080816</v>
      </c>
      <c r="K10" s="1688">
        <f t="shared" si="1"/>
        <v>62487</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5677919</v>
      </c>
      <c r="D12" s="520" t="s">
        <v>1169</v>
      </c>
      <c r="E12" s="468" t="s">
        <v>1169</v>
      </c>
      <c r="F12" s="468" t="s">
        <v>1169</v>
      </c>
      <c r="G12" s="1742">
        <f>'Expenditures 15-22'!K229</f>
        <v>97259</v>
      </c>
      <c r="H12" s="521"/>
      <c r="I12" s="468" t="s">
        <v>1169</v>
      </c>
      <c r="J12" s="468" t="s">
        <v>1169</v>
      </c>
      <c r="K12" s="521" t="s">
        <v>1169</v>
      </c>
      <c r="L12" s="347"/>
    </row>
    <row r="13" spans="1:13" ht="15.75" customHeight="1" x14ac:dyDescent="0.2">
      <c r="A13" s="1576" t="s">
        <v>457</v>
      </c>
      <c r="B13" s="1578">
        <v>2000</v>
      </c>
      <c r="C13" s="1743">
        <f>'Expenditures 15-22'!K74</f>
        <v>2301796</v>
      </c>
      <c r="D13" s="1743">
        <f>'Expenditures 15-22'!K129</f>
        <v>1141754</v>
      </c>
      <c r="E13" s="469" t="s">
        <v>1169</v>
      </c>
      <c r="F13" s="1743">
        <f>'Expenditures 15-22'!K184</f>
        <v>1175397</v>
      </c>
      <c r="G13" s="1743">
        <f>'Expenditures 15-22'!K279</f>
        <v>276797</v>
      </c>
      <c r="H13" s="1743">
        <f>'Expenditures 15-22'!K303</f>
        <v>190799</v>
      </c>
      <c r="I13" s="468" t="s">
        <v>1169</v>
      </c>
      <c r="J13" s="1743">
        <f>'Expenditures 15-22'!K330</f>
        <v>1148785</v>
      </c>
      <c r="K13" s="1747">
        <f>'Expenditures 15-22'!K352</f>
        <v>225791</v>
      </c>
      <c r="L13" s="347"/>
    </row>
    <row r="14" spans="1:13" ht="15.75" customHeight="1" x14ac:dyDescent="0.2">
      <c r="A14" s="1576" t="s">
        <v>449</v>
      </c>
      <c r="B14" s="1578">
        <v>3000</v>
      </c>
      <c r="C14" s="1743">
        <f>'Expenditures 15-22'!K75</f>
        <v>10188</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933761</v>
      </c>
      <c r="D15" s="1743">
        <f>'Expenditures 15-22'!K139</f>
        <v>0</v>
      </c>
      <c r="E15" s="1743">
        <f>'Expenditures 15-22'!K160</f>
        <v>0</v>
      </c>
      <c r="F15" s="1743">
        <f>'Expenditures 15-22'!K196</f>
        <v>44615</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1465806</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8923664</v>
      </c>
      <c r="D17" s="1688">
        <f t="shared" si="2"/>
        <v>1141754</v>
      </c>
      <c r="E17" s="1688">
        <f t="shared" si="2"/>
        <v>1465806</v>
      </c>
      <c r="F17" s="1688">
        <f t="shared" si="2"/>
        <v>1220012</v>
      </c>
      <c r="G17" s="1688">
        <f t="shared" si="2"/>
        <v>374056</v>
      </c>
      <c r="H17" s="1688">
        <f t="shared" si="2"/>
        <v>190799</v>
      </c>
      <c r="I17" s="468"/>
      <c r="J17" s="1688">
        <f>SUM(J12:J16)</f>
        <v>1148785</v>
      </c>
      <c r="K17" s="1688">
        <f>SUM(K12:K16)</f>
        <v>225791</v>
      </c>
      <c r="L17" s="347"/>
    </row>
    <row r="18" spans="1:12" ht="15" customHeight="1" thickTop="1" x14ac:dyDescent="0.2">
      <c r="A18" s="1744" t="s">
        <v>1654</v>
      </c>
      <c r="B18" s="1745">
        <v>4180</v>
      </c>
      <c r="C18" s="1742">
        <f t="shared" ref="C18:H18" si="3">C9</f>
        <v>3951282</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12874946</v>
      </c>
      <c r="D19" s="1688">
        <f t="shared" si="4"/>
        <v>1141754</v>
      </c>
      <c r="E19" s="1688">
        <f t="shared" si="4"/>
        <v>1465806</v>
      </c>
      <c r="F19" s="1688">
        <f t="shared" si="4"/>
        <v>1220012</v>
      </c>
      <c r="G19" s="1688">
        <f t="shared" si="4"/>
        <v>374056</v>
      </c>
      <c r="H19" s="1688">
        <f t="shared" si="4"/>
        <v>190799</v>
      </c>
      <c r="I19" s="468"/>
      <c r="J19" s="1688">
        <f>SUM(J17:J18)</f>
        <v>1148785</v>
      </c>
      <c r="K19" s="1688">
        <f>SUM(K17:K18)</f>
        <v>225791</v>
      </c>
      <c r="L19" s="347"/>
    </row>
    <row r="20" spans="1:12" ht="16.5" thickTop="1" thickBot="1" x14ac:dyDescent="0.25">
      <c r="A20" s="2125" t="s">
        <v>1655</v>
      </c>
      <c r="B20" s="2126"/>
      <c r="C20" s="1746">
        <f>C8-C17</f>
        <v>753534</v>
      </c>
      <c r="D20" s="1746">
        <f t="shared" ref="D20:K20" si="5">D8-D17</f>
        <v>-31942</v>
      </c>
      <c r="E20" s="1746">
        <f t="shared" si="5"/>
        <v>-117152</v>
      </c>
      <c r="F20" s="1746">
        <f t="shared" si="5"/>
        <v>189924</v>
      </c>
      <c r="G20" s="1746">
        <f t="shared" si="5"/>
        <v>19629</v>
      </c>
      <c r="H20" s="1746">
        <f t="shared" si="5"/>
        <v>-190799</v>
      </c>
      <c r="I20" s="1746">
        <f t="shared" si="5"/>
        <v>97744</v>
      </c>
      <c r="J20" s="1746">
        <f t="shared" si="5"/>
        <v>-67969</v>
      </c>
      <c r="K20" s="1746">
        <f t="shared" si="5"/>
        <v>-163304</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v>175000</v>
      </c>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175000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175000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3">
        <f t="shared" ref="C76:K76" si="7">SUM(C47:C75)</f>
        <v>0</v>
      </c>
      <c r="D76" s="1703">
        <f t="shared" si="7"/>
        <v>0</v>
      </c>
      <c r="E76" s="1703">
        <f t="shared" si="7"/>
        <v>0</v>
      </c>
      <c r="F76" s="1703">
        <f t="shared" si="7"/>
        <v>0</v>
      </c>
      <c r="G76" s="1703">
        <f t="shared" si="7"/>
        <v>0</v>
      </c>
      <c r="H76" s="1703">
        <f t="shared" si="7"/>
        <v>0</v>
      </c>
      <c r="I76" s="1703">
        <f t="shared" si="7"/>
        <v>175000</v>
      </c>
      <c r="J76" s="1703">
        <f t="shared" si="7"/>
        <v>0</v>
      </c>
      <c r="K76" s="1703">
        <f t="shared" si="7"/>
        <v>0</v>
      </c>
      <c r="L76" s="524"/>
    </row>
    <row r="77" spans="1:12" ht="14.25" thickTop="1" thickBot="1" x14ac:dyDescent="0.25">
      <c r="A77" s="2117" t="s">
        <v>1177</v>
      </c>
      <c r="B77" s="2118"/>
      <c r="C77" s="1703">
        <f t="shared" ref="C77:K77" si="8">C44-C76</f>
        <v>175000</v>
      </c>
      <c r="D77" s="1703">
        <f t="shared" si="8"/>
        <v>0</v>
      </c>
      <c r="E77" s="1703">
        <f t="shared" si="8"/>
        <v>0</v>
      </c>
      <c r="F77" s="1703">
        <f t="shared" si="8"/>
        <v>0</v>
      </c>
      <c r="G77" s="1703">
        <f t="shared" si="8"/>
        <v>0</v>
      </c>
      <c r="H77" s="1703">
        <f t="shared" si="8"/>
        <v>0</v>
      </c>
      <c r="I77" s="1703">
        <f t="shared" si="8"/>
        <v>-175000</v>
      </c>
      <c r="J77" s="1703">
        <f t="shared" si="8"/>
        <v>0</v>
      </c>
      <c r="K77" s="1703">
        <f t="shared" si="8"/>
        <v>0</v>
      </c>
      <c r="L77" s="347"/>
    </row>
    <row r="78" spans="1:12" ht="21.75" customHeight="1" thickTop="1" thickBot="1" x14ac:dyDescent="0.25">
      <c r="A78" s="2121" t="s">
        <v>597</v>
      </c>
      <c r="B78" s="2122"/>
      <c r="C78" s="1702">
        <f t="shared" ref="C78:K78" si="9">C20+C77</f>
        <v>928534</v>
      </c>
      <c r="D78" s="1702">
        <f t="shared" si="9"/>
        <v>-31942</v>
      </c>
      <c r="E78" s="1702">
        <f t="shared" si="9"/>
        <v>-117152</v>
      </c>
      <c r="F78" s="1702">
        <f t="shared" si="9"/>
        <v>189924</v>
      </c>
      <c r="G78" s="1702">
        <f t="shared" si="9"/>
        <v>19629</v>
      </c>
      <c r="H78" s="1702">
        <f t="shared" si="9"/>
        <v>-190799</v>
      </c>
      <c r="I78" s="1702">
        <f t="shared" si="9"/>
        <v>-77256</v>
      </c>
      <c r="J78" s="1702">
        <f t="shared" si="9"/>
        <v>-67969</v>
      </c>
      <c r="K78" s="1702">
        <f t="shared" si="9"/>
        <v>-163304</v>
      </c>
      <c r="L78" s="533"/>
    </row>
    <row r="79" spans="1:12" ht="13.5" thickTop="1" x14ac:dyDescent="0.2">
      <c r="A79" s="1494" t="s">
        <v>1949</v>
      </c>
      <c r="B79" s="534"/>
      <c r="C79" s="478">
        <v>7159045</v>
      </c>
      <c r="D79" s="535">
        <v>1209085</v>
      </c>
      <c r="E79" s="535">
        <v>725127</v>
      </c>
      <c r="F79" s="535">
        <v>1615791</v>
      </c>
      <c r="G79" s="535">
        <v>66781</v>
      </c>
      <c r="H79" s="535">
        <v>270659</v>
      </c>
      <c r="I79" s="535">
        <v>3315750</v>
      </c>
      <c r="J79" s="535">
        <v>855816</v>
      </c>
      <c r="K79" s="535">
        <v>129789</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1950</v>
      </c>
      <c r="B81" s="2120"/>
      <c r="C81" s="1688">
        <f>(SUM(C78:C80))</f>
        <v>8087579</v>
      </c>
      <c r="D81" s="1688">
        <f>SUM(D78:D80)</f>
        <v>1177143</v>
      </c>
      <c r="E81" s="1688">
        <f t="shared" ref="E81:K81" si="10">SUM(E78:E80)</f>
        <v>607975</v>
      </c>
      <c r="F81" s="1688">
        <f t="shared" si="10"/>
        <v>1805715</v>
      </c>
      <c r="G81" s="1688">
        <f t="shared" si="10"/>
        <v>86410</v>
      </c>
      <c r="H81" s="1688">
        <f t="shared" si="10"/>
        <v>79860</v>
      </c>
      <c r="I81" s="1688">
        <f t="shared" si="10"/>
        <v>3238494</v>
      </c>
      <c r="J81" s="1688">
        <f t="shared" si="10"/>
        <v>787847</v>
      </c>
      <c r="K81" s="1688">
        <f t="shared" si="10"/>
        <v>-33515</v>
      </c>
      <c r="L81" s="347"/>
    </row>
    <row r="82" spans="1:12" ht="0.75" customHeight="1" thickTop="1" thickBot="1" x14ac:dyDescent="0.25">
      <c r="A82" s="536" t="s">
        <v>343</v>
      </c>
      <c r="B82" s="537"/>
      <c r="C82" s="538">
        <f>(C81-C79)</f>
        <v>928534</v>
      </c>
      <c r="D82" s="538">
        <f t="shared" ref="D82:K82" si="11">(D81-D79)</f>
        <v>-31942</v>
      </c>
      <c r="E82" s="538">
        <f t="shared" si="11"/>
        <v>-117152</v>
      </c>
      <c r="F82" s="538">
        <f t="shared" si="11"/>
        <v>189924</v>
      </c>
      <c r="G82" s="538">
        <f t="shared" si="11"/>
        <v>19629</v>
      </c>
      <c r="H82" s="538">
        <f t="shared" si="11"/>
        <v>-190799</v>
      </c>
      <c r="I82" s="538">
        <f t="shared" si="11"/>
        <v>-77256</v>
      </c>
      <c r="J82" s="538">
        <f t="shared" si="11"/>
        <v>-67969</v>
      </c>
      <c r="K82" s="538">
        <f t="shared" si="11"/>
        <v>-163304</v>
      </c>
    </row>
    <row r="83" spans="1:12" ht="14.25" hidden="1" thickTop="1" thickBot="1" x14ac:dyDescent="0.25">
      <c r="A83" s="539" t="s">
        <v>344</v>
      </c>
      <c r="B83" s="464"/>
      <c r="C83" s="540">
        <f>C82/C81</f>
        <v>0.11480988315539174</v>
      </c>
      <c r="D83" s="540">
        <f t="shared" ref="D83:K83" si="12">D82/D81</f>
        <v>-2.7135190881651592E-2</v>
      </c>
      <c r="E83" s="540">
        <f t="shared" si="12"/>
        <v>-0.19269213372260371</v>
      </c>
      <c r="F83" s="540">
        <f t="shared" si="12"/>
        <v>0.10517938877397597</v>
      </c>
      <c r="G83" s="540">
        <f t="shared" si="12"/>
        <v>0.22716120819349611</v>
      </c>
      <c r="H83" s="540">
        <f t="shared" si="12"/>
        <v>-2.389168544953669</v>
      </c>
      <c r="I83" s="540">
        <f t="shared" si="12"/>
        <v>-2.3855532849528207E-2</v>
      </c>
      <c r="J83" s="540">
        <f t="shared" si="12"/>
        <v>-8.6271826890246456E-2</v>
      </c>
      <c r="K83" s="540">
        <f t="shared" si="12"/>
        <v>4.872564523347755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RECEIVED/REVENUES, EXPENDITURES/DISBURSED/EXPENDITURES, OTHER 
SOURCES (USES) AND CHANGES IN FUND BALANCE - CASH BASIS
 FUNDS - FOR THE YEAR ENDING JUNE 30, 2019 </oddHeader>
    <oddFooter>&amp;L&amp;8Print Date: &amp;D
&amp;F&amp;CSee Notes to the Accompanying Financial Statements.</oddFooter>
    <evenFooter>&amp;CSee Notes to the Accompanying Financial Statements.
15</even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view="pageLayout" zoomScaleNormal="100" workbookViewId="0">
      <selection activeCell="C6" sqref="C6:L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4863493</v>
      </c>
      <c r="D5" s="481">
        <v>935287</v>
      </c>
      <c r="E5" s="466">
        <v>1348654</v>
      </c>
      <c r="F5" s="548">
        <v>360676</v>
      </c>
      <c r="G5" s="466">
        <v>170250</v>
      </c>
      <c r="H5" s="466"/>
      <c r="I5" s="466">
        <v>97744</v>
      </c>
      <c r="J5" s="467">
        <v>1080816</v>
      </c>
      <c r="K5" s="466">
        <v>62487</v>
      </c>
    </row>
    <row r="6" spans="1:12" ht="15" x14ac:dyDescent="0.2">
      <c r="A6" s="463" t="s">
        <v>1662</v>
      </c>
      <c r="B6" s="470">
        <v>1130</v>
      </c>
      <c r="C6" s="466">
        <v>177916</v>
      </c>
      <c r="D6" s="466"/>
      <c r="E6" s="475"/>
      <c r="F6" s="475"/>
      <c r="G6" s="468"/>
      <c r="H6" s="468"/>
      <c r="I6" s="468"/>
      <c r="J6" s="468"/>
      <c r="K6" s="468"/>
    </row>
    <row r="7" spans="1:12" x14ac:dyDescent="0.2">
      <c r="A7" s="463" t="s">
        <v>110</v>
      </c>
      <c r="B7" s="549">
        <v>1140</v>
      </c>
      <c r="C7" s="466">
        <v>74822</v>
      </c>
      <c r="D7" s="466"/>
      <c r="E7" s="468"/>
      <c r="F7" s="467"/>
      <c r="G7" s="467"/>
      <c r="H7" s="467"/>
      <c r="I7" s="468"/>
      <c r="J7" s="468"/>
      <c r="K7" s="468"/>
    </row>
    <row r="8" spans="1:12" x14ac:dyDescent="0.2">
      <c r="A8" s="463" t="s">
        <v>413</v>
      </c>
      <c r="B8" s="470">
        <v>1150</v>
      </c>
      <c r="C8" s="475"/>
      <c r="D8" s="475"/>
      <c r="E8" s="477"/>
      <c r="F8" s="477"/>
      <c r="G8" s="481">
        <v>208435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5116231</v>
      </c>
      <c r="D12" s="1707">
        <f t="shared" si="0"/>
        <v>935287</v>
      </c>
      <c r="E12" s="1707">
        <f t="shared" si="0"/>
        <v>1348654</v>
      </c>
      <c r="F12" s="1707">
        <f t="shared" si="0"/>
        <v>360676</v>
      </c>
      <c r="G12" s="1707">
        <f t="shared" si="0"/>
        <v>378685</v>
      </c>
      <c r="H12" s="1707">
        <f t="shared" si="0"/>
        <v>0</v>
      </c>
      <c r="I12" s="1707">
        <f t="shared" si="0"/>
        <v>97744</v>
      </c>
      <c r="J12" s="1707">
        <f t="shared" si="0"/>
        <v>1080816</v>
      </c>
      <c r="K12" s="1688">
        <f t="shared" si="0"/>
        <v>62487</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688172</v>
      </c>
      <c r="D16" s="466"/>
      <c r="E16" s="466"/>
      <c r="F16" s="466"/>
      <c r="G16" s="466">
        <v>15000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688172</v>
      </c>
      <c r="D18" s="1710">
        <f t="shared" ref="D18:K18" si="1">SUM(D14:D17)</f>
        <v>0</v>
      </c>
      <c r="E18" s="1710">
        <f t="shared" si="1"/>
        <v>0</v>
      </c>
      <c r="F18" s="1710">
        <f t="shared" si="1"/>
        <v>0</v>
      </c>
      <c r="G18" s="1710">
        <f t="shared" si="1"/>
        <v>15000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v>815122</v>
      </c>
      <c r="G43" s="468"/>
      <c r="H43" s="468"/>
      <c r="I43" s="468"/>
      <c r="J43" s="468"/>
      <c r="K43" s="468"/>
    </row>
    <row r="44" spans="1:11" ht="12.75" customHeight="1" x14ac:dyDescent="0.2">
      <c r="A44" s="463" t="s">
        <v>384</v>
      </c>
      <c r="B44" s="470">
        <v>1413</v>
      </c>
      <c r="C44" s="468"/>
      <c r="D44" s="468"/>
      <c r="E44" s="468"/>
      <c r="F44" s="466">
        <v>26599</v>
      </c>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841721</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137583</v>
      </c>
      <c r="D65" s="466">
        <v>133016</v>
      </c>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137583</v>
      </c>
      <c r="D67" s="1688">
        <f t="shared" ref="D67:K67" si="2">SUM(D65:D66)</f>
        <v>133016</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v>442119</v>
      </c>
      <c r="D74" s="468"/>
      <c r="E74" s="468"/>
      <c r="F74" s="468"/>
      <c r="G74" s="468"/>
      <c r="H74" s="468"/>
      <c r="I74" s="468"/>
      <c r="J74" s="468"/>
      <c r="K74" s="468"/>
    </row>
    <row r="75" spans="1:11" ht="12.75" customHeight="1" thickBot="1" x14ac:dyDescent="0.25">
      <c r="A75" s="1708" t="s">
        <v>548</v>
      </c>
      <c r="B75" s="1709"/>
      <c r="C75" s="1688">
        <f>SUM(C69:C74)</f>
        <v>442119</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40831</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v>4283</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45114</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115687</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115687</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v>2472</v>
      </c>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v>59306</v>
      </c>
      <c r="D100" s="489"/>
      <c r="E100" s="489"/>
      <c r="F100" s="489"/>
      <c r="G100" s="489"/>
      <c r="H100" s="489"/>
      <c r="I100" s="467"/>
      <c r="J100" s="489"/>
      <c r="K100" s="467"/>
    </row>
    <row r="101" spans="1:12" ht="12.75" customHeight="1" x14ac:dyDescent="0.2">
      <c r="A101" s="463" t="s">
        <v>246</v>
      </c>
      <c r="B101" s="470">
        <v>1970</v>
      </c>
      <c r="C101" s="489">
        <v>6400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v>13867</v>
      </c>
      <c r="E106" s="467"/>
      <c r="F106" s="467"/>
      <c r="G106" s="467"/>
      <c r="H106" s="467"/>
      <c r="I106" s="521"/>
      <c r="J106" s="467"/>
      <c r="K106" s="467"/>
    </row>
    <row r="107" spans="1:12" ht="12.75" customHeight="1" x14ac:dyDescent="0.2">
      <c r="A107" s="463" t="s">
        <v>78</v>
      </c>
      <c r="B107" s="470">
        <v>1999</v>
      </c>
      <c r="C107" s="551">
        <v>48343</v>
      </c>
      <c r="D107" s="466">
        <v>27642</v>
      </c>
      <c r="E107" s="466"/>
      <c r="F107" s="466"/>
      <c r="G107" s="466"/>
      <c r="H107" s="466"/>
      <c r="I107" s="466"/>
      <c r="J107" s="467"/>
      <c r="K107" s="466"/>
    </row>
    <row r="108" spans="1:12" ht="12.75" customHeight="1" thickBot="1" x14ac:dyDescent="0.25">
      <c r="A108" s="1708" t="s">
        <v>487</v>
      </c>
      <c r="B108" s="1712"/>
      <c r="C108" s="1707">
        <f>SUM(C95:C107)</f>
        <v>116521</v>
      </c>
      <c r="D108" s="1707">
        <f t="shared" ref="D108:K108" si="3">SUM(D95:D107)</f>
        <v>41509</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6661427</v>
      </c>
      <c r="D109" s="1715">
        <f t="shared" si="4"/>
        <v>1109812</v>
      </c>
      <c r="E109" s="1715">
        <f t="shared" si="4"/>
        <v>1348654</v>
      </c>
      <c r="F109" s="1715">
        <f t="shared" si="4"/>
        <v>1202397</v>
      </c>
      <c r="G109" s="1715">
        <f t="shared" si="4"/>
        <v>393685</v>
      </c>
      <c r="H109" s="1715">
        <f t="shared" si="4"/>
        <v>0</v>
      </c>
      <c r="I109" s="1715">
        <f t="shared" si="4"/>
        <v>97744</v>
      </c>
      <c r="J109" s="1715">
        <f t="shared" si="4"/>
        <v>1080816</v>
      </c>
      <c r="K109" s="1702">
        <f t="shared" si="4"/>
        <v>62487</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2092275</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2092275</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53082</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572217</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625299</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16259</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16259</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42095</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125239</v>
      </c>
      <c r="G152" s="467"/>
      <c r="H152" s="468"/>
      <c r="I152" s="468"/>
      <c r="J152" s="468"/>
      <c r="K152" s="468"/>
    </row>
    <row r="153" spans="1:11" ht="12.75" customHeight="1" x14ac:dyDescent="0.2">
      <c r="A153" s="463" t="s">
        <v>1057</v>
      </c>
      <c r="B153" s="562">
        <v>3510</v>
      </c>
      <c r="C153" s="551"/>
      <c r="D153" s="466"/>
      <c r="E153" s="561"/>
      <c r="F153" s="466">
        <v>82300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207539</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683653</v>
      </c>
      <c r="D169" s="1722">
        <f t="shared" si="6"/>
        <v>0</v>
      </c>
      <c r="E169" s="1722">
        <f t="shared" si="6"/>
        <v>0</v>
      </c>
      <c r="F169" s="1722">
        <f t="shared" si="6"/>
        <v>207539</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2775928</v>
      </c>
      <c r="D170" s="1715">
        <f t="shared" si="7"/>
        <v>0</v>
      </c>
      <c r="E170" s="1715">
        <f t="shared" si="7"/>
        <v>0</v>
      </c>
      <c r="F170" s="1715">
        <f t="shared" si="7"/>
        <v>207539</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174013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174013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28818</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28818</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3654</v>
      </c>
      <c r="D213" s="466"/>
      <c r="E213" s="468"/>
      <c r="F213" s="466"/>
      <c r="G213" s="466"/>
      <c r="H213" s="468"/>
      <c r="I213" s="468"/>
      <c r="J213" s="468"/>
      <c r="K213" s="468"/>
    </row>
    <row r="214" spans="1:11" ht="12.75" customHeight="1" x14ac:dyDescent="0.2">
      <c r="A214" s="463" t="s">
        <v>1054</v>
      </c>
      <c r="B214" s="470">
        <v>4625</v>
      </c>
      <c r="C214" s="551">
        <v>2587</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6241</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5800</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21376</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3595</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239843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239843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9677198</v>
      </c>
      <c r="D268" s="1715">
        <f t="shared" si="12"/>
        <v>1109812</v>
      </c>
      <c r="E268" s="1715">
        <f t="shared" si="12"/>
        <v>1348654</v>
      </c>
      <c r="F268" s="1715">
        <f t="shared" si="12"/>
        <v>1409936</v>
      </c>
      <c r="G268" s="1715">
        <f t="shared" si="12"/>
        <v>393685</v>
      </c>
      <c r="H268" s="1715">
        <f t="shared" si="12"/>
        <v>0</v>
      </c>
      <c r="I268" s="1715">
        <f t="shared" si="12"/>
        <v>97744</v>
      </c>
      <c r="J268" s="1715">
        <f t="shared" si="12"/>
        <v>1080816</v>
      </c>
      <c r="K268" s="1702">
        <f t="shared" si="12"/>
        <v>62487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 right="0.15" top="0.66" bottom="0.46" header="0.26" footer="0.17"/>
  <pageSetup scale="70" firstPageNumber="9" fitToHeight="0" orientation="landscape" useFirstPageNumber="1" r:id="rId1"/>
  <headerFooter alignWithMargins="0">
    <oddHeader>&amp;C&amp;"Arial,Bold"&amp;9STATEMENT OF REVENUES RECEIVED/REVENUES
ARISING FROM CASH TRANSACTIONS
FOR THE YEAR ENDING JUNE 30, 2019</oddHeader>
    <oddFooter xml:space="preserve">&amp;L&amp;8Printed Date: &amp;D
&amp;F&amp;CSee Notes to the Accompanying Financial Statements.
</oddFooter>
    <evenFooter xml:space="preserve">&amp;CSee Notes to the Accompanying Financial Statements.
</even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6ce3111e-7420-4802-b50a-75d4e9a0b980"/>
    <ds:schemaRef ds:uri="http://purl.org/dc/elements/1.1/"/>
    <ds:schemaRef ds:uri="http://schemas.microsoft.com/office/infopath/2007/PartnerControls"/>
    <ds:schemaRef ds:uri="http://schemas.openxmlformats.org/package/2006/metadata/core-properties"/>
    <ds:schemaRef ds:uri="http://purl.org/dc/dcmitype/"/>
    <ds:schemaRef ds:uri="http://schemas.microsoft.com/office/2006/documentManagement/types"/>
    <ds:schemaRef ds:uri="http://schemas.microsoft.com/office/2006/metadata/properties"/>
    <ds:schemaRef ds:uri="http://schemas.microsoft.com/sharepoint/v3"/>
    <ds:schemaRef ds:uri="4d435f69-8686-490b-bd6d-b153bf22ab50"/>
    <ds:schemaRef ds:uri="d21dc803-237d-4c68-8692-8d731fd29118"/>
    <ds:schemaRef ds:uri="http://www.w3.org/XML/1998/namespac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'Expenditures 15-22'!Print_Area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2019-10-14T19:30:30Z</cp:lastPrinted>
  <dcterms:created xsi:type="dcterms:W3CDTF">2003-10-29T19:06:34Z</dcterms:created>
  <dcterms:modified xsi:type="dcterms:W3CDTF">2019-12-17T16:31:29Z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