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3_ncr:1_{43A27E8C-6AF2-4A16-A4E0-0801EF7772FC}" xr6:coauthVersionLast="36" xr6:coauthVersionMax="36" xr10:uidLastSave="{00000000-0000-0000-0000-000000000000}"/>
  <bookViews>
    <workbookView xWindow="-15" yWindow="13650" windowWidth="207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9" i="3" l="1"/>
  <c r="I8" i="11" l="1"/>
  <c r="I9" i="11" s="1"/>
  <c r="C9" i="4"/>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B6997" i="106" s="1"/>
  <c r="D6997" i="106" s="1"/>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55" i="127"/>
  <c r="B56" i="127"/>
  <c r="D26" i="108"/>
  <c r="E26" i="108"/>
  <c r="F26" i="108"/>
  <c r="G26" i="108"/>
  <c r="D27" i="108"/>
  <c r="E27" i="108"/>
  <c r="G27" i="108"/>
  <c r="F31" i="108"/>
  <c r="F36" i="108"/>
  <c r="F37" i="108"/>
  <c r="G28" i="108"/>
  <c r="E30" i="108"/>
  <c r="G30" i="108"/>
  <c r="D31"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28" i="118"/>
  <c r="D22" i="37"/>
  <c r="J22" i="37"/>
  <c r="D9" i="7"/>
  <c r="B1767" i="106" s="1"/>
  <c r="D1767" i="106" s="1"/>
  <c r="B5752" i="106"/>
  <c r="D5752" i="106" s="1"/>
  <c r="D17" i="7"/>
  <c r="B4104" i="106" s="1"/>
  <c r="D4104" i="106" s="1"/>
  <c r="L22" i="37" l="1"/>
  <c r="F36" i="34"/>
  <c r="D69" i="36"/>
  <c r="J49" i="8"/>
  <c r="N22" i="3" s="1"/>
  <c r="B3647" i="106"/>
  <c r="D3647" i="106" s="1"/>
  <c r="H76" i="4"/>
  <c r="B3298" i="106" s="1"/>
  <c r="D3298" i="106" s="1"/>
  <c r="B3254" i="106"/>
  <c r="D3254" i="106" s="1"/>
  <c r="J367" i="29"/>
  <c r="B7245" i="106" s="1"/>
  <c r="D7245" i="106" s="1"/>
  <c r="B7235" i="106"/>
  <c r="D7235" i="106" s="1"/>
  <c r="B4172" i="106"/>
  <c r="D4172" i="106" s="1"/>
  <c r="L5" i="11"/>
  <c r="B2056" i="106" s="1"/>
  <c r="D2056" i="106" s="1"/>
  <c r="E38" i="108"/>
  <c r="H342" i="29"/>
  <c r="B7221" i="106" s="1"/>
  <c r="D7221" i="106" s="1"/>
  <c r="D6103" i="106"/>
  <c r="K76" i="4"/>
  <c r="B3586" i="106" s="1"/>
  <c r="D3586" i="106" s="1"/>
  <c r="I24" i="12"/>
  <c r="G210" i="29"/>
  <c r="F14" i="4"/>
  <c r="B2597" i="106" s="1"/>
  <c r="D2597" i="106" s="1"/>
  <c r="H365" i="29"/>
  <c r="B7242" i="106" s="1"/>
  <c r="D7242" i="106" s="1"/>
  <c r="B2836" i="106"/>
  <c r="D2836" i="106" s="1"/>
  <c r="B109" i="106"/>
  <c r="D109" i="106" s="1"/>
  <c r="D39" i="3"/>
  <c r="F44" i="34"/>
  <c r="B6124" i="106"/>
  <c r="D6124" i="106" s="1"/>
  <c r="J39" i="3"/>
  <c r="F37" i="34"/>
  <c r="B157" i="106"/>
  <c r="D157" i="106" s="1"/>
  <c r="F39" i="3"/>
  <c r="B170" i="106" s="1"/>
  <c r="D170" i="106" s="1"/>
  <c r="B1308" i="106"/>
  <c r="D1308" i="106" s="1"/>
  <c r="E174" i="29"/>
  <c r="B1309" i="106" s="1"/>
  <c r="D1309" i="106" s="1"/>
  <c r="D24" i="37"/>
  <c r="B4270" i="106" s="1"/>
  <c r="D4270" i="106" s="1"/>
  <c r="G15" i="145"/>
  <c r="G39" i="108"/>
  <c r="L15" i="11"/>
  <c r="B3459" i="106" s="1"/>
  <c r="D3459" i="106" s="1"/>
  <c r="G38" i="108"/>
  <c r="C342" i="29"/>
  <c r="B7216" i="106" s="1"/>
  <c r="D7216" i="106" s="1"/>
  <c r="F28" i="108"/>
  <c r="F41" i="108" s="1"/>
  <c r="G43" i="108" s="1"/>
  <c r="C129" i="29"/>
  <c r="K41" i="3"/>
  <c r="B3568" i="106" s="1"/>
  <c r="D3568" i="106" s="1"/>
  <c r="B131" i="106"/>
  <c r="D131" i="106" s="1"/>
  <c r="N21" i="3"/>
  <c r="B282" i="106" s="1"/>
  <c r="D282" i="106" s="1"/>
  <c r="L13" i="11"/>
  <c r="B2060" i="106" s="1"/>
  <c r="D2060" i="106" s="1"/>
  <c r="L342" i="29"/>
  <c r="F19" i="7"/>
  <c r="B1807" i="106" s="1"/>
  <c r="D1807" i="106" s="1"/>
  <c r="G29" i="108"/>
  <c r="K184" i="29"/>
  <c r="F13" i="4" s="1"/>
  <c r="B2596" i="106" s="1"/>
  <c r="D2596" i="106" s="1"/>
  <c r="E29" i="108"/>
  <c r="E28" i="108"/>
  <c r="D11" i="37"/>
  <c r="D31" i="36"/>
  <c r="H29" i="118"/>
  <c r="K28" i="118" s="1"/>
  <c r="O27" i="118" s="1"/>
  <c r="O29" i="118" s="1"/>
  <c r="H33" i="118"/>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283" i="106" l="1"/>
  <c r="D283" i="106" s="1"/>
  <c r="N23" i="3"/>
  <c r="B284" i="106" s="1"/>
  <c r="D284" i="106" s="1"/>
  <c r="H77" i="4"/>
  <c r="B3299" i="106" s="1"/>
  <c r="D3299" i="106" s="1"/>
  <c r="K77" i="4"/>
  <c r="B3587" i="106" s="1"/>
  <c r="D3587" i="106" s="1"/>
  <c r="D7254" i="106"/>
  <c r="D7256" i="106"/>
  <c r="D7253" i="106"/>
  <c r="D7252" i="106"/>
  <c r="G170" i="5"/>
  <c r="D76" i="36"/>
  <c r="B123" i="106"/>
  <c r="D123" i="106" s="1"/>
  <c r="F41" i="3"/>
  <c r="D47" i="36" s="1"/>
  <c r="B1328" i="106"/>
  <c r="D1328" i="106" s="1"/>
  <c r="J41" i="3"/>
  <c r="B6215" i="106"/>
  <c r="D6215" i="106" s="1"/>
  <c r="B1365" i="106"/>
  <c r="D1365" i="106" s="1"/>
  <c r="F65" i="34"/>
  <c r="D52" i="36"/>
  <c r="B1996" i="106"/>
  <c r="D1996" i="106" s="1"/>
  <c r="I26" i="12"/>
  <c r="B7741" i="106" s="1"/>
  <c r="D7741" i="106" s="1"/>
  <c r="D44" i="36"/>
  <c r="L16" i="11"/>
  <c r="B2061" i="106" s="1"/>
  <c r="D2061" i="106" s="1"/>
  <c r="B2031" i="106"/>
  <c r="D2031" i="106" s="1"/>
  <c r="L114" i="29"/>
  <c r="B5527" i="106"/>
  <c r="D5527" i="106" s="1"/>
  <c r="K342" i="29"/>
  <c r="F13" i="34" s="1"/>
  <c r="B1381" i="106"/>
  <c r="D1381" i="106" s="1"/>
  <c r="C114" i="29"/>
  <c r="B757" i="106" s="1"/>
  <c r="D757" i="106" s="1"/>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6216" i="106"/>
  <c r="D6216" i="106" s="1"/>
  <c r="D51" i="36"/>
  <c r="B5778" i="106"/>
  <c r="D5778" i="106" s="1"/>
  <c r="G6" i="4"/>
  <c r="B2604" i="106" s="1"/>
  <c r="D260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F8" i="4"/>
  <c r="F10" i="4" s="1"/>
  <c r="B4125" i="106" s="1"/>
  <c r="D4125" i="106" s="1"/>
  <c r="J19" i="4"/>
  <c r="B6229" i="106" s="1"/>
  <c r="D6229" i="106" s="1"/>
  <c r="J20" i="4"/>
  <c r="B6230" i="106" s="1"/>
  <c r="D6230"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595" i="106" l="1"/>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7" i="34"/>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<sst xmlns="http://schemas.openxmlformats.org/spreadsheetml/2006/main" count="5077" uniqueCount="2102">
  <si>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</si>
  <si>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</si>
  <si>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</si>
  <si>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</si>
  <si>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</si>
  <si>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</si>
  <si>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</si>
  <si>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</si>
  <si>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</si>
  <si>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</si>
  <si>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</si>
  <si>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</si>
  <si>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</si>
  <si>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</si>
  <si>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</si>
  <si>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</si>
  <si>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</si>
  <si>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</si>
  <si>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</si>
  <si>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</si>
  <si>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</si>
  <si>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</si>
  <si>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</si>
  <si>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</si>
  <si>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</si>
  <si>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</si>
  <si>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</si>
  <si>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</si>
  <si>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</si>
  <si>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</si>
  <si>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</si>
  <si>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</si>
  <si>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</si>
  <si>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</si>
  <si>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</si>
  <si>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</si>
  <si>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</si>
  <si>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</si>
  <si>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</si>
  <si>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</si>
  <si>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</si>
  <si>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</si>
  <si>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</si>
  <si>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</si>
  <si>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</si>
  <si>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</si>
  <si>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</si>
  <si>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</si>
  <si>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</si>
  <si>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</si>
  <si>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</si>
  <si>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</si>
  <si>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</si>
  <si>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</si>
  <si>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</si>
  <si>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</si>
  <si>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</si>
  <si>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</si>
  <si>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</si>
  <si>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</si>
  <si>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</si>
  <si>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</si>
  <si>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</si>
  <si>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</si>
  <si>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</si>
  <si>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</si>
  <si>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</si>
  <si>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</si>
  <si>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</si>
  <si>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</si>
  <si>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</si>
  <si>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</si>
  <si>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</si>
  <si>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</si>
  <si>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</si>
  <si>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</si>
  <si>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</si>
  <si>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</si>
  <si>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</si>
  <si>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</si>
  <si>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</si>
  <si>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</si>
  <si>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</si>
  <si>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</si>
  <si>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</si>
  <si>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</si>
  <si>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</si>
  <si>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</si>
  <si>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</si>
  <si>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</si>
  <si>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</si>
  <si>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</si>
  <si>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</si>
  <si>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</si>
  <si>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</si>
  <si>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</si>
  <si>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</si>
  <si>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</si>
  <si>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</si>
  <si>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</si>
  <si>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</si>
  <si>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</si>
  <si>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</si>
  <si>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</si>
  <si>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</si>
  <si>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</si>
  <si>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</si>
  <si>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</si>
  <si>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</si>
  <si>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</si>
  <si>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</si>
  <si>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</si>
  <si>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</si>
  <si>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</si>
  <si>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</si>
  <si>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</si>
  <si>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</si>
  <si>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</si>
  <si>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</si>
  <si>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</si>
  <si>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</si>
  <si>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</si>
  <si>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</si>
  <si>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</si>
  <si>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</si>
  <si>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</si>
  <si>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</si>
  <si>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</si>
  <si>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</si>
  <si>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</si>
  <si>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</si>
  <si>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</si>
  <si>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</si>
  <si>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</si>
  <si>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</si>
  <si>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</si>
  <si>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</si>
  <si>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</si>
  <si>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</si>
  <si>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</si>
  <si>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</si>
  <si>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</si>
  <si>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</si>
  <si>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</si>
  <si>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</si>
  <si>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</si>
  <si>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</si>
  <si>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</si>
  <si>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</si>
  <si>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</si>
  <si>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</si>
  <si>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</si>
  <si>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</si>
  <si>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</si>
  <si>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</si>
  <si>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</si>
  <si>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</si>
  <si>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</si>
  <si>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</si>
  <si>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</si>
  <si>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</si>
  <si>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</si>
  <si>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</si>
  <si>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</si>
  <si>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</si>
  <si>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</si>
  <si>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</si>
  <si>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</si>
  <si>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</si>
  <si>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</si>
  <si>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</si>
  <si>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</si>
  <si>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</si>
  <si>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</si>
  <si>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</si>
  <si>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</si>
  <si>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</si>
  <si>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</si>
  <si>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</si>
  <si>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</si>
  <si>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</si>
  <si>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</si>
  <si>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</si>
  <si>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</si>
  <si>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</si>
  <si>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</si>
  <si>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</si>
  <si>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</si>
  <si>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</si>
  <si>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</si>
  <si>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</si>
  <si>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</si>
  <si>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</si>
  <si>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</si>
  <si>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</si>
  <si>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</si>
  <si>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</si>
  <si>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</si>
  <si>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</si>
  <si>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</si>
  <si>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</si>
  <si>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</si>
  <si>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</si>
  <si>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</si>
  <si>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</si>
  <si>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</si>
  <si>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</si>
  <si>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</si>
  <si>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</si>
  <si>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</si>
  <si>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</si>
  <si>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</si>
  <si>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</si>
  <si>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</si>
  <si>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</si>
  <si>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</si>
  <si>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</si>
  <si>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</si>
  <si>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</si>
  <si>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</si>
  <si>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</si>
  <si>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</si>
  <si>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</si>
  <si>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</si>
  <si>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</si>
  <si>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</si>
  <si>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</si>
  <si>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</si>
  <si>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</si>
  <si>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</si>
  <si>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</si>
  <si>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</si>
  <si>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</si>
  <si>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</si>
  <si>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</si>
  <si>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</si>
  <si>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</si>
  <si>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</si>
  <si>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</si>
  <si>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</si>
  <si>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</si>
  <si>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</si>
  <si>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</si>
  <si>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</si>
  <si>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</si>
  <si>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</si>
  <si>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</si>
  <si>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</si>
  <si>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</si>
  <si>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</si>
  <si>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</si>
  <si>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</si>
  <si>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</si>
  <si>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</si>
  <si>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</si>
  <si>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</si>
  <si>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</si>
  <si>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</si>
  <si>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</si>
  <si>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</si>
  <si>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</si>
  <si>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</si>
  <si>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</si>
  <si>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</si>
  <si>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</si>
  <si>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</si>
  <si>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</si>
  <si>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</si>
  <si>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</si>
  <si>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</si>
  <si>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</si>
  <si>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</si>
  <si>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</si>
  <si>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</si>
  <si>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</si>
  <si>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</si>
  <si>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</si>
  <si>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</si>
  <si>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</si>
  <si>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</si>
  <si>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</si>
  <si>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</si>
  <si>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</si>
  <si>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</si>
  <si>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</si>
  <si>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</si>
  <si>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</si>
  <si>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</si>
  <si>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</si>
  <si>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</si>
  <si>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</si>
  <si>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</si>
  <si>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</si>
  <si>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</si>
  <si>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</si>
  <si>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</si>
  <si>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</si>
  <si>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</si>
  <si>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</si>
  <si>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</si>
  <si>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</si>
  <si>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</si>
  <si>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</si>
  <si>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</si>
  <si>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</si>
  <si>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</si>
  <si>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</si>
  <si>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</si>
  <si>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</si>
  <si>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</si>
  <si>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</si>
  <si>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</si>
  <si>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</si>
  <si>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</si>
  <si>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</si>
  <si>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</si>
  <si>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</si>
  <si>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</si>
  <si>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</si>
  <si>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</si>
  <si>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</si>
  <si>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</si>
  <si>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</si>
  <si>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</si>
  <si>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</si>
  <si>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</si>
  <si>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</si>
  <si>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</si>
  <si>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</si>
  <si>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</si>
  <si>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</si>
  <si>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</si>
  <si>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</si>
  <si>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</si>
  <si>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</si>
  <si>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</si>
  <si>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</si>
  <si>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</si>
  <si>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</si>
  <si>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</si>
  <si>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</si>
  <si>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</si>
  <si>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</si>
  <si>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</si>
  <si>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</si>
  <si>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</si>
  <si>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</si>
  <si>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</si>
  <si>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</si>
  <si>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</si>
  <si>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</si>
  <si>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</si>
  <si>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</si>
  <si>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</si>
  <si>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</si>
  <si>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</si>
  <si>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</si>
  <si>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</si>
  <si>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</si>
  <si>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</si>
  <si>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</si>
  <si>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</si>
  <si>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</si>
  <si>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</si>
  <si>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</si>
  <si>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</si>
  <si>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</si>
  <si>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</si>
  <si>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</si>
  <si>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</si>
  <si>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</si>
  <si>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</si>
  <si>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</si>
  <si>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</si>
  <si>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</si>
  <si>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</si>
  <si>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</si>
  <si>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</si>
  <si>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</si>
  <si>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</si>
  <si>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</si>
  <si>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</si>
  <si>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</si>
  <si>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</si>
  <si>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</si>
  <si>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</si>
  <si>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</si>
  <si>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</si>
  <si>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</si>
  <si>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</si>
  <si>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</si>
  <si>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</si>
  <si>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</si>
  <si>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</si>
  <si>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</si>
  <si>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</si>
  <si>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</si>
  <si>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</si>
  <si>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</si>
  <si>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</si>
  <si>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</si>
  <si>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</si>
  <si>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</si>
  <si>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</si>
  <si>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</si>
  <si>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</si>
  <si>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</si>
  <si>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</si>
  <si>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</si>
  <si>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</si>
  <si>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</si>
  <si>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</si>
  <si>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</si>
  <si>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</si>
  <si>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</si>
  <si>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</si>
  <si>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</si>
  <si>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</si>
  <si>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</si>
  <si>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</si>
  <si>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</si>
  <si>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</si>
  <si>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</si>
  <si>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</si>
  <si>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</si>
  <si>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</si>
  <si>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</si>
  <si>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</si>
  <si>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</si>
  <si>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</si>
  <si>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</si>
  <si>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</si>
  <si>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</si>
  <si>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</si>
  <si>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</si>
  <si>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</si>
  <si>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</si>
  <si>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</si>
  <si>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</si>
  <si>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</si>
  <si>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</si>
  <si>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</si>
  <si>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</si>
  <si>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</si>
  <si>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</si>
  <si>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</si>
  <si>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</si>
  <si>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</si>
  <si>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</si>
  <si>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</si>
  <si>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</si>
  <si>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</si>
  <si>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</si>
  <si>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</si>
  <si>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</si>
  <si>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</si>
  <si>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</si>
  <si>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</si>
  <si>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</si>
  <si>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</si>
  <si>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</si>
  <si>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</si>
  <si>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</si>
  <si>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</si>
  <si>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</si>
  <si>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</si>
  <si>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</si>
  <si>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</si>
  <si>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</si>
  <si>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</si>
  <si>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</si>
  <si>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</si>
  <si>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</si>
  <si>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</si>
  <si>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</si>
  <si>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</si>
  <si>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</si>
  <si>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</si>
  <si>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</si>
  <si>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</si>
  <si>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</si>
  <si>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</si>
  <si>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</si>
  <si>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</si>
  <si>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</si>
  <si>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</si>
  <si>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</si>
  <si>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</si>
  <si>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</si>
  <si>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</si>
  <si>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</si>
  <si>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</si>
  <si>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</si>
  <si>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</si>
  <si>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</si>
  <si>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</si>
  <si>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</si>
  <si>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</si>
  <si>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</si>
  <si>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</si>
  <si>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</si>
  <si>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</si>
  <si>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</si>
  <si>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</si>
  <si>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</si>
  <si>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</si>
  <si>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</si>
  <si>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</si>
  <si>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</si>
  <si>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</si>
  <si>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</si>
  <si>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</si>
  <si>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</si>
  <si>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</si>
  <si>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</si>
  <si>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</si>
  <si>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</si>
  <si>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</si>
  <si>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</si>
  <si>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</si>
  <si>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</si>
  <si>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</si>
  <si>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</si>
  <si>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</si>
  <si>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</si>
  <si>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</si>
  <si>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</si>
  <si>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</si>
  <si>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</si>
  <si>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</si>
  <si>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</si>
  <si>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</si>
  <si>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</si>
  <si>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</si>
  <si>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</si>
  <si>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</si>
  <si>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</si>
  <si>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</si>
  <si>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</si>
  <si>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</si>
  <si>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</si>
  <si>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</si>
  <si>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</si>
  <si>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</si>
  <si>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</si>
  <si>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</si>
  <si>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</si>
  <si>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</si>
  <si>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</si>
  <si>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</si>
  <si>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</si>
  <si>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</si>
  <si>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</si>
  <si>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</si>
  <si>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</si>
  <si>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</si>
  <si>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</si>
  <si>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</si>
  <si>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</si>
  <si>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</si>
  <si>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</si>
  <si>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</si>
  <si>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</si>
  <si>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</si>
  <si>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</si>
  <si>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</si>
  <si>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</si>
  <si>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</si>
  <si>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</si>
  <si>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</si>
  <si>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</si>
  <si>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</si>
  <si>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</si>
  <si>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</si>
  <si>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</si>
  <si>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</si>
  <si>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</si>
  <si>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</si>
  <si>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</si>
  <si>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</si>
  <si>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</si>
  <si>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</si>
  <si>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</si>
  <si>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</si>
  <si>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</si>
  <si>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</si>
  <si>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</si>
  <si>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</si>
  <si>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</si>
  <si>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</si>
  <si>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</si>
  <si>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</si>
  <si>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</si>
  <si>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</si>
  <si>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</si>
  <si>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</si>
  <si>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</si>
  <si>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</si>
  <si>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</si>
  <si>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</si>
  <si>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</si>
  <si>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</si>
  <si>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</si>
  <si>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</si>
  <si>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</si>
  <si>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</si>
  <si>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</si>
  <si>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</si>
  <si>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</si>
  <si>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</si>
  <si>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</si>
  <si>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</si>
  <si>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</si>
  <si>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</si>
  <si>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</si>
  <si>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</si>
  <si>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</si>
  <si>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</si>
  <si>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</si>
  <si>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</si>
  <si>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</si>
  <si>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</si>
  <si>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</si>
  <si>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</si>
  <si>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</si>
  <si>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</si>
  <si>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</si>
  <si>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</si>
  <si>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</si>
  <si>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</si>
  <si>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</si>
  <si>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</si>
  <si>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</si>
  <si>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</si>
  <si>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</si>
  <si>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</si>
  <si>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</si>
  <si>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</si>
  <si>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</si>
  <si>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</si>
  <si>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</si>
  <si>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</si>
  <si>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</si>
  <si>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</si>
  <si>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</si>
  <si>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</si>
  <si>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</si>
  <si>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</si>
  <si>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</si>
  <si>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</si>
  <si>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</si>
  <si>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</si>
  <si>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</si>
  <si>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</si>
  <si>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</si>
  <si>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</si>
  <si>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</si>
  <si>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</si>
  <si>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</si>
  <si>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</si>
  <si>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</si>
  <si>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</si>
  <si>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</si>
  <si>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</si>
  <si>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</si>
  <si>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</si>
  <si>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</si>
  <si>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</si>
  <si>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</si>
  <si>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</si>
  <si>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</si>
  <si>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</si>
  <si>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</si>
  <si>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</si>
  <si>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</si>
  <si>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</si>
  <si>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</si>
  <si>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</si>
  <si>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</si>
  <si>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</si>
  <si>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</si>
  <si>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</si>
  <si>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</si>
  <si>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</si>
  <si>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</si>
  <si>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</si>
  <si>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</si>
  <si>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</si>
  <si>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</si>
  <si>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</si>
  <si>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</si>
  <si>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</si>
  <si>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</si>
  <si>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</si>
  <si>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</si>
  <si>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</si>
  <si>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</si>
  <si>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</si>
  <si>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</si>
  <si>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</si>
  <si>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</si>
  <si>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</si>
  <si>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</si>
  <si>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</si>
  <si>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</si>
  <si>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</si>
  <si>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</si>
  <si>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</si>
  <si>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</si>
  <si>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</si>
  <si>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</si>
  <si>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</si>
  <si>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</si>
  <si>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</si>
  <si>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</si>
  <si>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</si>
  <si>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</si>
  <si>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</si>
  <si>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</si>
  <si>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</si>
  <si>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</si>
  <si>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</si>
  <si>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</si>
  <si>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</si>
  <si>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</si>
  <si>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</si>
  <si>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</si>
  <si>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</si>
  <si>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</si>
  <si>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</si>
  <si>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</si>
  <si>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</si>
  <si>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</si>
  <si>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</si>
  <si>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</si>
  <si>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</si>
  <si>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</si>
  <si>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</si>
  <si>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</si>
  <si>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</si>
  <si>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</si>
  <si>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</si>
  <si>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</si>
  <si>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</si>
  <si>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</si>
  <si>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</si>
  <si>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</si>
  <si>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</si>
  <si>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</si>
  <si>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</si>
  <si>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</si>
  <si>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</si>
  <si>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</si>
  <si>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</si>
  <si>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</si>
  <si>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</si>
  <si>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</si>
  <si>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</si>
  <si>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</si>
  <si>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</si>
  <si>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</si>
  <si>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</si>
  <si>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</si>
  <si>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</si>
  <si>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</si>
  <si>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</si>
  <si>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</si>
  <si>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</si>
  <si>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</si>
  <si>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</si>
  <si>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</si>
  <si>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</si>
  <si>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</si>
  <si>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</si>
  <si>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</si>
  <si>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</si>
  <si>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</si>
  <si>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</si>
  <si>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</si>
  <si>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</si>
  <si>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</si>
  <si>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</si>
  <si>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</si>
  <si>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</si>
  <si>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</si>
  <si>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</si>
  <si>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</si>
  <si>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</si>
  <si>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</si>
  <si>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</si>
  <si>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</si>
  <si>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</si>
  <si>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</si>
  <si>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</si>
  <si>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</si>
  <si>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</si>
  <si>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</si>
  <si>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</si>
  <si>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</si>
  <si>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</si>
  <si>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</si>
  <si>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</si>
  <si>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</si>
  <si>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</si>
  <si>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</si>
  <si>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</si>
  <si>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</si>
  <si>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</si>
  <si>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</si>
  <si>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</si>
  <si>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</si>
  <si>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</si>
  <si>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</si>
  <si>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</si>
  <si>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</si>
  <si>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</si>
  <si>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</si>
  <si>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</si>
  <si>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</si>
  <si>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</si>
  <si>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</si>
  <si>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</si>
  <si>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</si>
  <si>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</si>
  <si>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</si>
  <si>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</si>
  <si>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</si>
  <si>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</si>
  <si>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</si>
  <si>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</si>
  <si>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</si>
  <si>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</si>
  <si>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</si>
  <si>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</si>
  <si>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</si>
  <si>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</si>
  <si>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</si>
  <si>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</si>
  <si>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</si>
  <si>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</si>
  <si>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</si>
  <si>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</si>
  <si>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</si>
  <si>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</si>
  <si>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</si>
  <si>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</si>
  <si>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</si>
  <si>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</si>
  <si>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</si>
  <si>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</si>
  <si>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</si>
  <si>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</si>
  <si>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</si>
  <si>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</si>
  <si>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</si>
  <si>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</si>
  <si>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</si>
  <si>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</si>
  <si>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</si>
  <si>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</si>
  <si>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</si>
  <si>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</si>
  <si>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</si>
  <si>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</si>
  <si>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</si>
  <si>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</si>
  <si>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</si>
  <si>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</si>
  <si>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</si>
  <si>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</si>
  <si>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</si>
  <si>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</si>
  <si>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</si>
  <si>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</si>
  <si>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</si>
  <si>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</si>
  <si>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</si>
  <si>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</si>
  <si>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</si>
  <si>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</si>
  <si>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</si>
  <si>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</si>
  <si>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</si>
  <si>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</si>
  <si>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</si>
  <si>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</si>
  <si>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</si>
  <si>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</si>
  <si>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</si>
  <si>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</si>
  <si>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</si>
  <si>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</si>
  <si>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</si>
  <si>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</si>
  <si>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</si>
  <si>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</si>
  <si>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</si>
  <si>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</si>
  <si>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</si>
  <si>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</si>
  <si>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</si>
  <si>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</si>
  <si>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</si>
  <si>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</si>
  <si>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</si>
  <si>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</si>
  <si>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</si>
  <si>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</si>
  <si>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</si>
  <si>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</si>
  <si>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</si>
  <si>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</si>
  <si>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</si>
  <si>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</si>
  <si>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</si>
  <si>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</si>
  <si>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</si>
  <si>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</si>
  <si>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</si>
  <si>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</si>
  <si>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</si>
  <si>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</si>
  <si>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</si>
  <si>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</si>
  <si>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</si>
  <si>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</si>
  <si>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</si>
  <si>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</si>
  <si>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</si>
  <si>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</si>
  <si>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</si>
  <si>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</si>
  <si>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</si>
  <si>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</si>
  <si>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</si>
  <si>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</si>
  <si>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</si>
  <si>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</si>
  <si>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</si>
  <si>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</si>
  <si>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</si>
  <si>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</si>
  <si>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</si>
  <si>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</si>
  <si>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</si>
  <si>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</si>
  <si>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</si>
  <si>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</si>
  <si>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</si>
  <si>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</si>
  <si>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</si>
  <si>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</si>
  <si>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</si>
  <si>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</si>
  <si>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</si>
  <si>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</si>
  <si>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</si>
  <si>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</si>
  <si>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</si>
  <si>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</si>
  <si>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</si>
  <si>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</si>
  <si>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</si>
  <si>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</si>
  <si>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</si>
  <si>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</si>
  <si>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</si>
  <si>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</si>
  <si>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</si>
  <si>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</si>
  <si>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</si>
  <si>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</si>
  <si>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</si>
  <si>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</si>
  <si>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</si>
  <si>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</si>
  <si>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</si>
  <si>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</si>
  <si>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</si>
  <si>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</si>
  <si>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</si>
  <si>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</si>
  <si>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</si>
  <si>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</si>
  <si>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</si>
  <si>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</si>
  <si>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</si>
  <si>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</si>
  <si>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</si>
  <si>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</si>
  <si>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</si>
  <si>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</si>
  <si>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</si>
  <si>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</si>
  <si>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</si>
  <si>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</si>
  <si>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</si>
  <si>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</si>
  <si>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</si>
  <si>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</si>
  <si>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</si>
  <si>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</si>
  <si>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</si>
  <si>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</si>
  <si>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</si>
  <si>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</si>
  <si>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</si>
  <si>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</si>
  <si>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</si>
  <si>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</si>
  <si>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</si>
  <si>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</si>
  <si>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</si>
  <si>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</si>
  <si>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</si>
  <si>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</si>
  <si>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</si>
  <si>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</si>
  <si>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</si>
  <si>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</si>
  <si>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</si>
  <si>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</si>
  <si>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</si>
  <si>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</si>
  <si>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</si>
  <si>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</si>
  <si>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</si>
  <si>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</si>
  <si>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</si>
  <si>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</si>
  <si>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</si>
  <si>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</si>
  <si>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</si>
  <si>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</si>
  <si>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</si>
  <si>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</si>
  <si>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</si>
  <si>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</si>
  <si>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</si>
  <si>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</si>
  <si>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</si>
  <si>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</si>
  <si>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</si>
  <si>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</si>
  <si>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</si>
  <si>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</si>
  <si>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</si>
  <si>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</si>
  <si>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</si>
  <si>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</si>
  <si>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</si>
  <si>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</si>
  <si>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</si>
  <si>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</si>
  <si>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</si>
  <si>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</si>
  <si>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</si>
  <si>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</si>
  <si>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</si>
  <si>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</si>
  <si>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</si>
  <si>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</si>
  <si>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</si>
  <si>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</si>
  <si>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</si>
  <si>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</si>
  <si>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</si>
  <si>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</si>
  <si>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</si>
  <si>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</si>
  <si>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</si>
  <si>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</si>
  <si>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</si>
  <si>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</si>
  <si>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</si>
  <si>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</si>
  <si>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</si>
  <si>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</si>
  <si>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</si>
  <si>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</si>
  <si>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</si>
  <si>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</si>
  <si>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</si>
  <si>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</si>
  <si>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</si>
  <si>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</si>
  <si>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</si>
  <si>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</si>
  <si>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</si>
  <si>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</si>
  <si>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</si>
  <si>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</si>
  <si>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</si>
  <si>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</si>
  <si>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</si>
  <si>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</si>
  <si>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</si>
  <si>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</si>
  <si>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</si>
  <si>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</si>
  <si>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</si>
  <si>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</si>
  <si>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</si>
  <si>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</si>
  <si>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</si>
  <si>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</si>
  <si>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</si>
  <si>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</si>
  <si>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</si>
  <si>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</si>
  <si>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</si>
  <si>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</si>
  <si>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</si>
  <si>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</si>
  <si>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</si>
  <si>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</si>
  <si>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</si>
  <si>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</si>
  <si>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</si>
  <si>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</si>
  <si>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</si>
  <si>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</si>
  <si>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</si>
  <si>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</si>
  <si>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</si>
  <si>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</si>
  <si>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</si>
  <si>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</si>
  <si>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</si>
  <si>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</si>
  <si>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</si>
  <si>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</si>
  <si>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</si>
  <si>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</si>
  <si>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</si>
  <si>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</si>
  <si>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</si>
  <si>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</si>
  <si>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</si>
  <si>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</si>
  <si>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</si>
  <si>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</si>
  <si>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</si>
  <si>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</si>
  <si>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</si>
  <si>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</si>
  <si>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</si>
  <si>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</si>
  <si>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</si>
  <si>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</si>
  <si>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</si>
  <si>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</si>
  <si>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</si>
  <si>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</si>
  <si>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</si>
  <si>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</si>
  <si>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</si>
  <si>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</si>
  <si>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</si>
  <si>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</si>
  <si>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</si>
  <si>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</si>
  <si>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</si>
  <si>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</si>
  <si>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</si>
  <si>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</si>
  <si>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</si>
  <si>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</si>
  <si>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</si>
  <si>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</si>
  <si>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</si>
  <si>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</si>
  <si>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</si>
  <si>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</si>
  <si>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</si>
  <si>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</si>
  <si>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</si>
  <si>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</si>
  <si>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</si>
  <si>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</si>
  <si>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</si>
  <si>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</si>
  <si>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</si>
  <si>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</si>
  <si>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</si>
  <si>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</si>
  <si>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</si>
  <si>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</si>
  <si>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</si>
  <si>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</si>
  <si>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</si>
  <si>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</si>
  <si>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</si>
  <si>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</si>
  <si>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</si>
  <si>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</si>
  <si>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</si>
  <si>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</si>
  <si>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</si>
  <si>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</si>
  <si>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</si>
  <si>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</si>
  <si>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</si>
  <si>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</si>
  <si>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</si>
  <si>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</si>
  <si>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</si>
  <si>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</si>
  <si>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</si>
  <si>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</si>
  <si>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</si>
  <si>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</si>
  <si>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</si>
  <si>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</si>
  <si>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</si>
  <si>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</si>
  <si>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</si>
  <si>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</si>
  <si>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</si>
  <si>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</si>
  <si>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</si>
  <si>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</si>
  <si>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</si>
  <si>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</si>
  <si>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</si>
  <si>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</si>
  <si>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</si>
  <si>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</si>
  <si>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</si>
  <si>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</si>
  <si>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</si>
  <si>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</si>
  <si>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</si>
  <si>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</si>
  <si>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</si>
  <si>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</si>
  <si>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</si>
  <si>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</si>
  <si>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</si>
  <si>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</si>
  <si>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</si>
  <si>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</si>
  <si>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</si>
  <si>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</si>
  <si>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</si>
  <si>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</si>
  <si>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</si>
  <si>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</si>
  <si>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</si>
  <si>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</si>
  <si>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</si>
  <si>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</si>
  <si>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</si>
  <si>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</si>
  <si>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</si>
  <si>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</si>
  <si>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</si>
  <si>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</si>
  <si>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</si>
  <si>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</si>
  <si>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</si>
  <si>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</si>
  <si>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</si>
  <si>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</si>
  <si>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</si>
  <si>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</si>
  <si>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</si>
  <si>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</si>
  <si>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</si>
  <si>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</si>
  <si>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</si>
  <si>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</si>
  <si>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</si>
  <si>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</si>
  <si>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</si>
  <si>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</si>
  <si>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</si>
  <si>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</si>
  <si>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</si>
  <si>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</si>
  <si>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</si>
  <si>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</si>
  <si>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</si>
  <si>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</si>
  <si>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</si>
  <si>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</si>
  <si>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</si>
  <si>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</si>
  <si>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</si>
  <si>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</si>
  <si>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</si>
  <si>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</si>
  <si>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</si>
  <si>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</si>
  <si>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</si>
  <si>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</si>
  <si>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</si>
  <si>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</si>
  <si>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</si>
  <si>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</si>
  <si>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</si>
  <si>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</si>
  <si>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</si>
  <si>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</si>
  <si>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</si>
  <si>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</si>
  <si>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</si>
  <si>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</si>
  <si>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</si>
  <si>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</si>
  <si>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</si>
  <si>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</si>
  <si>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</si>
  <si>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</si>
  <si>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</si>
  <si>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</si>
  <si>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</si>
  <si>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</si>
  <si>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</si>
  <si>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</si>
  <si>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</si>
  <si>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</si>
  <si>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</si>
  <si>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</si>
  <si>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</si>
  <si>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</si>
  <si>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</si>
  <si>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</si>
  <si>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</si>
  <si>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</si>
  <si>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</si>
  <si>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</si>
  <si>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</si>
  <si>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</si>
  <si>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</si>
  <si>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</si>
  <si>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</si>
  <si>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</si>
  <si>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</si>
  <si>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</si>
  <si>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</si>
  <si>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</si>
  <si>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</si>
  <si>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</si>
  <si>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</si>
  <si>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</si>
  <si>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</si>
  <si>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</si>
  <si>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</si>
  <si>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</si>
  <si>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</si>
  <si>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</si>
  <si>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</si>
  <si>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</si>
  <si>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</si>
  <si>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</si>
  <si>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</si>
  <si>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</si>
  <si>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</si>
  <si>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</si>
  <si>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</si>
  <si>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</si>
  <si>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</si>
  <si>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</si>
  <si>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</si>
  <si>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</si>
  <si>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</si>
  <si>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</si>
  <si>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</si>
  <si>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</si>
  <si>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</si>
  <si>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</si>
  <si>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</si>
  <si>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</si>
  <si>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</si>
  <si>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</si>
  <si>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</si>
  <si>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</si>
  <si>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</si>
  <si>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</si>
  <si>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</si>
  <si>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</si>
  <si>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</si>
  <si>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</si>
  <si>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</si>
  <si>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</si>
  <si>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</si>
  <si>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</si>
  <si>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</si>
  <si>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</si>
  <si>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</si>
  <si>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</si>
  <si>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</si>
  <si>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</si>
  <si>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</si>
  <si>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</si>
  <si>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</si>
  <si>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</si>
  <si>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</si>
  <si>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</si>
  <si>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</si>
  <si>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</si>
  <si>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</si>
  <si>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</si>
  <si>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</si>
  <si>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</si>
  <si>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</si>
  <si>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</si>
  <si>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</si>
  <si>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</si>
  <si>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</si>
  <si>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</si>
  <si>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</si>
  <si>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</si>
  <si>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</si>
  <si>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</si>
  <si>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</si>
  <si>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</si>
  <si>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</si>
  <si>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</si>
  <si>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</si>
  <si>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</si>
  <si>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</si>
  <si>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</si>
  <si>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</si>
  <si>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</si>
  <si>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</si>
  <si>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</si>
  <si>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</si>
  <si>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</si>
  <si>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</si>
  <si>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</si>
  <si>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</si>
  <si>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</si>
  <si>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</si>
  <si>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</si>
  <si>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</si>
  <si>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</si>
  <si>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</si>
  <si>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</si>
  <si>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</si>
  <si>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</si>
  <si>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</si>
  <si>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</si>
  <si>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</si>
  <si>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</si>
  <si>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</si>
  <si>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</si>
  <si>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</si>
  <si>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</si>
  <si>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</si>
  <si>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</si>
  <si>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</si>
  <si>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</si>
  <si>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</si>
  <si>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</si>
  <si>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</si>
  <si>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</si>
  <si>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</si>
  <si>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</si>
  <si>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</si>
  <si>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</si>
  <si>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</si>
  <si>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</si>
  <si>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</si>
  <si>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</si>
  <si>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</si>
  <si>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</si>
  <si>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</si>
  <si>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</si>
  <si>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</si>
  <si>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</si>
  <si>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</si>
  <si>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</si>
  <si>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</si>
  <si>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</si>
  <si>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</si>
  <si>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</si>
  <si>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</si>
  <si>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</si>
  <si>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</si>
  <si>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</si>
  <si>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</si>
  <si>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</si>
  <si>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</si>
  <si>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</si>
  <si>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</si>
  <si>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</si>
  <si>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</si>
  <si>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</si>
  <si>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</si>
  <si>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</si>
  <si>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</si>
  <si>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</si>
  <si>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</si>
  <si>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</si>
  <si>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</si>
  <si>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</si>
  <si>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</si>
  <si>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</si>
  <si>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</si>
  <si>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</si>
  <si>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</si>
  <si>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</si>
  <si>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</si>
  <si>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</si>
  <si>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</si>
  <si>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</si>
  <si>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</si>
  <si>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</si>
  <si>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</si>
  <si>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</si>
  <si>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</si>
  <si>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</si>
  <si>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</si>
  <si>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</si>
  <si>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</si>
  <si>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</si>
  <si>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</si>
  <si>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</si>
  <si>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</si>
  <si>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</si>
  <si>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</si>
  <si>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</si>
  <si>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</si>
  <si>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</si>
  <si>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</si>
  <si>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</si>
  <si>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</si>
  <si>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</si>
  <si>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</si>
  <si>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</si>
  <si>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</si>
  <si>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</si>
  <si>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</si>
  <si>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</si>
  <si>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</si>
  <si>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</si>
  <si>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</si>
  <si>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</si>
  <si>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</si>
  <si>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</si>
  <si>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</si>
  <si>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</si>
  <si>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</si>
  <si>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</si>
  <si>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</si>
  <si>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</si>
  <si>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</si>
  <si>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</si>
  <si>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</si>
  <si>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</si>
  <si>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</si>
  <si>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</si>
  <si>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</si>
  <si>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</si>
  <si>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</si>
  <si>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</si>
  <si>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</si>
  <si>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</si>
  <si>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</si>
  <si>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</si>
  <si>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</si>
  <si>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</si>
  <si>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</si>
  <si>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</si>
  <si>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</si>
  <si>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</si>
  <si>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</si>
  <si>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</si>
  <si>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</si>
  <si>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</si>
  <si>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</si>
  <si>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</si>
  <si>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</si>
  <si>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</si>
  <si>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</si>
  <si>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</si>
  <si>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</si>
  <si>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</si>
  <si>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</si>
  <si>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</si>
  <si>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</si>
  <si>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</si>
  <si>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</si>
  <si>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</si>
  <si>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</si>
  <si>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</si>
  <si>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</si>
  <si>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</si>
  <si>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</si>
  <si>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</si>
  <si>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</si>
  <si>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</si>
  <si>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</si>
  <si>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</si>
  <si>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</si>
  <si>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</si>
  <si>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</si>
  <si>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</si>
  <si>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</si>
  <si>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</si>
  <si>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</si>
  <si>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</si>
  <si>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</si>
  <si>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</si>
  <si>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</si>
  <si>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</si>
  <si>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</si>
  <si>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</si>
  <si>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</si>
  <si>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</si>
  <si>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</si>
  <si>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</si>
  <si>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</si>
  <si>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</si>
  <si>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</si>
  <si>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</si>
  <si>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</si>
  <si>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</si>
  <si>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</si>
  <si>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</si>
  <si>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</si>
  <si>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</si>
  <si>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</si>
  <si>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</si>
  <si>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</si>
  <si>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</si>
  <si>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</si>
  <si>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</si>
  <si>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</si>
  <si>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</si>
  <si>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</si>
  <si>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</si>
  <si>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</si>
  <si>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</si>
  <si>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</si>
  <si>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</si>
  <si>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</si>
  <si>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</si>
  <si>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</si>
  <si>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</si>
  <si>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</si>
  <si>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</si>
  <si>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</si>
  <si>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</si>
  <si>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</si>
  <si>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</si>
  <si>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</si>
  <si>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</si>
  <si>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</si>
  <si>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</si>
  <si>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</si>
  <si>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</si>
  <si>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</si>
  <si>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</si>
  <si>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</si>
  <si>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</si>
  <si>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</si>
  <si>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</si>
  <si>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</si>
  <si>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</si>
  <si>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</si>
  <si>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</si>
  <si>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</si>
  <si>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</si>
  <si>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</si>
  <si>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</si>
  <si>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</si>
  <si>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</si>
  <si>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</si>
  <si>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</si>
  <si>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</si>
  <si>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</si>
  <si>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</si>
  <si>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</si>
  <si>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</si>
  <si>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</si>
  <si>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</si>
  <si>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</si>
  <si>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</si>
  <si>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</si>
  <si>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</si>
  <si>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</si>
  <si>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</si>
  <si>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</si>
  <si>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</si>
  <si>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</si>
  <si>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</si>
  <si>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</si>
  <si>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</si>
  <si>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</si>
  <si>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</si>
  <si>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</si>
  <si>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</si>
  <si>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</si>
  <si>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</si>
  <si>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</si>
  <si>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</si>
  <si>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</si>
  <si>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</si>
  <si>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</si>
  <si>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</si>
  <si>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</si>
  <si>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</si>
  <si>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</si>
  <si>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</si>
  <si>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</si>
  <si>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</si>
  <si>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</si>
  <si>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</si>
  <si>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</si>
  <si>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</si>
  <si>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</si>
  <si>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</si>
  <si>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</si>
  <si>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</si>
  <si>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</si>
  <si>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</si>
  <si>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</si>
  <si>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</si>
  <si>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</si>
  <si>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</si>
  <si>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</si>
  <si>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</si>
  <si>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</si>
  <si>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</si>
  <si>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</si>
  <si>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</si>
  <si>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</si>
  <si>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</si>
  <si>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</si>
  <si>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</si>
  <si>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</si>
  <si>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</si>
  <si>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</si>
  <si>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</si>
  <si>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</si>
  <si>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</si>
  <si>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</si>
  <si>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</si>
  <si>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</si>
  <si>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</si>
  <si>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</si>
  <si>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</si>
  <si>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</si>
  <si>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</si>
  <si>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</si>
  <si>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</si>
  <si>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</si>
  <si>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</si>
  <si>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</si>
  <si>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</si>
  <si>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</si>
  <si>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</si>
  <si>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</si>
  <si>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</si>
  <si>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</si>
  <si>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</si>
  <si>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</si>
  <si>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</si>
  <si>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</si>
  <si>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</si>
  <si>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</si>
  <si>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</si>
  <si>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</si>
  <si>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</si>
  <si>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</si>
  <si>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</si>
  <si>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</si>
  <si>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</si>
  <si>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</si>
  <si>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</si>
  <si>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</si>
  <si>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</si>
  <si>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</si>
  <si>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</si>
  <si>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</si>
  <si>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</si>
  <si>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</si>
  <si>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</si>
  <si>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</si>
  <si>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</si>
  <si>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</si>
  <si>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</si>
  <si>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</si>
  <si>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</si>
  <si>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</si>
  <si>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</si>
  <si>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</si>
  <si>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</si>
  <si>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</si>
  <si>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</si>
  <si>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</si>
  <si>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</si>
  <si>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</si>
  <si>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</si>
  <si>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</si>
  <si>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</si>
  <si>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</si>
  <si>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</si>
  <si>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</si>
  <si>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</si>
  <si>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</si>
  <si>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</si>
  <si>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</si>
  <si>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</si>
  <si>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</si>
  <si>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</si>
  <si>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</si>
  <si>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</si>
  <si>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</si>
  <si>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</si>
  <si>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</si>
  <si>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</si>
  <si>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</si>
  <si>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</si>
  <si>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</si>
  <si>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</si>
  <si>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</si>
  <si>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</si>
  <si>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</si>
  <si>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</si>
  <si>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</si>
  <si>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</si>
  <si>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</si>
  <si>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</si>
  <si>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</si>
  <si>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</si>
  <si>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</si>
  <si>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</si>
  <si>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</si>
  <si>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</si>
  <si>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</si>
  <si>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</si>
  <si>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</si>
  <si>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</si>
  <si>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</si>
  <si>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</si>
  <si>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</si>
  <si>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</si>
  <si>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</si>
  <si>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</si>
  <si>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</si>
  <si>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</si>
  <si>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</si>
  <si>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</si>
  <si>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</si>
  <si>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</si>
  <si>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</si>
  <si>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</si>
  <si>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</si>
  <si>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</si>
  <si>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</si>
  <si>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</si>
  <si>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</si>
  <si>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</si>
  <si>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</si>
  <si>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</si>
  <si>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</si>
  <si>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</si>
  <si>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</si>
  <si>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</si>
  <si>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</si>
  <si>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</si>
  <si>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</si>
  <si>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</si>
  <si>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</si>
  <si>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</si>
  <si>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</si>
  <si>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</si>
  <si>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</si>
  <si>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</si>
  <si>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</si>
  <si>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</si>
  <si>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</si>
  <si>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</si>
  <si>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</si>
  <si>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</si>
  <si>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</si>
  <si>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</si>
  <si>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</si>
  <si>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</si>
  <si>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</si>
  <si>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</si>
  <si>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</si>
  <si>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</si>
  <si>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</si>
  <si>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</si>
  <si>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</si>
  <si>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</si>
  <si>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</si>
  <si>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</si>
  <si>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</si>
  <si>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</si>
  <si>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</si>
  <si>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</si>
  <si>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</si>
  <si>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</si>
  <si>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</si>
  <si>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</si>
  <si>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</si>
  <si>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</si>
  <si>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</si>
  <si>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</si>
  <si>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</si>
  <si>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</si>
  <si>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</si>
  <si>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</si>
  <si>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</si>
  <si>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</si>
  <si>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</si>
  <si>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</si>
  <si>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</si>
  <si>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</si>
  <si>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</si>
  <si>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</si>
  <si>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</si>
  <si>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</si>
  <si>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</si>
  <si>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</si>
  <si>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</si>
  <si>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</si>
  <si>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</si>
  <si>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</si>
  <si>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</si>
  <si>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</si>
  <si>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</si>
  <si>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</si>
  <si>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</si>
  <si>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</si>
  <si>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</si>
  <si>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</si>
  <si>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</si>
  <si>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</si>
  <si>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</si>
  <si>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</si>
  <si>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</si>
  <si>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</si>
  <si>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</si>
  <si>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</si>
  <si>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</si>
  <si>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</si>
  <si>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</si>
  <si>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</si>
  <si>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</si>
  <si>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</si>
  <si>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</si>
  <si>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</si>
  <si>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</si>
  <si>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</si>
  <si>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</si>
  <si>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</si>
  <si>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</si>
  <si>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</si>
  <si>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</si>
  <si>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</si>
  <si>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</si>
  <si>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</si>
  <si>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</si>
  <si>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</si>
  <si>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</si>
  <si>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</si>
  <si>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</si>
  <si>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</si>
  <si>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</si>
  <si>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</si>
  <si>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</si>
  <si>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</si>
  <si>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</si>
  <si>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</si>
  <si>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</si>
  <si>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</si>
  <si>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</si>
  <si>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</si>
  <si>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</si>
  <si>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</si>
  <si>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</si>
  <si>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</si>
  <si>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</si>
  <si>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</si>
  <si>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</si>
  <si>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</si>
  <si>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</si>
  <si>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</si>
  <si>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</si>
  <si>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</si>
  <si>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</si>
  <si>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</si>
  <si>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</si>
  <si>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</si>
  <si>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</si>
  <si>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</si>
  <si>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</si>
  <si>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</si>
  <si>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</si>
  <si>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</si>
  <si>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</si>
  <si>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</si>
  <si>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</si>
  <si>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</si>
  <si>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</si>
  <si>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</si>
  <si>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</si>
  <si>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</si>
  <si>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</si>
  <si>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</si>
  <si>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</si>
  <si>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</si>
  <si>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</si>
  <si>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</si>
  <si>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</si>
  <si>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</si>
  <si>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</si>
  <si>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</si>
  <si>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</si>
  <si>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</si>
  <si>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</si>
  <si>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</si>
  <si>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</si>
  <si>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</si>
  <si>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</si>
  <si>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</si>
  <si>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</si>
  <si>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</si>
  <si>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</si>
  <si>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</si>
  <si>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</si>
  <si>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</si>
  <si>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</si>
  <si>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</si>
  <si>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</si>
  <si>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</si>
  <si>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</si>
  <si>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</si>
  <si>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</si>
  <si>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</si>
  <si>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</si>
  <si>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</si>
  <si>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</si>
  <si>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</si>
  <si>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</si>
  <si>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</si>
  <si>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</si>
  <si>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</si>
  <si>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</si>
  <si>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</si>
  <si>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</si>
  <si>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</si>
  <si>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</si>
  <si>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</si>
  <si>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</si>
  <si>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</si>
  <si>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</si>
  <si>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</si>
  <si>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</si>
  <si>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</si>
  <si>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</si>
  <si>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</si>
  <si>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</si>
  <si>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</si>
  <si>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</si>
  <si>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</si>
  <si>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</si>
  <si>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</si>
  <si>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Newkirk &amp; Associates, Inc.</t>
  </si>
  <si>
    <t>OGLE</t>
  </si>
  <si>
    <t>William Newkirk</t>
  </si>
  <si>
    <t>2 W Main Street</t>
  </si>
  <si>
    <t>202 W SOUTH STREET</t>
  </si>
  <si>
    <t>Plano</t>
  </si>
  <si>
    <t>IL</t>
  </si>
  <si>
    <t xml:space="preserve">CRESTON </t>
  </si>
  <si>
    <t>630-552-1040</t>
  </si>
  <si>
    <t>630-522-7399</t>
  </si>
  <si>
    <t>CRHEINGANS@CRESTONSCHOOL.ORG</t>
  </si>
  <si>
    <t>066-004656</t>
  </si>
  <si>
    <t>BNEWKIRK@NEWKIRKCPAS.COM</t>
  </si>
  <si>
    <t>CURTIS RHEINGANS</t>
  </si>
  <si>
    <t>815-384-3920</t>
  </si>
  <si>
    <t>815-384-3410</t>
  </si>
  <si>
    <t>x</t>
  </si>
  <si>
    <t>Debt Certificates, Series 2014</t>
  </si>
  <si>
    <t>General Obligation School Bonds, Series 2014</t>
  </si>
  <si>
    <t>Rochelle Community Consolidated School District #231</t>
  </si>
  <si>
    <t>Ogle County Special Educatio Cooperative</t>
  </si>
  <si>
    <t>Preferred Meal Systems, Inc.</t>
  </si>
  <si>
    <t>ED-Food Service-Supplies</t>
  </si>
  <si>
    <t>10-2560-400</t>
  </si>
  <si>
    <t>ACCT</t>
  </si>
  <si>
    <t>PAGE</t>
  </si>
  <si>
    <t>FUND</t>
  </si>
  <si>
    <t>LINE #</t>
  </si>
  <si>
    <t>DESCRIPTION</t>
  </si>
  <si>
    <t>AMOUNT</t>
  </si>
  <si>
    <t>Other Food Service Revenue</t>
  </si>
  <si>
    <t>Activity Fund Revenue</t>
  </si>
  <si>
    <t>Insurance rebate</t>
  </si>
  <si>
    <t>REAP Grant</t>
  </si>
  <si>
    <t>Special Education Tuition paid to Rochelle ESD #231</t>
  </si>
  <si>
    <t>Special Education Transportation paid to Rochelle ESD #231</t>
  </si>
  <si>
    <t>Creston CCSD 161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</si>
</sst>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5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0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81" fontId="0" fillId="0" borderId="0" xfId="0" applyNumberFormat="1"/>
    <xf numFmtId="181" fontId="0" fillId="0" borderId="165" xfId="19" applyNumberFormat="1" applyFont="1" applyBorder="1"/>
    <xf numFmtId="0" fontId="9" fillId="0" borderId="0" xfId="0" applyFont="1" applyFill="1"/>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181" fontId="0" fillId="0" borderId="165" xfId="0" applyNumberFormat="1" applyBorder="1"/>
    <xf numFmtId="49" fontId="132" fillId="0" borderId="105" xfId="24" applyNumberFormat="1" applyFont="1" applyBorder="1" applyAlignment="1" applyProtection="1">
      <alignment horizontal="center" vertical="center"/>
      <protection locked="0"/>
    </xf>
    <xf numFmtId="0" fontId="99" fillId="0" borderId="105" xfId="24" applyFont="1" applyBorder="1" applyProtection="1">
      <protection locked="0"/>
    </xf>
    <xf numFmtId="49" fontId="132" fillId="0" borderId="107" xfId="24" applyNumberFormat="1" applyFont="1" applyFill="1" applyBorder="1" applyAlignment="1" applyProtection="1">
      <alignment horizontal="center" vertical="center"/>
      <protection locked="0"/>
    </xf>
    <xf numFmtId="0" fontId="0" fillId="0" borderId="0" xfId="0"/>
    <xf numFmtId="0" fontId="9" fillId="0" borderId="0" xfId="0" applyFont="1"/>
    <xf numFmtId="0" fontId="0" fillId="0" borderId="0" xfId="0" applyFill="1"/>
    <xf numFmtId="0" fontId="56" fillId="0" borderId="0" xfId="0" applyFont="1" applyFill="1"/>
    <xf numFmtId="164" fontId="56" fillId="0" borderId="0" xfId="0" applyNumberFormat="1" applyFont="1"/>
    <xf numFmtId="164" fontId="10" fillId="0" borderId="0" xfId="0" applyNumberFormat="1" applyFont="1"/>
    <xf numFmtId="164" fontId="0" fillId="0" borderId="0" xfId="0" applyNumberFormat="1"/>
    <xf numFmtId="0" fontId="0" fillId="0" borderId="78" xfId="0" applyBorder="1"/>
    <xf numFmtId="164" fontId="9" fillId="0" borderId="0" xfId="0"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5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24" xr:uid="{00000000-0005-0000-0000-000009000000}"/>
    <cellStyle name="Normal 3 2 2 2 2" xfId="49" xr:uid="{00000000-0005-0000-0000-00000A000000}"/>
    <cellStyle name="Normal 3 2 2 3" xfId="32" xr:uid="{00000000-0005-0000-0000-00000B000000}"/>
    <cellStyle name="Normal 3 2 2 3 2" xfId="44" xr:uid="{00000000-0005-0000-0000-00000C000000}"/>
    <cellStyle name="Normal 3 2 2 4" xfId="28" xr:uid="{00000000-0005-0000-0000-00000D000000}"/>
    <cellStyle name="Normal 3 2 2 5" xfId="39" xr:uid="{00000000-0005-0000-0000-00000E000000}"/>
    <cellStyle name="Normal 3 2 3" xfId="21" xr:uid="{00000000-0005-0000-0000-00000F000000}"/>
    <cellStyle name="Normal 3 2 3 2" xfId="46" xr:uid="{00000000-0005-0000-0000-000010000000}"/>
    <cellStyle name="Normal 3 2 4" xfId="30" xr:uid="{00000000-0005-0000-0000-000011000000}"/>
    <cellStyle name="Normal 3 2 4 2" xfId="41" xr:uid="{00000000-0005-0000-0000-000012000000}"/>
    <cellStyle name="Normal 3 2 5" xfId="26" xr:uid="{00000000-0005-0000-0000-000013000000}"/>
    <cellStyle name="Normal 3 2 6" xfId="36" xr:uid="{00000000-0005-0000-0000-000014000000}"/>
    <cellStyle name="Normal 3 3" xfId="20" xr:uid="{00000000-0005-0000-0000-000015000000}"/>
    <cellStyle name="Normal 3 3 2" xfId="34" xr:uid="{00000000-0005-0000-0000-000016000000}"/>
    <cellStyle name="Normal 3 3 2 2" xfId="48" xr:uid="{00000000-0005-0000-0000-000017000000}"/>
    <cellStyle name="Normal 3 3 3" xfId="43" xr:uid="{00000000-0005-0000-0000-000018000000}"/>
    <cellStyle name="Normal 3 4" xfId="33" xr:uid="{00000000-0005-0000-0000-000019000000}"/>
    <cellStyle name="Normal 3 4 2" xfId="45" xr:uid="{00000000-0005-0000-0000-00001A000000}"/>
    <cellStyle name="Normal 3 5" xfId="29" xr:uid="{00000000-0005-0000-0000-00001B000000}"/>
    <cellStyle name="Normal 3 5 2" xfId="40" xr:uid="{00000000-0005-0000-0000-00001C000000}"/>
    <cellStyle name="Normal 3 6" xfId="25" xr:uid="{00000000-0005-0000-0000-00001D000000}"/>
    <cellStyle name="Normal 3 7" xfId="35" xr:uid="{00000000-0005-0000-0000-00001E000000}"/>
    <cellStyle name="Normal 4" xfId="16" xr:uid="{00000000-0005-0000-0000-00001F000000}"/>
    <cellStyle name="Normal 4 2" xfId="22" xr:uid="{00000000-0005-0000-0000-000020000000}"/>
    <cellStyle name="Normal 4 2 2" xfId="47" xr:uid="{00000000-0005-0000-0000-000021000000}"/>
    <cellStyle name="Normal 4 3" xfId="31" xr:uid="{00000000-0005-0000-0000-000022000000}"/>
    <cellStyle name="Normal 4 3 2" xfId="42" xr:uid="{00000000-0005-0000-0000-000023000000}"/>
    <cellStyle name="Normal 4 4" xfId="27" xr:uid="{00000000-0005-0000-0000-000024000000}"/>
    <cellStyle name="Normal 4 5" xfId="37" xr:uid="{00000000-0005-0000-0000-000025000000}"/>
    <cellStyle name="Normal 5" xfId="17" xr:uid="{00000000-0005-0000-0000-000026000000}"/>
    <cellStyle name="Normal 5 2" xfId="23" xr:uid="{00000000-0005-0000-0000-000027000000}"/>
    <cellStyle name="Normal 5 3" xfId="38" xr:uid="{00000000-0005-0000-0000-000028000000}"/>
    <cellStyle name="Normal_AFRPG3" xfId="5" xr:uid="{00000000-0005-0000-0000-000029000000}"/>
    <cellStyle name="Normal_AFRPG41" xfId="6" xr:uid="{00000000-0005-0000-0000-00002A000000}"/>
    <cellStyle name="Normal_AFRPG47" xfId="7" xr:uid="{00000000-0005-0000-0000-00002B000000}"/>
    <cellStyle name="Normal_AFRPG56" xfId="8" xr:uid="{00000000-0005-0000-0000-00002C000000}"/>
    <cellStyle name="Normal_AFRPG59" xfId="9" xr:uid="{00000000-0005-0000-0000-00002D000000}"/>
    <cellStyle name="Normal_AFRPG63" xfId="10" xr:uid="{00000000-0005-0000-0000-00002E000000}"/>
    <cellStyle name="Normal_AFRPG64" xfId="11" xr:uid="{00000000-0005-0000-0000-00002F000000}"/>
    <cellStyle name="Normal_COVER" xfId="12" xr:uid="{00000000-0005-0000-0000-000030000000}"/>
    <cellStyle name="Normal_THRESHOLD CALCULATOR v3" xfId="13" xr:uid="{00000000-0005-0000-0000-000031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123825</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30" t="s">
        <v>405</v>
      </c>
      <c r="J1" s="2031"/>
      <c r="K1" s="2031"/>
      <c r="L1" s="2031"/>
      <c r="M1" s="2031"/>
      <c r="N1" s="2031"/>
      <c r="O1" s="2031"/>
      <c r="P1" s="2031"/>
      <c r="Q1" s="2031"/>
      <c r="R1" s="2031"/>
      <c r="S1" s="2031"/>
    </row>
    <row r="2" spans="1:28" ht="12" customHeight="1" x14ac:dyDescent="0.2">
      <c r="A2" s="47" t="s">
        <v>1993</v>
      </c>
      <c r="D2" s="48"/>
      <c r="I2" s="2032" t="s">
        <v>979</v>
      </c>
      <c r="J2" s="2031"/>
      <c r="K2" s="2031"/>
      <c r="L2" s="2031"/>
      <c r="M2" s="2031"/>
      <c r="N2" s="2031"/>
      <c r="O2" s="2031"/>
      <c r="P2" s="2031"/>
      <c r="Q2" s="2031"/>
      <c r="R2" s="2031"/>
      <c r="S2" s="2031"/>
    </row>
    <row r="3" spans="1:28" ht="12" customHeight="1" x14ac:dyDescent="0.2">
      <c r="A3" s="155" t="s">
        <v>1945</v>
      </c>
      <c r="B3" s="156"/>
      <c r="C3" s="156"/>
      <c r="D3" s="157"/>
      <c r="I3" s="2032" t="s">
        <v>52</v>
      </c>
      <c r="J3" s="2031"/>
      <c r="K3" s="2031"/>
      <c r="L3" s="2031"/>
      <c r="M3" s="2031"/>
      <c r="N3" s="2031"/>
      <c r="O3" s="2031"/>
      <c r="P3" s="2031"/>
      <c r="Q3" s="2031"/>
      <c r="R3" s="2031"/>
      <c r="S3" s="2031"/>
    </row>
    <row r="4" spans="1:28" ht="12" customHeight="1" x14ac:dyDescent="0.2">
      <c r="A4" s="37"/>
      <c r="I4" s="2032" t="s">
        <v>524</v>
      </c>
      <c r="J4" s="2031"/>
      <c r="K4" s="2031"/>
      <c r="L4" s="2031"/>
      <c r="M4" s="2031"/>
      <c r="N4" s="2031"/>
      <c r="O4" s="2031"/>
      <c r="P4" s="2031"/>
      <c r="Q4" s="2031"/>
      <c r="R4" s="2031"/>
      <c r="S4" s="2031"/>
    </row>
    <row r="5" spans="1:28" ht="14.1" customHeight="1" x14ac:dyDescent="0.2">
      <c r="B5" s="104" t="s">
        <v>2064</v>
      </c>
      <c r="C5" s="26" t="s">
        <v>910</v>
      </c>
      <c r="D5" s="84"/>
      <c r="E5" s="84"/>
      <c r="H5" s="38"/>
      <c r="I5" s="2039" t="s">
        <v>680</v>
      </c>
      <c r="J5" s="1984"/>
      <c r="K5" s="1984"/>
      <c r="L5" s="1984"/>
      <c r="M5" s="1984"/>
      <c r="N5" s="1984"/>
      <c r="O5" s="1984"/>
      <c r="P5" s="1984"/>
      <c r="Q5" s="1984"/>
      <c r="R5" s="1984"/>
      <c r="S5" s="1984"/>
    </row>
    <row r="6" spans="1:28" ht="14.1" customHeight="1" x14ac:dyDescent="0.2">
      <c r="B6" s="104"/>
      <c r="C6" s="26" t="s">
        <v>911</v>
      </c>
      <c r="D6" s="84"/>
      <c r="E6" s="84"/>
      <c r="I6" s="2038" t="s">
        <v>883</v>
      </c>
      <c r="J6" s="1984"/>
      <c r="K6" s="1984"/>
      <c r="L6" s="1984"/>
      <c r="M6" s="1984"/>
      <c r="N6" s="1984"/>
      <c r="O6" s="1984"/>
      <c r="P6" s="1984"/>
      <c r="Q6" s="1984"/>
      <c r="R6" s="1984"/>
      <c r="S6" s="1984"/>
    </row>
    <row r="7" spans="1:28" ht="12.2" customHeight="1" x14ac:dyDescent="0.2">
      <c r="I7" s="2033">
        <v>43646</v>
      </c>
      <c r="J7" s="2034"/>
      <c r="K7" s="2034"/>
      <c r="L7" s="2034"/>
      <c r="M7" s="2034"/>
      <c r="N7" s="2034"/>
      <c r="O7" s="2034"/>
      <c r="P7" s="2034"/>
      <c r="Q7" s="2034"/>
      <c r="R7" s="2034"/>
      <c r="S7" s="20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5" t="s">
        <v>674</v>
      </c>
      <c r="J9" s="2036"/>
      <c r="K9" s="2036"/>
      <c r="L9" s="2036"/>
      <c r="M9" s="2036"/>
      <c r="N9" s="2036"/>
      <c r="O9" s="2036"/>
      <c r="P9" s="2036"/>
      <c r="Q9" s="2036"/>
      <c r="R9" s="2036"/>
      <c r="S9" s="2037"/>
      <c r="T9" s="1980" t="s">
        <v>533</v>
      </c>
      <c r="U9" s="1981"/>
      <c r="V9" s="1981"/>
      <c r="W9" s="1981"/>
      <c r="X9" s="1981"/>
      <c r="Y9" s="1981"/>
      <c r="Z9" s="1981"/>
      <c r="AA9" s="1982"/>
    </row>
    <row r="10" spans="1:28" ht="13.5" customHeight="1" x14ac:dyDescent="0.2">
      <c r="A10" s="1989" t="s">
        <v>675</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x14ac:dyDescent="0.2">
      <c r="A11" s="1992" t="s">
        <v>955</v>
      </c>
      <c r="B11" s="1993"/>
      <c r="C11" s="1993"/>
      <c r="D11" s="1993"/>
      <c r="E11" s="1993"/>
      <c r="F11" s="1993"/>
      <c r="G11" s="1993"/>
      <c r="H11" s="1994"/>
      <c r="I11" s="27"/>
      <c r="J11" s="74"/>
      <c r="K11" s="27"/>
      <c r="O11" s="148" t="s">
        <v>2064</v>
      </c>
      <c r="P11" s="100" t="s">
        <v>201</v>
      </c>
      <c r="Q11" s="30"/>
      <c r="R11" s="28"/>
      <c r="S11" s="27"/>
      <c r="T11" s="1986"/>
      <c r="U11" s="1987"/>
      <c r="V11" s="1987"/>
      <c r="W11" s="1987"/>
      <c r="X11" s="1987"/>
      <c r="Y11" s="1987"/>
      <c r="Z11" s="1987"/>
      <c r="AA11" s="198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0">
        <v>47071161004</v>
      </c>
      <c r="B13" s="2001"/>
      <c r="C13" s="2001"/>
      <c r="D13" s="2001"/>
      <c r="E13" s="2001"/>
      <c r="F13" s="2001"/>
      <c r="G13" s="2001"/>
      <c r="H13" s="2002"/>
      <c r="I13" s="31"/>
      <c r="J13" s="30"/>
      <c r="K13" s="28"/>
      <c r="L13" s="30"/>
      <c r="M13" s="30"/>
      <c r="N13" s="30"/>
      <c r="O13" s="30"/>
      <c r="P13" s="30"/>
      <c r="Q13" s="30"/>
      <c r="R13" s="30"/>
      <c r="S13" s="30"/>
      <c r="T13" s="2005" t="s">
        <v>2065</v>
      </c>
      <c r="U13" s="2006"/>
      <c r="V13" s="2006"/>
      <c r="W13" s="2006"/>
      <c r="X13" s="2006"/>
      <c r="Y13" s="2007"/>
      <c r="Z13" s="2007"/>
      <c r="AA13" s="200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8" t="s">
        <v>2066</v>
      </c>
      <c r="B15" s="2003"/>
      <c r="C15" s="2003"/>
      <c r="D15" s="2003"/>
      <c r="E15" s="2003"/>
      <c r="F15" s="2003"/>
      <c r="G15" s="2003"/>
      <c r="H15" s="2004"/>
      <c r="T15" s="1966" t="s">
        <v>2067</v>
      </c>
      <c r="U15" s="1967"/>
      <c r="V15" s="1967"/>
      <c r="W15" s="1967"/>
      <c r="X15" s="1967"/>
      <c r="Y15" s="2009"/>
      <c r="Z15" s="2009"/>
      <c r="AA15" s="201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8" t="s">
        <v>2101</v>
      </c>
      <c r="B17" s="2028"/>
      <c r="C17" s="2028"/>
      <c r="D17" s="2028"/>
      <c r="E17" s="2028"/>
      <c r="F17" s="2028"/>
      <c r="G17" s="2028"/>
      <c r="H17" s="2029"/>
      <c r="T17" s="2015" t="s">
        <v>2068</v>
      </c>
      <c r="U17" s="2016"/>
      <c r="V17" s="2016"/>
      <c r="W17" s="2016"/>
      <c r="X17" s="2016"/>
      <c r="Y17" s="2016"/>
      <c r="Z17" s="2016"/>
      <c r="AA17" s="2017"/>
    </row>
    <row r="18" spans="1:27" ht="13.5" customHeight="1" x14ac:dyDescent="0.2">
      <c r="A18" s="85" t="s">
        <v>530</v>
      </c>
      <c r="B18" s="76"/>
      <c r="C18" s="72"/>
      <c r="D18" s="76"/>
      <c r="E18" s="76"/>
      <c r="F18" s="76"/>
      <c r="G18" s="76"/>
      <c r="H18" s="56"/>
      <c r="I18" s="2025" t="s">
        <v>676</v>
      </c>
      <c r="J18" s="2026"/>
      <c r="K18" s="2026"/>
      <c r="L18" s="2026"/>
      <c r="M18" s="2026"/>
      <c r="N18" s="2026"/>
      <c r="O18" s="2026"/>
      <c r="P18" s="2026"/>
      <c r="Q18" s="2026"/>
      <c r="R18" s="2026"/>
      <c r="S18" s="2027"/>
      <c r="T18" s="85" t="s">
        <v>711</v>
      </c>
      <c r="U18" s="51"/>
      <c r="V18" s="72"/>
      <c r="W18" s="50"/>
      <c r="X18" s="85" t="s">
        <v>266</v>
      </c>
      <c r="Y18" s="81"/>
      <c r="Z18" s="159" t="s">
        <v>677</v>
      </c>
      <c r="AA18" s="46"/>
    </row>
    <row r="19" spans="1:27" ht="13.5" customHeight="1" x14ac:dyDescent="0.2">
      <c r="A19" s="1998" t="s">
        <v>2069</v>
      </c>
      <c r="B19" s="1999"/>
      <c r="C19" s="1999"/>
      <c r="D19" s="1999"/>
      <c r="E19" s="1999"/>
      <c r="F19" s="1999"/>
      <c r="G19" s="1999"/>
      <c r="H19" s="1997"/>
      <c r="I19" s="30"/>
      <c r="J19" s="99"/>
      <c r="K19" s="40"/>
      <c r="L19" s="38"/>
      <c r="M19" s="112" t="s">
        <v>315</v>
      </c>
      <c r="P19" s="27"/>
      <c r="Q19" s="27"/>
      <c r="R19" s="27"/>
      <c r="S19" s="31"/>
      <c r="T19" s="1998" t="s">
        <v>2070</v>
      </c>
      <c r="U19" s="1996"/>
      <c r="V19" s="1996"/>
      <c r="W19" s="1997"/>
      <c r="X19" s="2013" t="s">
        <v>2071</v>
      </c>
      <c r="Y19" s="2014"/>
      <c r="Z19" s="2011">
        <v>60545</v>
      </c>
      <c r="AA19" s="201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5" t="s">
        <v>2072</v>
      </c>
      <c r="B21" s="1996"/>
      <c r="C21" s="1996"/>
      <c r="D21" s="1996"/>
      <c r="E21" s="1996"/>
      <c r="F21" s="1996"/>
      <c r="G21" s="1996"/>
      <c r="H21" s="1997"/>
      <c r="I21" s="2021" t="s">
        <v>678</v>
      </c>
      <c r="J21" s="1984"/>
      <c r="K21" s="1984"/>
      <c r="L21" s="1984"/>
      <c r="M21" s="1984"/>
      <c r="N21" s="1984"/>
      <c r="O21" s="1984"/>
      <c r="P21" s="1984"/>
      <c r="Q21" s="1984"/>
      <c r="R21" s="1984"/>
      <c r="S21" s="1985"/>
      <c r="T21" s="1963" t="s">
        <v>2073</v>
      </c>
      <c r="U21" s="1964"/>
      <c r="V21" s="1964"/>
      <c r="W21" s="1964"/>
      <c r="X21" s="1977" t="s">
        <v>2074</v>
      </c>
      <c r="Y21" s="1978"/>
      <c r="Z21" s="1978"/>
      <c r="AA21" s="1979"/>
    </row>
    <row r="22" spans="1:27" ht="13.5" customHeight="1" x14ac:dyDescent="0.2">
      <c r="A22" s="87" t="s">
        <v>531</v>
      </c>
      <c r="B22" s="59"/>
      <c r="C22" s="59"/>
      <c r="D22" s="59"/>
      <c r="E22" s="59"/>
      <c r="F22" s="59"/>
      <c r="G22" s="59"/>
      <c r="H22" s="60"/>
      <c r="I22" s="2022" t="s">
        <v>1429</v>
      </c>
      <c r="J22" s="2023"/>
      <c r="K22" s="2023"/>
      <c r="L22" s="2023"/>
      <c r="M22" s="2023"/>
      <c r="N22" s="2023"/>
      <c r="O22" s="2023"/>
      <c r="P22" s="2023"/>
      <c r="Q22" s="2023"/>
      <c r="R22" s="2023"/>
      <c r="S22" s="2024"/>
      <c r="T22" s="85" t="s">
        <v>1516</v>
      </c>
      <c r="U22" s="51"/>
      <c r="V22" s="72"/>
      <c r="W22" s="51"/>
      <c r="X22" s="160" t="s">
        <v>1318</v>
      </c>
      <c r="Z22" s="45"/>
      <c r="AA22" s="46"/>
    </row>
    <row r="23" spans="1:27" ht="13.5" customHeight="1" x14ac:dyDescent="0.2">
      <c r="A23" s="2018" t="s">
        <v>2075</v>
      </c>
      <c r="B23" s="2019"/>
      <c r="C23" s="2019"/>
      <c r="D23" s="2019"/>
      <c r="E23" s="2019"/>
      <c r="F23" s="2019"/>
      <c r="G23" s="2019"/>
      <c r="H23" s="2020"/>
      <c r="T23" s="1958" t="s">
        <v>2076</v>
      </c>
      <c r="U23" s="1959"/>
      <c r="V23" s="1959"/>
      <c r="W23" s="1959"/>
      <c r="X23" s="1974">
        <v>44530</v>
      </c>
      <c r="Y23" s="1975"/>
      <c r="Z23" s="1975"/>
      <c r="AA23" s="1976"/>
    </row>
    <row r="24" spans="1:27" ht="14.1" customHeight="1" x14ac:dyDescent="0.2">
      <c r="A24" s="88" t="s">
        <v>677</v>
      </c>
      <c r="B24" s="49"/>
      <c r="C24" s="49"/>
      <c r="D24" s="49"/>
      <c r="E24" s="49"/>
      <c r="F24" s="49"/>
      <c r="G24" s="49"/>
      <c r="H24" s="61"/>
      <c r="J24" s="2060">
        <f>IF(B5="x",IF(AUDITCHECK!D29="AFR form Incomplete.","",IF(AUDITCHECK!D29="Deficit reduction plan is required.","School District must complete a deficit reduction plan in the 2019-2020 Budget",)),"")</f>
        <v>0</v>
      </c>
      <c r="K24" s="2060"/>
      <c r="L24" s="2060"/>
      <c r="M24" s="2060"/>
      <c r="N24" s="2060"/>
      <c r="O24" s="2060"/>
      <c r="P24" s="2060"/>
      <c r="Q24" s="2060"/>
      <c r="R24" s="2060"/>
      <c r="S24" s="2061"/>
      <c r="T24" s="105" t="s">
        <v>531</v>
      </c>
      <c r="U24" s="106"/>
      <c r="V24" s="106"/>
      <c r="W24" s="106"/>
      <c r="X24" s="107"/>
      <c r="Y24" s="107"/>
      <c r="Z24" s="107"/>
      <c r="AA24" s="108"/>
    </row>
    <row r="25" spans="1:27" ht="14.1" customHeight="1" x14ac:dyDescent="0.2">
      <c r="A25" s="1995">
        <v>60113</v>
      </c>
      <c r="B25" s="1996"/>
      <c r="C25" s="1996"/>
      <c r="D25" s="1996"/>
      <c r="E25" s="1996"/>
      <c r="F25" s="1996"/>
      <c r="G25" s="1996"/>
      <c r="H25" s="1997"/>
      <c r="I25" s="113"/>
      <c r="J25" s="2062"/>
      <c r="K25" s="2062"/>
      <c r="L25" s="2062"/>
      <c r="M25" s="2062"/>
      <c r="N25" s="2062"/>
      <c r="O25" s="2062"/>
      <c r="P25" s="2062"/>
      <c r="Q25" s="2062"/>
      <c r="R25" s="2062"/>
      <c r="S25" s="2063"/>
      <c r="T25" s="1955" t="s">
        <v>2077</v>
      </c>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3" t="s">
        <v>1511</v>
      </c>
      <c r="J27" s="2026"/>
      <c r="K27" s="2026"/>
      <c r="L27" s="2026"/>
      <c r="M27" s="2026"/>
      <c r="N27" s="2026"/>
      <c r="O27" s="2026"/>
      <c r="P27" s="2026"/>
      <c r="Q27" s="2026"/>
      <c r="R27" s="2026"/>
      <c r="S27" s="202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9"/>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8" t="s">
        <v>2078</v>
      </c>
      <c r="B38" s="2028"/>
      <c r="C38" s="2028"/>
      <c r="D38" s="2028"/>
      <c r="E38" s="2028"/>
      <c r="F38" s="1996"/>
      <c r="G38" s="1996"/>
      <c r="H38" s="1997"/>
      <c r="I38" s="2047"/>
      <c r="J38" s="1967"/>
      <c r="K38" s="1967"/>
      <c r="L38" s="1967"/>
      <c r="M38" s="1967"/>
      <c r="N38" s="1967"/>
      <c r="O38" s="1967"/>
      <c r="P38" s="1968"/>
      <c r="Q38" s="1968"/>
      <c r="R38" s="1968"/>
      <c r="S38" s="1969"/>
      <c r="T38" s="1966"/>
      <c r="U38" s="1967"/>
      <c r="V38" s="1967"/>
      <c r="W38" s="1967"/>
      <c r="X38" s="1968"/>
      <c r="Y38" s="1968"/>
      <c r="Z38" s="1968"/>
      <c r="AA38" s="1969"/>
    </row>
    <row r="39" spans="1:27" ht="12" customHeight="1" x14ac:dyDescent="0.2">
      <c r="A39" s="2051" t="s">
        <v>531</v>
      </c>
      <c r="B39" s="2052"/>
      <c r="C39" s="72"/>
      <c r="D39" s="69"/>
      <c r="E39" s="69"/>
      <c r="F39" s="79"/>
      <c r="G39" s="69"/>
      <c r="H39" s="56"/>
      <c r="I39" s="2051" t="s">
        <v>531</v>
      </c>
      <c r="J39" s="2052"/>
      <c r="K39" s="2052"/>
      <c r="L39" s="2052"/>
      <c r="M39" s="2052"/>
      <c r="N39" s="67"/>
      <c r="O39" s="72"/>
      <c r="P39" s="72"/>
      <c r="Q39" s="78"/>
      <c r="R39" s="72"/>
      <c r="S39" s="56"/>
      <c r="T39" s="72" t="s">
        <v>531</v>
      </c>
      <c r="U39" s="51"/>
      <c r="V39" s="72"/>
      <c r="W39" s="50"/>
      <c r="X39" s="78"/>
      <c r="Y39" s="45"/>
      <c r="Z39" s="45"/>
      <c r="AA39" s="46"/>
    </row>
    <row r="40" spans="1:27" ht="13.5" customHeight="1" x14ac:dyDescent="0.2">
      <c r="A40" s="2054" t="s">
        <v>2075</v>
      </c>
      <c r="B40" s="2055"/>
      <c r="C40" s="2056"/>
      <c r="D40" s="2056"/>
      <c r="E40" s="2056"/>
      <c r="F40" s="2057"/>
      <c r="G40" s="2057"/>
      <c r="H40" s="2058"/>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4" t="s">
        <v>2079</v>
      </c>
      <c r="B42" s="2045"/>
      <c r="C42" s="2046"/>
      <c r="D42" s="2059" t="s">
        <v>2080</v>
      </c>
      <c r="E42" s="2045"/>
      <c r="F42" s="2045"/>
      <c r="G42" s="2045"/>
      <c r="H42" s="2046"/>
      <c r="I42" s="1965"/>
      <c r="J42" s="1961"/>
      <c r="K42" s="1961"/>
      <c r="L42" s="1961"/>
      <c r="M42" s="1961"/>
      <c r="N42" s="1961"/>
      <c r="O42" s="1962"/>
      <c r="P42" s="1960"/>
      <c r="Q42" s="1961"/>
      <c r="R42" s="1961"/>
      <c r="S42" s="1962"/>
      <c r="T42" s="1965"/>
      <c r="U42" s="1961"/>
      <c r="V42" s="1961"/>
      <c r="W42" s="1962"/>
      <c r="X42" s="1960"/>
      <c r="Y42" s="1961"/>
      <c r="Z42" s="1961"/>
      <c r="AA42" s="196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97" t="s">
        <v>1802</v>
      </c>
      <c r="B2" s="1527" t="s">
        <v>1951</v>
      </c>
      <c r="C2" s="714" t="s">
        <v>1952</v>
      </c>
      <c r="D2" s="714" t="s">
        <v>1953</v>
      </c>
      <c r="E2" s="714" t="s">
        <v>1954</v>
      </c>
      <c r="F2" s="714" t="s">
        <v>1955</v>
      </c>
    </row>
    <row r="3" spans="1:6" ht="12" customHeight="1" x14ac:dyDescent="0.2">
      <c r="A3" s="2198"/>
      <c r="B3" s="1524"/>
      <c r="C3" s="1525"/>
      <c r="D3" s="1526" t="s">
        <v>256</v>
      </c>
      <c r="E3" s="1525"/>
      <c r="F3" s="1526" t="s">
        <v>257</v>
      </c>
    </row>
    <row r="4" spans="1:6" ht="13.7" customHeight="1" x14ac:dyDescent="0.2">
      <c r="A4" s="715" t="s">
        <v>1155</v>
      </c>
      <c r="B4" s="1748">
        <f>'Revenues 9-14'!C5</f>
        <v>722203</v>
      </c>
      <c r="C4" s="1523">
        <v>345031</v>
      </c>
      <c r="D4" s="1751">
        <f>B4-C4</f>
        <v>377172</v>
      </c>
      <c r="E4" s="1523">
        <v>798234</v>
      </c>
      <c r="F4" s="1751">
        <f>E4-C4</f>
        <v>453203</v>
      </c>
    </row>
    <row r="5" spans="1:6" ht="13.7" customHeight="1" x14ac:dyDescent="0.2">
      <c r="A5" s="715" t="s">
        <v>870</v>
      </c>
      <c r="B5" s="1749">
        <f>'Revenues 9-14'!D5</f>
        <v>75111</v>
      </c>
      <c r="C5" s="585">
        <v>36243</v>
      </c>
      <c r="D5" s="1752">
        <f t="shared" ref="D5:D18" si="0">B5-C5</f>
        <v>38868</v>
      </c>
      <c r="E5" s="585">
        <v>82251</v>
      </c>
      <c r="F5" s="1752">
        <f>E5-C5</f>
        <v>46008</v>
      </c>
    </row>
    <row r="6" spans="1:6" ht="13.7" customHeight="1" x14ac:dyDescent="0.2">
      <c r="A6" s="715" t="s">
        <v>411</v>
      </c>
      <c r="B6" s="1749">
        <f>'Revenues 9-14'!E5</f>
        <v>48211</v>
      </c>
      <c r="C6" s="585">
        <v>23813</v>
      </c>
      <c r="D6" s="1752">
        <f t="shared" si="0"/>
        <v>24398</v>
      </c>
      <c r="E6" s="585">
        <v>51621</v>
      </c>
      <c r="F6" s="1752">
        <f t="shared" ref="F6:F18" si="1">E6-C6</f>
        <v>27808</v>
      </c>
    </row>
    <row r="7" spans="1:6" ht="13.7" customHeight="1" x14ac:dyDescent="0.2">
      <c r="A7" s="715" t="s">
        <v>155</v>
      </c>
      <c r="B7" s="1749">
        <f>'Revenues 9-14'!F5</f>
        <v>36052</v>
      </c>
      <c r="C7" s="585">
        <v>17396</v>
      </c>
      <c r="D7" s="1752">
        <f t="shared" si="0"/>
        <v>18656</v>
      </c>
      <c r="E7" s="585">
        <v>39479</v>
      </c>
      <c r="F7" s="1752">
        <f t="shared" si="1"/>
        <v>22083</v>
      </c>
    </row>
    <row r="8" spans="1:6" ht="13.7" customHeight="1" x14ac:dyDescent="0.2">
      <c r="A8" s="715" t="s">
        <v>1179</v>
      </c>
      <c r="B8" s="1749">
        <f>'Revenues 9-14'!G5</f>
        <v>25231</v>
      </c>
      <c r="C8" s="585">
        <v>14827</v>
      </c>
      <c r="D8" s="1752">
        <f t="shared" si="0"/>
        <v>10404</v>
      </c>
      <c r="E8" s="585">
        <v>22005</v>
      </c>
      <c r="F8" s="1752">
        <f t="shared" si="1"/>
        <v>7178</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15173</v>
      </c>
      <c r="C10" s="585">
        <v>7249</v>
      </c>
      <c r="D10" s="1752">
        <f t="shared" si="0"/>
        <v>7924</v>
      </c>
      <c r="E10" s="585">
        <v>16770</v>
      </c>
      <c r="F10" s="1752">
        <f t="shared" si="1"/>
        <v>9521</v>
      </c>
    </row>
    <row r="11" spans="1:6" x14ac:dyDescent="0.2">
      <c r="A11" s="715" t="s">
        <v>409</v>
      </c>
      <c r="B11" s="1749">
        <f>'Revenues 9-14'!J5</f>
        <v>167072</v>
      </c>
      <c r="C11" s="585">
        <v>77280</v>
      </c>
      <c r="D11" s="1752">
        <f t="shared" si="0"/>
        <v>89792</v>
      </c>
      <c r="E11" s="585">
        <v>190028</v>
      </c>
      <c r="F11" s="1752">
        <f t="shared" si="1"/>
        <v>112748</v>
      </c>
    </row>
    <row r="12" spans="1:6" ht="13.7" customHeight="1" x14ac:dyDescent="0.2">
      <c r="A12" s="715" t="s">
        <v>157</v>
      </c>
      <c r="B12" s="1749">
        <f>'Revenues 9-14'!K5</f>
        <v>14970</v>
      </c>
      <c r="C12" s="585">
        <v>7195</v>
      </c>
      <c r="D12" s="1752">
        <f t="shared" si="0"/>
        <v>7775</v>
      </c>
      <c r="E12" s="585">
        <v>16452</v>
      </c>
      <c r="F12" s="1752">
        <f t="shared" si="1"/>
        <v>9257</v>
      </c>
    </row>
    <row r="13" spans="1:6" ht="13.7" customHeight="1" x14ac:dyDescent="0.2">
      <c r="A13" s="715" t="s">
        <v>936</v>
      </c>
      <c r="B13" s="1749">
        <f>SUM('Revenues 9-14'!C6:D6)</f>
        <v>15023</v>
      </c>
      <c r="C13" s="585">
        <v>7249</v>
      </c>
      <c r="D13" s="1752">
        <f t="shared" si="0"/>
        <v>7774</v>
      </c>
      <c r="E13" s="585">
        <v>16451</v>
      </c>
      <c r="F13" s="1752">
        <f t="shared" si="1"/>
        <v>9202</v>
      </c>
    </row>
    <row r="14" spans="1:6" ht="13.7" customHeight="1" x14ac:dyDescent="0.2">
      <c r="A14" s="715" t="s">
        <v>410</v>
      </c>
      <c r="B14" s="1749">
        <f>SUM('Revenues 9-14'!C7:D7,'Revenues 9-14'!F7:H7)</f>
        <v>6009</v>
      </c>
      <c r="C14" s="585">
        <v>2899</v>
      </c>
      <c r="D14" s="1752">
        <f t="shared" si="0"/>
        <v>3110</v>
      </c>
      <c r="E14" s="585">
        <v>6580</v>
      </c>
      <c r="F14" s="1752">
        <f t="shared" si="1"/>
        <v>3681</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26883</v>
      </c>
      <c r="C16" s="585">
        <v>14827</v>
      </c>
      <c r="D16" s="1752">
        <f t="shared" si="0"/>
        <v>12056</v>
      </c>
      <c r="E16" s="585">
        <v>25503</v>
      </c>
      <c r="F16" s="1752">
        <f t="shared" si="1"/>
        <v>10676</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1151938</v>
      </c>
      <c r="C19" s="1750">
        <f>SUM(C4:C18)</f>
        <v>554009</v>
      </c>
      <c r="D19" s="1750">
        <f>SUM(D4:D18)</f>
        <v>597929</v>
      </c>
      <c r="E19" s="1750">
        <f>SUM(E4:E18)</f>
        <v>1265374</v>
      </c>
      <c r="F19" s="1750">
        <f>SUM(F4:F18)</f>
        <v>711365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7" colorId="8" zoomScale="80" zoomScaleNormal="80" workbookViewId="0">
      <selection activeCell="N54" sqref="N5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4"/>
      <c r="C1" s="721"/>
    </row>
    <row r="2" spans="1:7" ht="33.75" x14ac:dyDescent="0.2">
      <c r="A2" s="2212" t="s">
        <v>1802</v>
      </c>
      <c r="B2" s="2213"/>
      <c r="C2" s="1883" t="s">
        <v>1956</v>
      </c>
      <c r="D2" s="723" t="s">
        <v>1957</v>
      </c>
      <c r="E2" s="723" t="s">
        <v>1958</v>
      </c>
      <c r="F2" s="1883" t="s">
        <v>1959</v>
      </c>
    </row>
    <row r="3" spans="1:7" ht="15.75" customHeight="1" x14ac:dyDescent="0.2">
      <c r="A3" s="2216" t="s">
        <v>1114</v>
      </c>
      <c r="B3" s="2217"/>
      <c r="C3" s="2205"/>
      <c r="D3" s="2206"/>
      <c r="E3" s="2206"/>
      <c r="F3" s="2207"/>
    </row>
    <row r="4" spans="1:7" ht="12.75" customHeight="1" thickBot="1" x14ac:dyDescent="0.25">
      <c r="A4" s="2214" t="s">
        <v>630</v>
      </c>
      <c r="B4" s="2215"/>
      <c r="C4" s="581"/>
      <c r="D4" s="581"/>
      <c r="E4" s="581"/>
      <c r="F4" s="1754">
        <f>SUM(C4+D4)-E4</f>
        <v>0</v>
      </c>
    </row>
    <row r="5" spans="1:7" ht="15.75" customHeight="1" thickTop="1" x14ac:dyDescent="0.2">
      <c r="A5" s="2199" t="s">
        <v>1110</v>
      </c>
      <c r="B5" s="2200"/>
      <c r="C5" s="2208"/>
      <c r="D5" s="2209"/>
      <c r="E5" s="2209"/>
      <c r="F5" s="2210"/>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201" t="s">
        <v>631</v>
      </c>
      <c r="B15" s="2202"/>
      <c r="C15" s="1754">
        <f>SUM(C6:C14)</f>
        <v>0</v>
      </c>
      <c r="D15" s="1754">
        <f>SUM(D6:D14)</f>
        <v>0</v>
      </c>
      <c r="E15" s="1754">
        <f>SUM(E6:E14)</f>
        <v>0</v>
      </c>
      <c r="F15" s="1754">
        <f>SUM(F6:F14)</f>
        <v>0</v>
      </c>
      <c r="G15" s="552"/>
    </row>
    <row r="16" spans="1:7" s="202" customFormat="1" ht="15.75" customHeight="1" thickTop="1" x14ac:dyDescent="0.2">
      <c r="A16" s="2211" t="s">
        <v>1111</v>
      </c>
      <c r="B16" s="2200"/>
      <c r="C16" s="2208"/>
      <c r="D16" s="2209"/>
      <c r="E16" s="2209"/>
      <c r="F16" s="2210"/>
    </row>
    <row r="17" spans="1:11" ht="12.75" customHeight="1" thickBot="1" x14ac:dyDescent="0.25">
      <c r="A17" s="2224" t="s">
        <v>64</v>
      </c>
      <c r="B17" s="2225"/>
      <c r="C17" s="726"/>
      <c r="D17" s="585"/>
      <c r="E17" s="726"/>
      <c r="F17" s="1754">
        <f>SUM(C17+D17)-E17</f>
        <v>0</v>
      </c>
    </row>
    <row r="18" spans="1:11" ht="12.75" customHeight="1" thickTop="1" thickBot="1" x14ac:dyDescent="0.25">
      <c r="A18" s="2224" t="s">
        <v>6</v>
      </c>
      <c r="B18" s="2225"/>
      <c r="C18" s="726"/>
      <c r="D18" s="585"/>
      <c r="E18" s="726"/>
      <c r="F18" s="1754">
        <f>SUM(C18+D18)-E18</f>
        <v>0</v>
      </c>
    </row>
    <row r="19" spans="1:11" ht="12.75" customHeight="1" thickTop="1" thickBot="1" x14ac:dyDescent="0.25">
      <c r="A19" s="2224" t="s">
        <v>388</v>
      </c>
      <c r="B19" s="2225"/>
      <c r="C19" s="726"/>
      <c r="D19" s="585"/>
      <c r="E19" s="726"/>
      <c r="F19" s="1754">
        <f>SUM(C19+D19)-E19</f>
        <v>0</v>
      </c>
    </row>
    <row r="20" spans="1:11" ht="12.75" customHeight="1" thickTop="1" thickBot="1" x14ac:dyDescent="0.25">
      <c r="A20" s="2224" t="s">
        <v>448</v>
      </c>
      <c r="B20" s="2225"/>
      <c r="C20" s="726"/>
      <c r="D20" s="585"/>
      <c r="E20" s="726"/>
      <c r="F20" s="1754">
        <f>SUM(C20+D20)-E20</f>
        <v>0</v>
      </c>
    </row>
    <row r="21" spans="1:11" ht="14.25" thickTop="1" thickBot="1" x14ac:dyDescent="0.25">
      <c r="A21" s="2201" t="s">
        <v>632</v>
      </c>
      <c r="B21" s="2202"/>
      <c r="C21" s="1754">
        <f>SUM(C17:C20)</f>
        <v>0</v>
      </c>
      <c r="D21" s="1754">
        <f>SUM(D17:D20)</f>
        <v>0</v>
      </c>
      <c r="E21" s="1754">
        <f>SUM(E17:E20)</f>
        <v>0</v>
      </c>
      <c r="F21" s="1754">
        <f>SUM(F17:F20)</f>
        <v>0</v>
      </c>
      <c r="G21" s="552"/>
    </row>
    <row r="22" spans="1:11" ht="15.75" customHeight="1" thickTop="1" x14ac:dyDescent="0.2">
      <c r="A22" s="2226" t="s">
        <v>1112</v>
      </c>
      <c r="B22" s="2200"/>
      <c r="C22" s="2208"/>
      <c r="D22" s="2209"/>
      <c r="E22" s="2209"/>
      <c r="F22" s="2210"/>
    </row>
    <row r="23" spans="1:11" ht="13.5" thickBot="1" x14ac:dyDescent="0.25">
      <c r="A23" s="2214" t="s">
        <v>633</v>
      </c>
      <c r="B23" s="2215"/>
      <c r="C23" s="581"/>
      <c r="D23" s="581"/>
      <c r="E23" s="581"/>
      <c r="F23" s="1754">
        <f>SUM(C23+D23)-E23</f>
        <v>0</v>
      </c>
      <c r="G23" s="552"/>
    </row>
    <row r="24" spans="1:11" ht="15.75" customHeight="1" thickTop="1" x14ac:dyDescent="0.2">
      <c r="A24" s="2226" t="s">
        <v>1113</v>
      </c>
      <c r="B24" s="2200"/>
      <c r="C24" s="2208"/>
      <c r="D24" s="2209"/>
      <c r="E24" s="2209"/>
      <c r="F24" s="2210"/>
    </row>
    <row r="25" spans="1:11" ht="13.5" thickBot="1" x14ac:dyDescent="0.25">
      <c r="A25" s="2214" t="s">
        <v>634</v>
      </c>
      <c r="B25" s="2215"/>
      <c r="C25" s="581"/>
      <c r="D25" s="581"/>
      <c r="E25" s="581"/>
      <c r="F25" s="1754">
        <f>SUM(C25+D25)-E25</f>
        <v>0</v>
      </c>
      <c r="G25" s="552"/>
    </row>
    <row r="26" spans="1:11" ht="15.75" customHeight="1" thickTop="1" x14ac:dyDescent="0.2">
      <c r="A26" s="2199" t="s">
        <v>657</v>
      </c>
      <c r="B26" s="2200"/>
      <c r="C26" s="727"/>
      <c r="D26" s="727"/>
      <c r="E26" s="727"/>
      <c r="F26" s="728"/>
    </row>
    <row r="27" spans="1:11" ht="13.5" thickBot="1" x14ac:dyDescent="0.25">
      <c r="A27" s="2201" t="s">
        <v>1070</v>
      </c>
      <c r="B27" s="2202"/>
      <c r="C27" s="585"/>
      <c r="D27" s="585"/>
      <c r="E27" s="585"/>
      <c r="F27" s="1754">
        <f>SUM(C27+D27)-E27</f>
        <v>0</v>
      </c>
      <c r="G27" s="552"/>
    </row>
    <row r="28" spans="1:11" ht="7.5" customHeight="1" thickTop="1" x14ac:dyDescent="0.2">
      <c r="A28" s="593"/>
    </row>
    <row r="29" spans="1:11" ht="23.25" customHeight="1" x14ac:dyDescent="0.2">
      <c r="A29" s="2227" t="s">
        <v>582</v>
      </c>
      <c r="B29" s="2204"/>
      <c r="C29" s="729"/>
      <c r="D29" s="729"/>
      <c r="E29" s="729"/>
      <c r="F29" s="729"/>
      <c r="G29" s="729"/>
      <c r="H29" s="729"/>
      <c r="I29" s="729"/>
      <c r="J29" s="729"/>
    </row>
    <row r="30" spans="1:11" ht="33.75" x14ac:dyDescent="0.2">
      <c r="A30" s="1528" t="s">
        <v>1071</v>
      </c>
      <c r="B30" s="730" t="s">
        <v>1124</v>
      </c>
      <c r="C30" s="1884" t="s">
        <v>583</v>
      </c>
      <c r="D30" s="1884" t="s">
        <v>1673</v>
      </c>
      <c r="E30" s="1884" t="s">
        <v>1960</v>
      </c>
      <c r="F30" s="1884" t="s">
        <v>1961</v>
      </c>
      <c r="G30" s="1884" t="s">
        <v>1911</v>
      </c>
      <c r="H30" s="1884" t="s">
        <v>1962</v>
      </c>
      <c r="I30" s="1884" t="s">
        <v>1963</v>
      </c>
      <c r="J30" s="1885" t="s">
        <v>2</v>
      </c>
      <c r="K30" s="731"/>
    </row>
    <row r="31" spans="1:11" ht="12" customHeight="1" x14ac:dyDescent="0.2">
      <c r="A31" s="732" t="s">
        <v>2082</v>
      </c>
      <c r="B31" s="733">
        <v>41843</v>
      </c>
      <c r="C31" s="734">
        <v>49900</v>
      </c>
      <c r="D31" s="735">
        <v>2</v>
      </c>
      <c r="E31" s="734">
        <v>39920</v>
      </c>
      <c r="F31" s="734"/>
      <c r="G31" s="734"/>
      <c r="H31" s="734">
        <v>2495</v>
      </c>
      <c r="I31" s="1755">
        <f>((E31+F31)-H31)+G31</f>
        <v>37425</v>
      </c>
      <c r="J31" s="734">
        <f>+I31</f>
        <v>37425</v>
      </c>
      <c r="K31" s="736"/>
    </row>
    <row r="32" spans="1:11" ht="12" customHeight="1" x14ac:dyDescent="0.2">
      <c r="A32" s="732" t="s">
        <v>2083</v>
      </c>
      <c r="B32" s="733">
        <v>41852</v>
      </c>
      <c r="C32" s="734">
        <v>585000</v>
      </c>
      <c r="D32" s="735">
        <v>1</v>
      </c>
      <c r="E32" s="734">
        <v>492630</v>
      </c>
      <c r="F32" s="734"/>
      <c r="G32" s="734"/>
      <c r="H32" s="734">
        <v>30790</v>
      </c>
      <c r="I32" s="1755">
        <f>((E32+F32)-H32)+G32</f>
        <v>461840</v>
      </c>
      <c r="J32" s="734">
        <f>+I32-793</f>
        <v>461047</v>
      </c>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634900</v>
      </c>
      <c r="D49" s="745"/>
      <c r="E49" s="1755">
        <f t="shared" ref="E49:J49" si="2">SUM(E31:E48)</f>
        <v>532550</v>
      </c>
      <c r="F49" s="1755">
        <f t="shared" si="2"/>
        <v>0</v>
      </c>
      <c r="G49" s="1755">
        <f t="shared" si="2"/>
        <v>0</v>
      </c>
      <c r="H49" s="1755">
        <f t="shared" si="2"/>
        <v>33285</v>
      </c>
      <c r="I49" s="1755">
        <f t="shared" si="2"/>
        <v>499265</v>
      </c>
      <c r="J49" s="1755">
        <f t="shared" si="2"/>
        <v>498472</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8" t="s">
        <v>584</v>
      </c>
      <c r="C52" s="2219"/>
      <c r="D52" s="2219"/>
      <c r="E52" s="749" t="s">
        <v>845</v>
      </c>
      <c r="F52" s="2220"/>
      <c r="G52" s="2221"/>
      <c r="H52" s="736"/>
      <c r="I52" s="736"/>
      <c r="J52" s="746"/>
    </row>
    <row r="53" spans="1:11" ht="11.25" customHeight="1" x14ac:dyDescent="0.2">
      <c r="A53" s="750" t="s">
        <v>913</v>
      </c>
      <c r="B53" s="751" t="s">
        <v>951</v>
      </c>
      <c r="C53" s="746"/>
      <c r="D53" s="737"/>
      <c r="E53" s="749" t="s">
        <v>497</v>
      </c>
      <c r="F53" s="2222"/>
      <c r="G53" s="2223"/>
      <c r="H53" s="736"/>
      <c r="I53" s="736"/>
      <c r="J53" s="746"/>
    </row>
    <row r="54" spans="1:11" ht="11.25" customHeight="1" x14ac:dyDescent="0.2">
      <c r="A54" s="752" t="s">
        <v>914</v>
      </c>
      <c r="B54" s="747" t="s">
        <v>952</v>
      </c>
      <c r="C54" s="746"/>
      <c r="D54" s="737"/>
      <c r="E54" s="749" t="s">
        <v>498</v>
      </c>
      <c r="F54" s="2222"/>
      <c r="G54" s="222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0" colorId="8" zoomScale="110" zoomScaleNormal="110" workbookViewId="0">
      <selection activeCell="D31" sqref="D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856</v>
      </c>
      <c r="B1" s="2253"/>
      <c r="C1" s="2253"/>
      <c r="D1" s="2253"/>
      <c r="E1" s="2253"/>
      <c r="F1" s="2253"/>
      <c r="G1" s="2254"/>
      <c r="H1" s="1529"/>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1964</v>
      </c>
      <c r="B3" s="2235"/>
      <c r="C3" s="2235"/>
      <c r="D3" s="2235"/>
      <c r="E3" s="2236"/>
      <c r="F3" s="763"/>
      <c r="G3" s="764"/>
      <c r="H3" s="764"/>
      <c r="I3" s="764"/>
      <c r="J3" s="765"/>
      <c r="K3" s="765"/>
    </row>
    <row r="4" spans="1:11" x14ac:dyDescent="0.2">
      <c r="A4" s="2237" t="s">
        <v>369</v>
      </c>
      <c r="B4" s="2238"/>
      <c r="C4" s="2238"/>
      <c r="D4" s="2238"/>
      <c r="E4" s="2219"/>
      <c r="F4" s="766"/>
      <c r="G4" s="767"/>
      <c r="H4" s="768"/>
      <c r="I4" s="767"/>
      <c r="J4" s="769"/>
      <c r="K4" s="769"/>
    </row>
    <row r="5" spans="1:11" x14ac:dyDescent="0.2">
      <c r="A5" s="2255" t="s">
        <v>1069</v>
      </c>
      <c r="B5" s="2228"/>
      <c r="C5" s="2228"/>
      <c r="D5" s="2228"/>
      <c r="E5" s="2256"/>
      <c r="F5" s="770" t="s">
        <v>848</v>
      </c>
      <c r="G5" s="771"/>
      <c r="H5" s="764">
        <v>6579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55" t="s">
        <v>1813</v>
      </c>
      <c r="B10" s="2228"/>
      <c r="C10" s="2228"/>
      <c r="D10" s="2228"/>
      <c r="E10" s="2257"/>
      <c r="F10" s="783" t="s">
        <v>862</v>
      </c>
      <c r="G10" s="782"/>
      <c r="H10" s="784"/>
      <c r="I10" s="764"/>
      <c r="J10" s="765"/>
      <c r="K10" s="765"/>
    </row>
    <row r="11" spans="1:11" x14ac:dyDescent="0.2">
      <c r="A11" s="2255" t="s">
        <v>160</v>
      </c>
      <c r="B11" s="2228"/>
      <c r="C11" s="2228"/>
      <c r="D11" s="2228"/>
      <c r="E11" s="2256"/>
      <c r="F11" s="770" t="s">
        <v>852</v>
      </c>
      <c r="G11" s="771"/>
      <c r="H11" s="764"/>
      <c r="I11" s="764"/>
      <c r="J11" s="765"/>
      <c r="K11" s="773"/>
    </row>
    <row r="12" spans="1:11" ht="13.5" thickBot="1" x14ac:dyDescent="0.25">
      <c r="A12" s="2245" t="s">
        <v>905</v>
      </c>
      <c r="B12" s="2246"/>
      <c r="C12" s="2246"/>
      <c r="D12" s="2246"/>
      <c r="E12" s="2247"/>
      <c r="F12" s="1756"/>
      <c r="G12" s="1757">
        <f>SUM(G5:G11)</f>
        <v>0</v>
      </c>
      <c r="H12" s="1757">
        <f>SUM(H5:H11)</f>
        <v>6579</v>
      </c>
      <c r="I12" s="1757">
        <f>SUM(I5:I11)</f>
        <v>0</v>
      </c>
      <c r="J12" s="1757">
        <f>SUM(J5:J11)</f>
        <v>0</v>
      </c>
      <c r="K12" s="1757">
        <f>SUM(K5:K11)</f>
        <v>0</v>
      </c>
    </row>
    <row r="13" spans="1:11" ht="13.5" thickTop="1" x14ac:dyDescent="0.2">
      <c r="A13" s="2239" t="s">
        <v>370</v>
      </c>
      <c r="B13" s="2240"/>
      <c r="C13" s="2240"/>
      <c r="D13" s="2240"/>
      <c r="E13" s="2241"/>
      <c r="F13" s="785"/>
      <c r="G13" s="786"/>
      <c r="H13" s="787"/>
      <c r="I13" s="788"/>
      <c r="J13" s="788"/>
      <c r="K13" s="788"/>
    </row>
    <row r="14" spans="1:11" x14ac:dyDescent="0.2">
      <c r="A14" s="2261" t="s">
        <v>456</v>
      </c>
      <c r="B14" s="2261"/>
      <c r="C14" s="2261"/>
      <c r="D14" s="2261"/>
      <c r="E14" s="2262"/>
      <c r="F14" s="789" t="s">
        <v>854</v>
      </c>
      <c r="G14" s="782"/>
      <c r="H14" s="764">
        <v>6579</v>
      </c>
      <c r="I14" s="771"/>
      <c r="J14" s="773"/>
      <c r="K14" s="765"/>
    </row>
    <row r="15" spans="1:11" x14ac:dyDescent="0.2">
      <c r="A15" s="2228" t="s">
        <v>4</v>
      </c>
      <c r="B15" s="2228"/>
      <c r="C15" s="2228"/>
      <c r="D15" s="2228"/>
      <c r="E15" s="2256"/>
      <c r="F15" s="789" t="s">
        <v>855</v>
      </c>
      <c r="G15" s="771"/>
      <c r="H15" s="764"/>
      <c r="I15" s="764"/>
      <c r="J15" s="765"/>
      <c r="K15" s="765"/>
    </row>
    <row r="16" spans="1:11" x14ac:dyDescent="0.2">
      <c r="A16" s="2228" t="s">
        <v>298</v>
      </c>
      <c r="B16" s="2228"/>
      <c r="C16" s="2228"/>
      <c r="D16" s="2228"/>
      <c r="E16" s="2256"/>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42" t="s">
        <v>368</v>
      </c>
      <c r="B18" s="2243"/>
      <c r="C18" s="2243"/>
      <c r="D18" s="2243"/>
      <c r="E18" s="2244"/>
      <c r="F18" s="789" t="s">
        <v>932</v>
      </c>
      <c r="G18" s="782"/>
      <c r="H18" s="782"/>
      <c r="I18" s="782"/>
      <c r="J18" s="765"/>
      <c r="K18" s="795"/>
    </row>
    <row r="19" spans="1:11" ht="21.75" customHeight="1" x14ac:dyDescent="0.2">
      <c r="A19" s="2263" t="s">
        <v>1809</v>
      </c>
      <c r="B19" s="2263"/>
      <c r="C19" s="2263"/>
      <c r="D19" s="2263"/>
      <c r="E19" s="2264"/>
      <c r="F19" s="789" t="s">
        <v>933</v>
      </c>
      <c r="G19" s="782"/>
      <c r="H19" s="782"/>
      <c r="I19" s="782"/>
      <c r="J19" s="765"/>
      <c r="K19" s="795"/>
    </row>
    <row r="20" spans="1:11" x14ac:dyDescent="0.2">
      <c r="A20" s="2242" t="s">
        <v>1814</v>
      </c>
      <c r="B20" s="2243"/>
      <c r="C20" s="2243"/>
      <c r="D20" s="2243"/>
      <c r="E20" s="2244"/>
      <c r="F20" s="789" t="s">
        <v>934</v>
      </c>
      <c r="G20" s="782"/>
      <c r="H20" s="782"/>
      <c r="I20" s="782"/>
      <c r="J20" s="765"/>
      <c r="K20" s="795"/>
    </row>
    <row r="21" spans="1:11" ht="13.5" thickBot="1" x14ac:dyDescent="0.25">
      <c r="A21" s="2248" t="s">
        <v>638</v>
      </c>
      <c r="B21" s="2248"/>
      <c r="C21" s="2248"/>
      <c r="D21" s="2248"/>
      <c r="E21" s="2248"/>
      <c r="F21" s="1758"/>
      <c r="G21" s="792"/>
      <c r="H21" s="796"/>
      <c r="I21" s="796"/>
      <c r="J21" s="1759">
        <f>SUM(J18:J20)</f>
        <v>0</v>
      </c>
      <c r="K21" s="793"/>
    </row>
    <row r="22" spans="1:11" ht="13.5" thickTop="1" x14ac:dyDescent="0.2">
      <c r="A22" s="2228" t="s">
        <v>1815</v>
      </c>
      <c r="B22" s="2228"/>
      <c r="C22" s="2228"/>
      <c r="D22" s="2228"/>
      <c r="E22" s="2256"/>
      <c r="F22" s="789" t="s">
        <v>862</v>
      </c>
      <c r="G22" s="782"/>
      <c r="H22" s="764"/>
      <c r="I22" s="764"/>
      <c r="J22" s="797"/>
      <c r="K22" s="765"/>
    </row>
    <row r="23" spans="1:11" ht="13.5" thickBot="1" x14ac:dyDescent="0.25">
      <c r="A23" s="2249" t="s">
        <v>906</v>
      </c>
      <c r="B23" s="2248"/>
      <c r="C23" s="2248"/>
      <c r="D23" s="2248"/>
      <c r="E23" s="2248"/>
      <c r="F23" s="1760"/>
      <c r="G23" s="1757">
        <f>SUM(G14:G16,G21,G22)</f>
        <v>0</v>
      </c>
      <c r="H23" s="1757">
        <f>SUM(H14:H16,H21,H22)</f>
        <v>6579</v>
      </c>
      <c r="I23" s="1757">
        <f>SUM(I14:I16,I21,I22)</f>
        <v>0</v>
      </c>
      <c r="J23" s="1757">
        <f>SUM(J14:J16,J21,J22)</f>
        <v>0</v>
      </c>
      <c r="K23" s="1757">
        <f>SUM(K14:K16,K21,K22)</f>
        <v>0</v>
      </c>
    </row>
    <row r="24" spans="1:11" ht="14.25" thickTop="1" thickBot="1" x14ac:dyDescent="0.25">
      <c r="A24" s="2249" t="s">
        <v>1965</v>
      </c>
      <c r="B24" s="2248"/>
      <c r="C24" s="2248"/>
      <c r="D24" s="2248"/>
      <c r="E24" s="2248"/>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1910</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58"/>
      <c r="I31" s="2259"/>
      <c r="J31" s="2259"/>
      <c r="K31" s="2259"/>
    </row>
    <row r="32" spans="1:11" x14ac:dyDescent="0.2">
      <c r="A32" s="809"/>
      <c r="B32" s="237"/>
      <c r="C32" s="237"/>
      <c r="D32" s="237"/>
      <c r="E32" s="805"/>
      <c r="F32" s="811" t="s">
        <v>540</v>
      </c>
      <c r="G32" s="764"/>
      <c r="H32" s="2260"/>
      <c r="I32" s="2259"/>
      <c r="J32" s="2259"/>
      <c r="K32" s="2259"/>
    </row>
    <row r="33" spans="1:11" ht="1.5" customHeight="1" x14ac:dyDescent="0.2">
      <c r="A33" s="812" t="s">
        <v>1169</v>
      </c>
      <c r="B33" s="364"/>
      <c r="C33" s="364"/>
      <c r="D33" s="364"/>
      <c r="E33" s="364"/>
      <c r="F33" s="364"/>
      <c r="G33" s="813"/>
      <c r="H33" s="2260"/>
      <c r="I33" s="2259"/>
      <c r="J33" s="2259"/>
      <c r="K33" s="225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8"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8" sqref="I8:I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1909</v>
      </c>
      <c r="B1" s="2268"/>
      <c r="C1" s="2269"/>
      <c r="D1" s="826"/>
      <c r="E1" s="827"/>
      <c r="F1" s="827"/>
      <c r="G1" s="828"/>
      <c r="H1" s="829"/>
      <c r="I1" s="830"/>
      <c r="J1" s="2265"/>
      <c r="K1" s="2266"/>
      <c r="L1" s="2266"/>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5000</v>
      </c>
      <c r="D5" s="841"/>
      <c r="E5" s="841"/>
      <c r="F5" s="1759">
        <f>(C5+D5)-E5</f>
        <v>5000</v>
      </c>
      <c r="G5" s="837"/>
      <c r="H5" s="842"/>
      <c r="I5" s="842"/>
      <c r="J5" s="842"/>
      <c r="K5" s="793"/>
      <c r="L5" s="1768">
        <f>F5-K5</f>
        <v>5000</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668984</v>
      </c>
      <c r="D8" s="844"/>
      <c r="E8" s="844"/>
      <c r="F8" s="1759">
        <f>(C8+D8)-E8</f>
        <v>668984</v>
      </c>
      <c r="G8" s="843">
        <v>50</v>
      </c>
      <c r="H8" s="765">
        <v>516141</v>
      </c>
      <c r="I8" s="765">
        <f>9834+3546</f>
        <v>13380</v>
      </c>
      <c r="J8" s="765"/>
      <c r="K8" s="1768">
        <f>(H8+I8)-J8</f>
        <v>529521</v>
      </c>
      <c r="L8" s="1768">
        <f>F8-K8</f>
        <v>139463</v>
      </c>
    </row>
    <row r="9" spans="1:14" ht="14.25" thickTop="1" thickBot="1" x14ac:dyDescent="0.25">
      <c r="A9" s="778" t="s">
        <v>1119</v>
      </c>
      <c r="B9" s="840">
        <v>232</v>
      </c>
      <c r="C9" s="765">
        <v>551164</v>
      </c>
      <c r="D9" s="765">
        <v>27766</v>
      </c>
      <c r="E9" s="765"/>
      <c r="F9" s="1759">
        <f>(C9+D9)-E9</f>
        <v>578930</v>
      </c>
      <c r="G9" s="843">
        <v>20</v>
      </c>
      <c r="H9" s="765">
        <v>100123</v>
      </c>
      <c r="I9" s="765">
        <f>42095-I8</f>
        <v>28715</v>
      </c>
      <c r="J9" s="765"/>
      <c r="K9" s="1768">
        <f>(H9+I9)-J9</f>
        <v>128838</v>
      </c>
      <c r="L9" s="1768">
        <f>F9-K9</f>
        <v>450092</v>
      </c>
    </row>
    <row r="10" spans="1:14" ht="24" thickTop="1" thickBot="1" x14ac:dyDescent="0.25">
      <c r="A10" s="845" t="s">
        <v>1120</v>
      </c>
      <c r="B10" s="840">
        <v>240</v>
      </c>
      <c r="C10" s="846"/>
      <c r="D10" s="846"/>
      <c r="E10" s="846"/>
      <c r="F10" s="1763">
        <f>(C10+D10)-E10</f>
        <v>0</v>
      </c>
      <c r="G10" s="843">
        <v>20</v>
      </c>
      <c r="H10" s="847"/>
      <c r="I10" s="847"/>
      <c r="J10" s="847"/>
      <c r="K10" s="1768">
        <f>(H10+I10)-J10</f>
        <v>0</v>
      </c>
      <c r="L10" s="1768">
        <f>F10-K10</f>
        <v>0</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345598</v>
      </c>
      <c r="D12" s="844">
        <v>18743</v>
      </c>
      <c r="E12" s="844"/>
      <c r="F12" s="1759">
        <f>(C12+D12)-E12</f>
        <v>364341</v>
      </c>
      <c r="G12" s="843">
        <v>10</v>
      </c>
      <c r="H12" s="765">
        <v>299497</v>
      </c>
      <c r="I12" s="765">
        <v>11472</v>
      </c>
      <c r="J12" s="765"/>
      <c r="K12" s="1768">
        <f>(H12+I12)-J12</f>
        <v>310969</v>
      </c>
      <c r="L12" s="1768">
        <f>F12-K12</f>
        <v>53372</v>
      </c>
    </row>
    <row r="13" spans="1:14" ht="14.25" thickTop="1" thickBot="1" x14ac:dyDescent="0.25">
      <c r="A13" s="848" t="s">
        <v>1122</v>
      </c>
      <c r="B13" s="840">
        <v>252</v>
      </c>
      <c r="C13" s="844">
        <v>45684</v>
      </c>
      <c r="D13" s="844"/>
      <c r="E13" s="844"/>
      <c r="F13" s="1759">
        <f>(C13+D13)-E13</f>
        <v>45684</v>
      </c>
      <c r="G13" s="843">
        <v>5</v>
      </c>
      <c r="H13" s="765">
        <v>45684</v>
      </c>
      <c r="I13" s="765"/>
      <c r="J13" s="765"/>
      <c r="K13" s="1768">
        <f>(H13+I13)-J13</f>
        <v>45684</v>
      </c>
      <c r="L13" s="1768">
        <f>F13-K13</f>
        <v>0</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1616430</v>
      </c>
      <c r="D16" s="1759">
        <f>SUM(D3,D5:D6,D8:D10,D12:D15)</f>
        <v>46509</v>
      </c>
      <c r="E16" s="1759">
        <f>SUM(E3,E5:E6,E8:E10,E12:E15)</f>
        <v>0</v>
      </c>
      <c r="F16" s="1759">
        <f>SUM(F3,F5:F6,F8:F10,F12:F15)</f>
        <v>1662939</v>
      </c>
      <c r="G16" s="843"/>
      <c r="H16" s="1759">
        <f>SUM(H3,H6,H8:H10,H12:H14,)</f>
        <v>961445</v>
      </c>
      <c r="I16" s="1759">
        <f>SUM(I3,I6,I8:I10,I12:I14,)</f>
        <v>53567</v>
      </c>
      <c r="J16" s="1759">
        <f>SUM(J3,J6,J8:J10,J12:J14,)</f>
        <v>0</v>
      </c>
      <c r="K16" s="1759">
        <f>(H16+I16)-J16</f>
        <v>1015012</v>
      </c>
      <c r="L16" s="1759">
        <f>F16-K16</f>
        <v>647927</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53567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3"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3" t="s">
        <v>1975</v>
      </c>
      <c r="B1" s="2274"/>
      <c r="C1" s="2274"/>
      <c r="D1" s="2274"/>
      <c r="E1" s="2274"/>
      <c r="F1" s="2275"/>
      <c r="G1" s="855"/>
    </row>
    <row r="2" spans="1:7" ht="15" customHeight="1" thickBot="1" x14ac:dyDescent="0.25">
      <c r="A2" s="2276" t="s">
        <v>477</v>
      </c>
      <c r="B2" s="2277"/>
      <c r="C2" s="2277"/>
      <c r="D2" s="2277"/>
      <c r="E2" s="2277"/>
      <c r="F2" s="227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9"/>
      <c r="B5" s="2280"/>
      <c r="C5" s="2280"/>
      <c r="D5" s="2280"/>
      <c r="E5" s="2280"/>
      <c r="F5" s="2280"/>
    </row>
    <row r="6" spans="1:7" ht="13.5" customHeight="1" thickBot="1" x14ac:dyDescent="0.25">
      <c r="A6" s="2270" t="s">
        <v>1104</v>
      </c>
      <c r="B6" s="2271"/>
      <c r="C6" s="2271"/>
      <c r="D6" s="2271"/>
      <c r="E6" s="2271"/>
      <c r="F6" s="227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869478</v>
      </c>
      <c r="G8" s="865"/>
    </row>
    <row r="9" spans="1:7" x14ac:dyDescent="0.2">
      <c r="A9" s="869" t="s">
        <v>460</v>
      </c>
      <c r="B9" s="870" t="s">
        <v>1877</v>
      </c>
      <c r="C9" s="871"/>
      <c r="D9" s="869" t="s">
        <v>501</v>
      </c>
      <c r="E9" s="868"/>
      <c r="F9" s="1908">
        <f>'Expenditures 15-22'!K151</f>
        <v>113215</v>
      </c>
      <c r="G9" s="872"/>
    </row>
    <row r="10" spans="1:7" x14ac:dyDescent="0.2">
      <c r="A10" s="869" t="s">
        <v>499</v>
      </c>
      <c r="B10" s="870" t="s">
        <v>1878</v>
      </c>
      <c r="C10" s="871"/>
      <c r="D10" s="869" t="s">
        <v>501</v>
      </c>
      <c r="E10" s="868"/>
      <c r="F10" s="1908">
        <f>'Expenditures 15-22'!K174</f>
        <v>57250</v>
      </c>
      <c r="G10" s="872"/>
    </row>
    <row r="11" spans="1:7" x14ac:dyDescent="0.2">
      <c r="A11" s="869" t="s">
        <v>461</v>
      </c>
      <c r="B11" s="870" t="s">
        <v>1879</v>
      </c>
      <c r="C11" s="871"/>
      <c r="D11" s="869" t="s">
        <v>501</v>
      </c>
      <c r="E11" s="868"/>
      <c r="F11" s="1908">
        <f>'Expenditures 15-22'!K210</f>
        <v>39942</v>
      </c>
      <c r="G11" s="872"/>
    </row>
    <row r="12" spans="1:7" x14ac:dyDescent="0.2">
      <c r="A12" s="869" t="s">
        <v>462</v>
      </c>
      <c r="B12" s="870" t="s">
        <v>1880</v>
      </c>
      <c r="C12" s="871"/>
      <c r="D12" s="869" t="s">
        <v>501</v>
      </c>
      <c r="E12" s="868"/>
      <c r="F12" s="1908">
        <f>'Expenditures 15-22'!K295</f>
        <v>35031</v>
      </c>
      <c r="G12" s="872"/>
    </row>
    <row r="13" spans="1:7" x14ac:dyDescent="0.2">
      <c r="A13" s="869" t="s">
        <v>106</v>
      </c>
      <c r="B13" s="870" t="s">
        <v>1881</v>
      </c>
      <c r="C13" s="871"/>
      <c r="D13" s="869" t="s">
        <v>501</v>
      </c>
      <c r="E13" s="868"/>
      <c r="F13" s="1908">
        <f>'Expenditures 15-22'!K342</f>
        <v>145774</v>
      </c>
      <c r="G13" s="873"/>
    </row>
    <row r="14" spans="1:7" ht="12" customHeight="1" thickBot="1" x14ac:dyDescent="0.25">
      <c r="A14" s="1769"/>
      <c r="B14" s="1770"/>
      <c r="C14" s="1771"/>
      <c r="D14" s="1772" t="s">
        <v>501</v>
      </c>
      <c r="E14" s="1773" t="s">
        <v>958</v>
      </c>
      <c r="F14" s="1774">
        <f>SUM(F8:F13)</f>
        <v>1260690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3">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2002</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2">
        <f>'Expenditures 15-22'!K102</f>
        <v>81267</v>
      </c>
      <c r="G53" s="865"/>
    </row>
    <row r="54" spans="1:7" x14ac:dyDescent="0.2">
      <c r="A54" s="869" t="s">
        <v>459</v>
      </c>
      <c r="B54" s="869" t="s">
        <v>1476</v>
      </c>
      <c r="C54" s="889" t="s">
        <v>982</v>
      </c>
      <c r="D54" s="885" t="s">
        <v>1095</v>
      </c>
      <c r="E54" s="868"/>
      <c r="F54" s="1912">
        <f>'Expenditures 15-22'!G114</f>
        <v>19117</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2">
        <f>'Expenditures 15-22'!K139</f>
        <v>0</v>
      </c>
      <c r="G57" s="865"/>
    </row>
    <row r="58" spans="1:7" x14ac:dyDescent="0.2">
      <c r="A58" s="869" t="s">
        <v>460</v>
      </c>
      <c r="B58" s="869" t="s">
        <v>1883</v>
      </c>
      <c r="C58" s="886" t="s">
        <v>982</v>
      </c>
      <c r="D58" s="885" t="s">
        <v>1095</v>
      </c>
      <c r="E58" s="868"/>
      <c r="F58" s="1914">
        <f>'Expenditures 15-22'!G151</f>
        <v>0</v>
      </c>
      <c r="G58" s="865"/>
    </row>
    <row r="59" spans="1:7" x14ac:dyDescent="0.2">
      <c r="A59" s="893" t="s">
        <v>460</v>
      </c>
      <c r="B59" s="856" t="s">
        <v>1884</v>
      </c>
      <c r="C59" s="894" t="s">
        <v>982</v>
      </c>
      <c r="D59" s="856" t="s">
        <v>291</v>
      </c>
      <c r="F59" s="1915">
        <f>'Expenditures 15-22'!I151</f>
        <v>0</v>
      </c>
      <c r="G59" s="865"/>
    </row>
    <row r="60" spans="1:7" x14ac:dyDescent="0.2">
      <c r="A60" s="893" t="s">
        <v>499</v>
      </c>
      <c r="B60" s="856" t="s">
        <v>1885</v>
      </c>
      <c r="C60" s="894">
        <v>4000</v>
      </c>
      <c r="D60" s="856" t="s">
        <v>312</v>
      </c>
      <c r="F60" s="1913">
        <f>'Expenditures 15-22'!K160</f>
        <v>0</v>
      </c>
      <c r="G60" s="865"/>
    </row>
    <row r="61" spans="1:7" x14ac:dyDescent="0.2">
      <c r="A61" s="895" t="s">
        <v>499</v>
      </c>
      <c r="B61" s="895" t="s">
        <v>1886</v>
      </c>
      <c r="C61" s="896" t="str">
        <f>'Expenditures 15-22'!B170</f>
        <v>5300</v>
      </c>
      <c r="D61" s="897" t="s">
        <v>311</v>
      </c>
      <c r="E61" s="879"/>
      <c r="F61" s="1912">
        <f>'Expenditures 15-22'!K170</f>
        <v>33285</v>
      </c>
      <c r="G61" s="865"/>
    </row>
    <row r="62" spans="1:7" x14ac:dyDescent="0.2">
      <c r="A62" s="869" t="s">
        <v>461</v>
      </c>
      <c r="B62" s="869" t="s">
        <v>1887</v>
      </c>
      <c r="C62" s="886">
        <f>'Expenditures 15-22'!B185</f>
        <v>3000</v>
      </c>
      <c r="D62" s="876" t="s">
        <v>449</v>
      </c>
      <c r="E62" s="868"/>
      <c r="F62" s="1912">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2">
        <f>'Expenditures 15-22'!K196</f>
        <v>5871</v>
      </c>
      <c r="G63" s="865"/>
    </row>
    <row r="64" spans="1:7" x14ac:dyDescent="0.2">
      <c r="A64" s="895" t="s">
        <v>461</v>
      </c>
      <c r="B64" s="895" t="s">
        <v>1889</v>
      </c>
      <c r="C64" s="896" t="str">
        <f>'Expenditures 15-22'!B206</f>
        <v>5300</v>
      </c>
      <c r="D64" s="892" t="s">
        <v>311</v>
      </c>
      <c r="E64" s="868"/>
      <c r="F64" s="1912">
        <f>'Expenditures 15-22'!K206</f>
        <v>0</v>
      </c>
      <c r="G64" s="865"/>
    </row>
    <row r="65" spans="1:8" x14ac:dyDescent="0.2">
      <c r="A65" s="869" t="s">
        <v>461</v>
      </c>
      <c r="B65" s="869" t="s">
        <v>1890</v>
      </c>
      <c r="C65" s="886" t="s">
        <v>982</v>
      </c>
      <c r="D65" s="885" t="s">
        <v>1095</v>
      </c>
      <c r="E65" s="868"/>
      <c r="F65" s="1912">
        <f>'Expenditures 15-22'!G210</f>
        <v>0</v>
      </c>
      <c r="G65" s="865"/>
    </row>
    <row r="66" spans="1:8" x14ac:dyDescent="0.2">
      <c r="A66" s="869" t="s">
        <v>461</v>
      </c>
      <c r="B66" s="869" t="s">
        <v>1891</v>
      </c>
      <c r="C66" s="886" t="s">
        <v>982</v>
      </c>
      <c r="D66" s="885" t="s">
        <v>291</v>
      </c>
      <c r="E66" s="868"/>
      <c r="F66" s="1912">
        <f>'Expenditures 15-22'!I210</f>
        <v>0</v>
      </c>
      <c r="G66" s="865"/>
    </row>
    <row r="67" spans="1:8" x14ac:dyDescent="0.2">
      <c r="A67" s="869" t="s">
        <v>462</v>
      </c>
      <c r="B67" s="869" t="s">
        <v>1892</v>
      </c>
      <c r="C67" s="886" t="str">
        <f>'Expenditures 15-22'!B216</f>
        <v>1125</v>
      </c>
      <c r="D67" s="892" t="str">
        <f>'Expenditures 15-22'!A216</f>
        <v>Pre-K Programs</v>
      </c>
      <c r="E67" s="868"/>
      <c r="F67" s="1912">
        <f>'Expenditures 15-22'!K216</f>
        <v>0</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1894</v>
      </c>
      <c r="C70" s="886">
        <f>'Expenditures 15-22'!B221</f>
        <v>1300</v>
      </c>
      <c r="D70" s="887" t="str">
        <f>'Expenditures 15-22'!A221</f>
        <v>Adult/Continuing Education Programs</v>
      </c>
      <c r="E70" s="868"/>
      <c r="F70" s="1912">
        <f>'Expenditures 15-22'!K221</f>
        <v>0</v>
      </c>
      <c r="G70" s="865"/>
    </row>
    <row r="71" spans="1:8" x14ac:dyDescent="0.2">
      <c r="A71" s="869" t="s">
        <v>462</v>
      </c>
      <c r="B71" s="869" t="s">
        <v>1895</v>
      </c>
      <c r="C71" s="886">
        <f>'Expenditures 15-22'!B224</f>
        <v>1600</v>
      </c>
      <c r="D71" s="887" t="str">
        <f>'Expenditures 15-22'!A224</f>
        <v>Summer School Programs</v>
      </c>
      <c r="E71" s="868"/>
      <c r="F71" s="1912">
        <f>'Expenditures 15-22'!K224</f>
        <v>0</v>
      </c>
      <c r="G71" s="865"/>
    </row>
    <row r="72" spans="1:8" x14ac:dyDescent="0.2">
      <c r="A72" s="869" t="s">
        <v>462</v>
      </c>
      <c r="B72" s="869" t="s">
        <v>1896</v>
      </c>
      <c r="C72" s="886">
        <f>'Expenditures 15-22'!B280</f>
        <v>3000</v>
      </c>
      <c r="D72" s="876" t="s">
        <v>449</v>
      </c>
      <c r="E72" s="868"/>
      <c r="F72" s="1912">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1898</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139540</v>
      </c>
      <c r="G76" s="865"/>
    </row>
    <row r="77" spans="1:8" s="893" customFormat="1" ht="12" customHeight="1" thickTop="1" thickBot="1" x14ac:dyDescent="0.25">
      <c r="A77" s="1778"/>
      <c r="B77" s="1775"/>
      <c r="C77" s="1771"/>
      <c r="D77" s="1776" t="s">
        <v>1900</v>
      </c>
      <c r="E77" s="1773"/>
      <c r="F77" s="1779">
        <f>(F14-F76)</f>
        <v>1121150</v>
      </c>
      <c r="G77" s="869"/>
    </row>
    <row r="78" spans="1:8" s="893" customFormat="1" ht="12" customHeight="1" thickTop="1" x14ac:dyDescent="0.2">
      <c r="A78" s="1780"/>
      <c r="B78" s="1775"/>
      <c r="C78" s="1771"/>
      <c r="D78" s="1776" t="s">
        <v>2062</v>
      </c>
      <c r="E78" s="1773"/>
      <c r="F78" s="898">
        <v>83.36</v>
      </c>
      <c r="G78" s="899"/>
      <c r="H78" s="869"/>
    </row>
    <row r="79" spans="1:8" s="893" customFormat="1" ht="12" customHeight="1" thickBot="1" x14ac:dyDescent="0.25">
      <c r="A79" s="1781"/>
      <c r="B79" s="1775"/>
      <c r="C79" s="1771"/>
      <c r="D79" s="1776" t="s">
        <v>1901</v>
      </c>
      <c r="E79" s="1773" t="s">
        <v>958</v>
      </c>
      <c r="F79" s="1782">
        <f>IF(F78&gt;0,F77/F78," Complete Line 78")</f>
        <v>13449.496161228408</v>
      </c>
      <c r="G79" s="869"/>
    </row>
    <row r="80" spans="1:8" s="893" customFormat="1" ht="8.25" customHeight="1" thickTop="1" x14ac:dyDescent="0.2">
      <c r="A80" s="900"/>
      <c r="B80" s="869"/>
      <c r="C80" s="871"/>
      <c r="D80" s="901"/>
      <c r="E80" s="868"/>
      <c r="F80" s="902"/>
      <c r="G80" s="869"/>
    </row>
    <row r="81" spans="1:7" s="893" customFormat="1" ht="12" thickBot="1" x14ac:dyDescent="0.25">
      <c r="A81" s="2270" t="s">
        <v>1105</v>
      </c>
      <c r="B81" s="2271"/>
      <c r="C81" s="2271"/>
      <c r="D81" s="2271"/>
      <c r="E81" s="2271"/>
      <c r="F81" s="227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5337</v>
      </c>
      <c r="G94" s="912"/>
    </row>
    <row r="95" spans="1:7" x14ac:dyDescent="0.2">
      <c r="A95" s="908" t="s">
        <v>140</v>
      </c>
      <c r="B95" s="908" t="s">
        <v>175</v>
      </c>
      <c r="C95" s="910">
        <v>1700</v>
      </c>
      <c r="D95" s="918" t="str">
        <f>'Revenues 9-14'!A82</f>
        <v>Total District/School Activity Income</v>
      </c>
      <c r="E95" s="906"/>
      <c r="F95" s="1788">
        <f>SUM('Revenues 9-14'!C82,'Revenues 9-14'!D82)</f>
        <v>4760</v>
      </c>
      <c r="G95" s="912"/>
    </row>
    <row r="96" spans="1:7" x14ac:dyDescent="0.2">
      <c r="A96" s="908" t="s">
        <v>459</v>
      </c>
      <c r="B96" s="908" t="s">
        <v>176</v>
      </c>
      <c r="C96" s="910">
        <f>'Revenues 9-14'!B84</f>
        <v>1811</v>
      </c>
      <c r="D96" s="911" t="str">
        <f>'Revenues 9-14'!A84</f>
        <v>Rentals - Regular Textbooks</v>
      </c>
      <c r="E96" s="906"/>
      <c r="F96" s="1788">
        <f>'Revenues 9-14'!C84</f>
        <v>0</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16515</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2003</v>
      </c>
      <c r="C105" s="913">
        <v>3100</v>
      </c>
      <c r="D105" s="919" t="str">
        <f>'Revenues 9-14'!A132</f>
        <v>Total Special Education</v>
      </c>
      <c r="E105" s="906"/>
      <c r="F105" s="1788">
        <f>SUM('Revenues 9-14'!C132:D132,'Revenues 9-14'!F132)</f>
        <v>0</v>
      </c>
      <c r="G105" s="912"/>
    </row>
    <row r="106" spans="1:7" x14ac:dyDescent="0.2">
      <c r="A106" s="908" t="s">
        <v>673</v>
      </c>
      <c r="B106" s="908" t="s">
        <v>2004</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2005</v>
      </c>
      <c r="C107" s="920">
        <v>3300</v>
      </c>
      <c r="D107" s="911" t="str">
        <f>'Revenues 9-14'!A145</f>
        <v>Total Bilingual Ed</v>
      </c>
      <c r="E107" s="906"/>
      <c r="F107" s="1788">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8">
        <f>'Revenues 9-14'!C146</f>
        <v>246</v>
      </c>
      <c r="G108" s="912"/>
    </row>
    <row r="109" spans="1:7" x14ac:dyDescent="0.2">
      <c r="A109" s="908" t="s">
        <v>673</v>
      </c>
      <c r="B109" s="908" t="s">
        <v>2007</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8">
        <f>SUM('Revenues 9-14'!C148,'Revenues 9-14'!D148)</f>
        <v>0</v>
      </c>
      <c r="G110" s="912"/>
    </row>
    <row r="111" spans="1:7" x14ac:dyDescent="0.2">
      <c r="A111" s="908" t="s">
        <v>668</v>
      </c>
      <c r="B111" s="908" t="s">
        <v>2009</v>
      </c>
      <c r="C111" s="922">
        <v>3500</v>
      </c>
      <c r="D111" s="911" t="str">
        <f>'Revenues 9-14'!A155</f>
        <v>Total Transportation</v>
      </c>
      <c r="E111" s="906"/>
      <c r="F111" s="1788">
        <f>SUM('Revenues 9-14'!C155,'Revenues 9-14'!D155,'Revenues 9-14'!F155,'Revenues 9-14'!G155)</f>
        <v>6792</v>
      </c>
      <c r="G111" s="912"/>
    </row>
    <row r="112" spans="1:7" x14ac:dyDescent="0.2">
      <c r="A112" s="908" t="s">
        <v>459</v>
      </c>
      <c r="B112" s="908" t="s">
        <v>2010</v>
      </c>
      <c r="C112" s="920">
        <f>'Revenues 9-14'!B156</f>
        <v>3610</v>
      </c>
      <c r="D112" s="911" t="str">
        <f>'Revenues 9-14'!A156</f>
        <v>Learning Improvement - Change Grants</v>
      </c>
      <c r="E112" s="906"/>
      <c r="F112" s="1788">
        <f>'Revenues 9-14'!C156</f>
        <v>0</v>
      </c>
      <c r="G112" s="912"/>
    </row>
    <row r="113" spans="1:7" x14ac:dyDescent="0.2">
      <c r="A113" s="908" t="s">
        <v>668</v>
      </c>
      <c r="B113" s="908" t="s">
        <v>2011</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6">
        <f>SUM('Revenues 9-14'!C163:G163)</f>
        <v>0</v>
      </c>
      <c r="G118" s="912"/>
    </row>
    <row r="119" spans="1:7" x14ac:dyDescent="0.2">
      <c r="A119" s="923" t="s">
        <v>504</v>
      </c>
      <c r="B119" s="923" t="s">
        <v>2017</v>
      </c>
      <c r="C119" s="924">
        <f>'Revenues 9-14'!B164</f>
        <v>3815</v>
      </c>
      <c r="D119" s="925" t="str">
        <f>'Revenues 9-14'!A164</f>
        <v>State Charter Schools</v>
      </c>
      <c r="E119" s="906"/>
      <c r="F119" s="1906">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8">
        <f>'Revenues 9-14'!D167</f>
        <v>0</v>
      </c>
      <c r="G120" s="930"/>
    </row>
    <row r="121" spans="1:7" x14ac:dyDescent="0.2">
      <c r="A121" s="927" t="s">
        <v>500</v>
      </c>
      <c r="B121" s="927" t="s">
        <v>2019</v>
      </c>
      <c r="C121" s="928">
        <f>'Revenues 9-14'!B168</f>
        <v>3999</v>
      </c>
      <c r="D121" s="929" t="s">
        <v>543</v>
      </c>
      <c r="E121" s="931"/>
      <c r="F121" s="1788">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8">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2022</v>
      </c>
      <c r="C124" s="932">
        <v>4100</v>
      </c>
      <c r="D124" s="933" t="str">
        <f>'Revenues 9-14'!A188</f>
        <v>Total Title V</v>
      </c>
      <c r="E124" s="906"/>
      <c r="F124" s="1788">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8">
        <f>SUM('Revenues 9-14'!C198,'Revenues 9-14'!G198)</f>
        <v>13946</v>
      </c>
      <c r="G125" s="930"/>
    </row>
    <row r="126" spans="1:7" x14ac:dyDescent="0.2">
      <c r="A126" s="927" t="s">
        <v>668</v>
      </c>
      <c r="B126" s="927" t="s">
        <v>2024</v>
      </c>
      <c r="C126" s="932">
        <v>4300</v>
      </c>
      <c r="D126" s="933" t="str">
        <f>'Revenues 9-14'!A204</f>
        <v>Total Title I</v>
      </c>
      <c r="E126" s="906"/>
      <c r="F126" s="1788">
        <f>SUM('Revenues 9-14'!C204,'Revenues 9-14'!D204,'Revenues 9-14'!F204,'Revenues 9-14'!G204)</f>
        <v>9646</v>
      </c>
      <c r="G126" s="930"/>
    </row>
    <row r="127" spans="1:7" x14ac:dyDescent="0.2">
      <c r="A127" s="927" t="s">
        <v>668</v>
      </c>
      <c r="B127" s="927" t="s">
        <v>2025</v>
      </c>
      <c r="C127" s="932">
        <v>4400</v>
      </c>
      <c r="D127" s="933" t="str">
        <f>'Revenues 9-14'!A209</f>
        <v>Total Title IV</v>
      </c>
      <c r="E127" s="906"/>
      <c r="F127" s="1788">
        <f>SUM('Revenues 9-14'!C209,'Revenues 9-14'!D209,'Revenues 9-14'!F209,'Revenues 9-14'!G209)</f>
        <v>11763</v>
      </c>
      <c r="G127" s="930"/>
    </row>
    <row r="128" spans="1:7" x14ac:dyDescent="0.2">
      <c r="A128" s="927" t="s">
        <v>668</v>
      </c>
      <c r="B128" s="927" t="s">
        <v>2026</v>
      </c>
      <c r="C128" s="932">
        <f>'Revenues 9-14'!B213</f>
        <v>4620</v>
      </c>
      <c r="D128" s="933" t="str">
        <f>'Revenues 9-14'!A213</f>
        <v>Fed - Spec Education - IDEA - Flow Through</v>
      </c>
      <c r="E128" s="906"/>
      <c r="F128" s="1788">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2029</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8">
        <v>0</v>
      </c>
      <c r="G138" s="905"/>
    </row>
    <row r="139" spans="1:7" s="867" customFormat="1" hidden="1" x14ac:dyDescent="0.2">
      <c r="A139" s="934" t="s">
        <v>206</v>
      </c>
      <c r="B139" s="934" t="s">
        <v>2036</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9-14'!C253)</f>
        <v>0</v>
      </c>
      <c r="G158" s="905"/>
    </row>
    <row r="159" spans="1:7" s="867" customFormat="1" x14ac:dyDescent="0.2">
      <c r="A159" s="938" t="s">
        <v>500</v>
      </c>
      <c r="B159" s="939" t="s">
        <v>2046</v>
      </c>
      <c r="C159" s="940" t="s">
        <v>1466</v>
      </c>
      <c r="D159" s="941" t="s">
        <v>1467</v>
      </c>
      <c r="E159" s="942"/>
      <c r="F159" s="1788">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6">
        <f>SUM('Revenues 9-14'!C259,'Revenues 9-14'!D259,'Revenues 9-14'!F259,'Revenues 9-14'!G259)</f>
        <v>1488</v>
      </c>
      <c r="G164" s="930"/>
    </row>
    <row r="165" spans="1:7" x14ac:dyDescent="0.2">
      <c r="A165" s="927" t="s">
        <v>668</v>
      </c>
      <c r="B165" s="927" t="s">
        <v>2052</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8">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8">
        <f>SUM('Revenues 9-14'!C264:D264,'Revenues 9-14'!F264:G264)</f>
        <v>499</v>
      </c>
      <c r="G169" s="947"/>
    </row>
    <row r="170" spans="1:7" x14ac:dyDescent="0.2">
      <c r="A170" s="948" t="s">
        <v>668</v>
      </c>
      <c r="B170" s="944" t="s">
        <v>2055</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1920</v>
      </c>
      <c r="C171" s="1919">
        <v>3100</v>
      </c>
      <c r="D171" s="1920" t="s">
        <v>1922</v>
      </c>
      <c r="E171" s="906"/>
      <c r="F171" s="1905">
        <v>23006</v>
      </c>
      <c r="G171" s="927"/>
    </row>
    <row r="172" spans="1:7" x14ac:dyDescent="0.2">
      <c r="A172" s="1917" t="s">
        <v>664</v>
      </c>
      <c r="B172" s="1918" t="s">
        <v>1920</v>
      </c>
      <c r="C172" s="1919">
        <v>3300</v>
      </c>
      <c r="D172" s="1920" t="s">
        <v>1923</v>
      </c>
      <c r="E172" s="906"/>
      <c r="F172" s="1905">
        <v>0</v>
      </c>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93998</v>
      </c>
    </row>
    <row r="175" spans="1:7" ht="12" customHeight="1" x14ac:dyDescent="0.2">
      <c r="A175" s="1769"/>
      <c r="B175" s="1783"/>
      <c r="C175" s="1784"/>
      <c r="D175" s="1785" t="s">
        <v>2057</v>
      </c>
      <c r="E175" s="1786"/>
      <c r="F175" s="1788">
        <f>'PCTC-OEPP 27-28'!F77-F174</f>
        <v>1027152</v>
      </c>
    </row>
    <row r="176" spans="1:7" ht="12" customHeight="1" x14ac:dyDescent="0.2">
      <c r="A176" s="1769"/>
      <c r="B176" s="1783"/>
      <c r="C176" s="1784"/>
      <c r="D176" s="1785" t="s">
        <v>1817</v>
      </c>
      <c r="E176" s="1786"/>
      <c r="F176" s="1788">
        <f>'Cap Outlay Deprec 26'!I18</f>
        <v>53567</v>
      </c>
    </row>
    <row r="177" spans="1:7" ht="12" customHeight="1" x14ac:dyDescent="0.2">
      <c r="A177" s="1769"/>
      <c r="B177" s="1783"/>
      <c r="C177" s="1784"/>
      <c r="D177" s="1785" t="s">
        <v>2058</v>
      </c>
      <c r="E177" s="1786"/>
      <c r="F177" s="1788">
        <f>F175+F176</f>
        <v>1080719</v>
      </c>
    </row>
    <row r="178" spans="1:7" ht="12" customHeight="1" x14ac:dyDescent="0.2">
      <c r="A178" s="1769"/>
      <c r="B178" s="1789"/>
      <c r="C178" s="1784"/>
      <c r="D178" s="1785" t="str">
        <f>D78</f>
        <v>9 Month ADA from District Average Daily Attendance/Prior General State Aid Inquiry 2018-2019</v>
      </c>
      <c r="E178" s="1786"/>
      <c r="F178" s="1790">
        <f>'PCTC-OEPP 27-28'!F78</f>
        <v>83.36</v>
      </c>
      <c r="G178" s="930"/>
    </row>
    <row r="179" spans="1:7" ht="12" customHeight="1" thickBot="1" x14ac:dyDescent="0.25">
      <c r="A179" s="1769"/>
      <c r="B179" s="1789"/>
      <c r="C179" s="1784"/>
      <c r="D179" s="1785" t="s">
        <v>2059</v>
      </c>
      <c r="E179" s="1786" t="s">
        <v>1545</v>
      </c>
      <c r="F179" s="1791">
        <f>F177/F178</f>
        <v>12964.479366602687</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9"/>
      <c r="D184" s="930"/>
      <c r="E184" s="949"/>
      <c r="F184" s="930"/>
      <c r="G184" s="930"/>
    </row>
    <row r="185" spans="1:7" x14ac:dyDescent="0.2">
      <c r="A185" s="1925" t="s">
        <v>1925</v>
      </c>
      <c r="B185" s="1926"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4" zoomScaleNormal="100" workbookViewId="0">
      <selection activeCell="D18" sqref="D18"/>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84" t="s">
        <v>1818</v>
      </c>
      <c r="B4" s="2285"/>
      <c r="C4" s="2285"/>
      <c r="D4" s="2285"/>
      <c r="E4" s="2285"/>
      <c r="F4" s="2285"/>
      <c r="G4" s="2286"/>
    </row>
    <row r="5" spans="1:7" x14ac:dyDescent="0.25">
      <c r="A5" s="2287"/>
      <c r="B5" s="2288"/>
      <c r="C5" s="2288"/>
      <c r="D5" s="2288"/>
      <c r="E5" s="2288"/>
      <c r="F5" s="2288"/>
      <c r="G5" s="2289"/>
    </row>
    <row r="6" spans="1:7" ht="18.75" x14ac:dyDescent="0.25">
      <c r="A6" s="1533" t="s">
        <v>1819</v>
      </c>
      <c r="B6" s="1534"/>
      <c r="C6" s="1534"/>
      <c r="D6" s="1534"/>
      <c r="E6" s="1534"/>
      <c r="F6" s="1534"/>
      <c r="G6" s="1535"/>
    </row>
    <row r="7" spans="1:7" ht="30.75" customHeight="1" x14ac:dyDescent="0.25">
      <c r="A7" s="2290" t="s">
        <v>1932</v>
      </c>
      <c r="B7" s="2291"/>
      <c r="C7" s="2291"/>
      <c r="D7" s="2291"/>
      <c r="E7" s="2291"/>
      <c r="F7" s="2291"/>
      <c r="G7" s="2292"/>
    </row>
    <row r="8" spans="1:7" ht="15.75" customHeight="1" x14ac:dyDescent="0.25">
      <c r="A8" s="2293" t="s">
        <v>1907</v>
      </c>
      <c r="B8" s="2294"/>
      <c r="C8" s="2294"/>
      <c r="D8" s="2294"/>
      <c r="E8" s="2294"/>
      <c r="F8" s="2294"/>
      <c r="G8" s="2295"/>
    </row>
    <row r="9" spans="1:7" ht="35.25" customHeight="1" x14ac:dyDescent="0.25">
      <c r="A9" s="2290" t="s">
        <v>1935</v>
      </c>
      <c r="B9" s="2291"/>
      <c r="C9" s="2291"/>
      <c r="D9" s="2291"/>
      <c r="E9" s="2291"/>
      <c r="F9" s="2291"/>
      <c r="G9" s="2292"/>
    </row>
    <row r="10" spans="1:7" ht="15" customHeight="1" x14ac:dyDescent="0.25">
      <c r="A10" s="1536" t="s">
        <v>1820</v>
      </c>
      <c r="B10" s="1537"/>
      <c r="C10" s="1537"/>
      <c r="D10" s="1537"/>
      <c r="E10" s="1537"/>
      <c r="F10" s="1537"/>
      <c r="G10" s="1538"/>
    </row>
    <row r="11" spans="1:7" ht="17.25" customHeight="1" x14ac:dyDescent="0.25">
      <c r="A11" s="2290" t="s">
        <v>1934</v>
      </c>
      <c r="B11" s="2291"/>
      <c r="C11" s="2291"/>
      <c r="D11" s="2291"/>
      <c r="E11" s="2291"/>
      <c r="F11" s="2291"/>
      <c r="G11" s="2292"/>
    </row>
    <row r="12" spans="1:7" ht="15" customHeight="1" x14ac:dyDescent="0.25">
      <c r="A12" s="1536" t="s">
        <v>1825</v>
      </c>
      <c r="B12" s="1537"/>
      <c r="C12" s="1537"/>
      <c r="D12" s="1537"/>
      <c r="E12" s="1537"/>
      <c r="F12" s="1537"/>
      <c r="G12" s="1538"/>
    </row>
    <row r="13" spans="1:7" ht="32.25" customHeight="1" x14ac:dyDescent="0.25">
      <c r="A13" s="2281" t="s">
        <v>1976</v>
      </c>
      <c r="B13" s="2282"/>
      <c r="C13" s="2282"/>
      <c r="D13" s="2282"/>
      <c r="E13" s="2282"/>
      <c r="F13" s="2282"/>
      <c r="G13" s="2283"/>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41" t="s">
        <v>2087</v>
      </c>
      <c r="B17" s="1940" t="s">
        <v>2088</v>
      </c>
      <c r="C17" s="1939" t="s">
        <v>2086</v>
      </c>
      <c r="D17" s="1843">
        <v>21118</v>
      </c>
      <c r="E17" s="1539">
        <f t="shared" ref="E17:E141" si="0">IF(D17&lt;=25000,D17,IF(D17&gt;25000,25000,0))</f>
        <v>21118</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21118</v>
      </c>
      <c r="G17" s="1792">
        <f>IF(F17=0,0,D17-F17)</f>
        <v>0</v>
      </c>
      <c r="H17" s="1646"/>
    </row>
    <row r="18" spans="1:8" x14ac:dyDescent="0.25">
      <c r="A18" s="1652"/>
      <c r="B18" s="1933"/>
      <c r="C18" s="1655"/>
      <c r="D18" s="1843"/>
      <c r="E18" s="1539">
        <f t="shared" ref="E18:E140" si="2">IF(D18&lt;=25000,D18,IF(D18&gt;25000,25000,0))</f>
        <v>0</v>
      </c>
      <c r="F18" s="1931">
        <f t="shared" si="1"/>
        <v>0</v>
      </c>
      <c r="G18" s="1792">
        <f t="shared" ref="G18:G140" si="3">IF(F18=0,0,D18-F18)</f>
        <v>0</v>
      </c>
    </row>
    <row r="19" spans="1:8" x14ac:dyDescent="0.25">
      <c r="A19" s="1652"/>
      <c r="B19" s="1933"/>
      <c r="C19" s="1655"/>
      <c r="D19" s="1843"/>
      <c r="E19" s="1539">
        <f t="shared" si="2"/>
        <v>0</v>
      </c>
      <c r="F19" s="1931">
        <f t="shared" si="1"/>
        <v>0</v>
      </c>
      <c r="G19" s="1792">
        <f t="shared" si="3"/>
        <v>0</v>
      </c>
    </row>
    <row r="20" spans="1:8" x14ac:dyDescent="0.25">
      <c r="A20" s="1652"/>
      <c r="B20" s="1933"/>
      <c r="C20" s="1655"/>
      <c r="D20" s="1843"/>
      <c r="E20" s="1539">
        <f t="shared" si="2"/>
        <v>0</v>
      </c>
      <c r="F20" s="1931">
        <f t="shared" si="1"/>
        <v>0</v>
      </c>
      <c r="G20" s="1792">
        <f t="shared" si="3"/>
        <v>0</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21118</v>
      </c>
      <c r="E141" s="1540">
        <f t="shared" si="0"/>
        <v>21118</v>
      </c>
      <c r="F141" s="1932">
        <f>SUM(F17:F140)</f>
        <v>21118</v>
      </c>
      <c r="G141" s="1794">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O7" sqref="O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6" t="s">
        <v>1679</v>
      </c>
      <c r="B5" s="2297"/>
      <c r="C5" s="2297"/>
      <c r="D5" s="2297"/>
      <c r="E5" s="2297"/>
      <c r="F5" s="2297"/>
      <c r="G5" s="2298"/>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301" t="s">
        <v>1977</v>
      </c>
      <c r="B11" s="2302"/>
      <c r="C11" s="2302"/>
      <c r="D11" s="2303"/>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597478</v>
      </c>
      <c r="F19" s="1798"/>
      <c r="G19" s="1800">
        <f>'Expenditures 15-22'!K33-SUM('Expenditures 15-22'!G33,'Expenditures 15-22'!I33)+'Expenditures 15-22'!D229</f>
        <v>597478</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0</v>
      </c>
      <c r="F21" s="1801"/>
      <c r="G21" s="1804">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1"/>
      <c r="E22" s="1803">
        <f>'Expenditures 15-22'!K47-SUM('Expenditures 15-22'!G47,'Expenditures 15-22'!I47)+'Expenditures 15-22'!D243</f>
        <v>1055</v>
      </c>
      <c r="F22" s="1801"/>
      <c r="G22" s="1804">
        <f>'Expenditures 15-22'!K47-SUM('Expenditures 15-22'!G47,'Expenditures 15-22'!I47)+'Expenditures 15-22'!D243</f>
        <v>1055</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275330</v>
      </c>
      <c r="F23" s="1801"/>
      <c r="G23" s="1803">
        <f>'Expenditures 15-22'!K53-SUM('Expenditures 15-22'!G53,'Expenditures 15-22'!I53)+'Expenditures 15-22'!D257+'Expenditures 15-22'!K330-SUM('Expenditures 15-22'!G330,'Expenditures 15-22'!I330)</f>
        <v>275330</v>
      </c>
      <c r="H23" s="987"/>
      <c r="I23" s="162"/>
    </row>
    <row r="24" spans="1:9" s="668" customFormat="1" ht="12" customHeight="1" x14ac:dyDescent="0.2">
      <c r="A24" s="994" t="s">
        <v>566</v>
      </c>
      <c r="B24" s="995"/>
      <c r="C24" s="993">
        <v>2400</v>
      </c>
      <c r="D24" s="1801"/>
      <c r="E24" s="1803">
        <f>'Expenditures 15-22'!K57-SUM('Expenditures 15-22'!G57,'Expenditures 15-22'!I57)+'Expenditures 15-22'!D261</f>
        <v>23481</v>
      </c>
      <c r="F24" s="1801"/>
      <c r="G24" s="1804">
        <f>'Expenditures 15-22'!K57-SUM('Expenditures 15-22'!G57,'Expenditures 15-22'!I57)+'Expenditures 15-22'!D261</f>
        <v>23481</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18165</v>
      </c>
      <c r="E27" s="1803">
        <f>E8</f>
        <v>0</v>
      </c>
      <c r="F27" s="1803">
        <f>'Expenditures 15-22'!K60-SUM('Expenditures 15-22'!G60,'Expenditures 15-22'!I60)+'Expenditures 15-22'!D264-E8</f>
        <v>18165</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118579</v>
      </c>
      <c r="F28" s="1805">
        <f>'Expenditures 15-22'!K61-SUM('Expenditures 15-22'!G61,'Expenditures 15-22'!I61)+'Expenditures 15-22'!K124-SUM('Expenditures 15-22'!G124,'Expenditures 15-22'!I124)+'Expenditures 15-22'!D266-E9</f>
        <v>118579</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37168</v>
      </c>
      <c r="F29" s="1801"/>
      <c r="G29" s="1804">
        <f>'Expenditures 15-22'!K62-SUM('Expenditures 15-22'!G62,'Expenditures 15-22'!I62)+'Expenditures 15-22'!K125-SUM('Expenditures 15-22'!G125,'Expenditures 15-22'!I125)+'Expenditures 15-22'!K182-SUM('Expenditures 15-22'!G182,'Expenditures 15-22'!I182)+'Expenditures 15-22'!D267</f>
        <v>37168</v>
      </c>
      <c r="H29" s="985"/>
    </row>
    <row r="30" spans="1:9" ht="12" customHeight="1" x14ac:dyDescent="0.2">
      <c r="A30" s="994" t="s">
        <v>100</v>
      </c>
      <c r="B30" s="997"/>
      <c r="C30" s="993">
        <v>2560</v>
      </c>
      <c r="D30" s="1801"/>
      <c r="E30" s="1803">
        <f>'Expenditures 15-22'!K63-SUM('Expenditures 15-22'!G63,'Expenditures 15-22'!I63)+'Expenditures 15-22'!D268-E10</f>
        <v>25929</v>
      </c>
      <c r="F30" s="1801"/>
      <c r="G30" s="1803">
        <f>'Expenditures 15-22'!K63-SUM('Expenditures 15-22'!G63,'Expenditures 15-22'!I63)+'Expenditures 15-22'!D268-E10</f>
        <v>25929</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0</v>
      </c>
      <c r="F39" s="1801"/>
      <c r="G39" s="180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1"/>
      <c r="E40" s="1805">
        <f>-'Contracts Paid in CY 29'!G141</f>
        <v>0</v>
      </c>
      <c r="F40" s="1801"/>
      <c r="G40" s="1805">
        <f>-'Contracts Paid in CY 29'!G141</f>
        <v>0</v>
      </c>
    </row>
    <row r="41" spans="1:7" ht="12" customHeight="1" x14ac:dyDescent="0.2">
      <c r="A41" s="998" t="s">
        <v>156</v>
      </c>
      <c r="B41" s="999"/>
      <c r="C41" s="1000"/>
      <c r="D41" s="1805">
        <f>SUM(D19:D39)</f>
        <v>18165</v>
      </c>
      <c r="E41" s="1805">
        <f>SUM(E19:E40)</f>
        <v>1079020</v>
      </c>
      <c r="F41" s="1805">
        <f>SUM(F19:F39)</f>
        <v>136744</v>
      </c>
      <c r="G41" s="1805">
        <f>SUM(G19:G40)</f>
        <v>960441</v>
      </c>
    </row>
    <row r="42" spans="1:7" x14ac:dyDescent="0.2">
      <c r="A42" s="987"/>
      <c r="B42" s="162"/>
      <c r="C42" s="1001"/>
      <c r="D42" s="2299" t="s">
        <v>522</v>
      </c>
      <c r="E42" s="2300"/>
      <c r="F42" s="1002" t="s">
        <v>523</v>
      </c>
      <c r="G42" s="1003"/>
    </row>
    <row r="43" spans="1:7" ht="12" customHeight="1" x14ac:dyDescent="0.2">
      <c r="A43" s="987"/>
      <c r="B43" s="162"/>
      <c r="C43" s="1001"/>
      <c r="D43" s="1806" t="s">
        <v>473</v>
      </c>
      <c r="E43" s="1807">
        <f>D41</f>
        <v>18165</v>
      </c>
      <c r="F43" s="1806" t="s">
        <v>473</v>
      </c>
      <c r="G43" s="1807">
        <f>F41</f>
        <v>136744</v>
      </c>
    </row>
    <row r="44" spans="1:7" ht="12" customHeight="1" x14ac:dyDescent="0.2">
      <c r="A44" s="987"/>
      <c r="B44" s="162"/>
      <c r="C44" s="1001"/>
      <c r="D44" s="1806" t="s">
        <v>474</v>
      </c>
      <c r="E44" s="1807">
        <f>E41</f>
        <v>1079020</v>
      </c>
      <c r="F44" s="1806" t="s">
        <v>474</v>
      </c>
      <c r="G44" s="1807">
        <f>G41</f>
        <v>960441</v>
      </c>
    </row>
    <row r="45" spans="1:7" ht="12" customHeight="1" x14ac:dyDescent="0.2">
      <c r="A45" s="987"/>
      <c r="B45" s="162"/>
      <c r="C45" s="162"/>
      <c r="D45" s="1808" t="s">
        <v>1006</v>
      </c>
      <c r="E45" s="1809">
        <f>(E43/E44)</f>
        <v>1.6834720394431985E-2</v>
      </c>
      <c r="F45" s="1808" t="s">
        <v>1006</v>
      </c>
      <c r="G45" s="1809">
        <f>(G43/G44)</f>
        <v>0.1423762625710481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4" activePane="bottomLeft" state="frozen"/>
      <selection activeCell="A47" sqref="A47"/>
      <selection pane="bottomLeft" activeCell="A31" sqref="A31"/>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7" t="s">
        <v>1379</v>
      </c>
      <c r="B1" s="2307"/>
      <c r="C1" s="2307"/>
      <c r="D1" s="2307"/>
      <c r="E1" s="2307"/>
      <c r="F1" s="2307"/>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308" t="s">
        <v>1546</v>
      </c>
      <c r="B5" s="2309"/>
      <c r="C5" s="2310"/>
      <c r="D5" s="2310"/>
      <c r="E5" s="2310"/>
      <c r="F5" s="2310"/>
    </row>
    <row r="6" spans="1:10" ht="12" customHeight="1" x14ac:dyDescent="0.25">
      <c r="A6" s="1849"/>
      <c r="B6" s="1850"/>
      <c r="C6" s="2311" t="str">
        <f>COVER!A17</f>
        <v>Creston CCSD 161</v>
      </c>
      <c r="D6" s="2311"/>
      <c r="E6" s="2311"/>
      <c r="F6" s="1851"/>
    </row>
    <row r="7" spans="1:10" ht="11.25" customHeight="1" thickBot="1" x14ac:dyDescent="0.3">
      <c r="A7" s="1849"/>
      <c r="B7" s="1850"/>
      <c r="C7" s="2312">
        <f>COVER!A13</f>
        <v>47071161004</v>
      </c>
      <c r="D7" s="2312"/>
      <c r="E7" s="2312"/>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t="s">
        <v>2081</v>
      </c>
      <c r="D16" s="1864" t="s">
        <v>2081</v>
      </c>
      <c r="E16" s="1867"/>
      <c r="F16" s="1866" t="s">
        <v>2086</v>
      </c>
      <c r="H16" s="1877">
        <f t="shared" si="0"/>
        <v>5</v>
      </c>
      <c r="I16" s="1877">
        <f t="shared" si="1"/>
        <v>5</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943" t="s">
        <v>2081</v>
      </c>
      <c r="D25" s="1943" t="s">
        <v>2081</v>
      </c>
      <c r="E25" s="1945"/>
      <c r="F25" s="1944" t="s">
        <v>2084</v>
      </c>
      <c r="H25" s="1877">
        <f t="shared" si="0"/>
        <v>5</v>
      </c>
      <c r="I25" s="1877">
        <f t="shared" si="1"/>
        <v>5</v>
      </c>
      <c r="J25" s="1877">
        <f t="shared" si="2"/>
        <v>0</v>
      </c>
    </row>
    <row r="26" spans="1:12" ht="12" customHeight="1" x14ac:dyDescent="0.2">
      <c r="A26" s="1862" t="s">
        <v>1534</v>
      </c>
      <c r="B26" s="1863"/>
      <c r="C26" s="1943" t="s">
        <v>2081</v>
      </c>
      <c r="D26" s="1943" t="s">
        <v>2081</v>
      </c>
      <c r="E26" s="1945"/>
      <c r="F26" s="1944" t="s">
        <v>2085</v>
      </c>
      <c r="H26" s="1877">
        <f t="shared" si="0"/>
        <v>5</v>
      </c>
      <c r="I26" s="1877">
        <f t="shared" si="1"/>
        <v>5</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15</v>
      </c>
      <c r="I34" s="1877">
        <f>SUM(I11:I32)</f>
        <v>15</v>
      </c>
      <c r="J34" s="1877">
        <f>SUM(J11:J32)</f>
        <v>0</v>
      </c>
      <c r="K34" s="1877">
        <f>SUM(H34:J34)</f>
        <v>30</v>
      </c>
    </row>
    <row r="35" spans="1:11" ht="12" customHeight="1" x14ac:dyDescent="0.2">
      <c r="A35" s="1870" t="s">
        <v>1392</v>
      </c>
      <c r="B35" s="1871"/>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72"/>
      <c r="B39" s="1872"/>
      <c r="C39" s="1872"/>
      <c r="D39" s="1872"/>
      <c r="E39" s="1872"/>
      <c r="F39" s="1872"/>
    </row>
    <row r="40" spans="1:11" s="1869" customFormat="1" ht="12" customHeight="1" x14ac:dyDescent="0.25">
      <c r="A40" s="1873" t="s">
        <v>1391</v>
      </c>
      <c r="B40" s="1874"/>
      <c r="C40" s="2321"/>
      <c r="D40" s="2321"/>
      <c r="E40" s="2321"/>
      <c r="F40" s="2322"/>
      <c r="H40" s="1878"/>
      <c r="I40" s="1878"/>
      <c r="J40" s="1878"/>
      <c r="K40" s="1878"/>
    </row>
    <row r="41" spans="1:11" s="1869" customFormat="1" ht="12" customHeight="1" x14ac:dyDescent="0.25">
      <c r="A41" s="2323"/>
      <c r="B41" s="2324"/>
      <c r="C41" s="2324"/>
      <c r="D41" s="2324"/>
      <c r="E41" s="2324"/>
      <c r="F41" s="2325"/>
      <c r="H41" s="1878"/>
      <c r="I41" s="1878"/>
      <c r="J41" s="1878"/>
      <c r="K41" s="1878"/>
    </row>
    <row r="42" spans="1:11" s="1869" customFormat="1" ht="12" customHeight="1" x14ac:dyDescent="0.25">
      <c r="A42" s="2323"/>
      <c r="B42" s="2324"/>
      <c r="C42" s="2324"/>
      <c r="D42" s="2324"/>
      <c r="E42" s="2324"/>
      <c r="F42" s="2325"/>
      <c r="H42" s="1878"/>
      <c r="I42" s="1878"/>
      <c r="J42" s="1878"/>
      <c r="K42" s="1878"/>
    </row>
    <row r="43" spans="1:11" s="1869" customFormat="1" ht="15" x14ac:dyDescent="0.25">
      <c r="A43" s="2315"/>
      <c r="B43" s="2316"/>
      <c r="C43" s="2316"/>
      <c r="D43" s="2316"/>
      <c r="E43" s="2316"/>
      <c r="F43" s="2317"/>
      <c r="H43" s="1878"/>
      <c r="I43" s="1878"/>
      <c r="J43" s="1878"/>
      <c r="K43" s="1878"/>
    </row>
    <row r="44" spans="1:11" s="1869" customFormat="1" ht="12" hidden="1" customHeight="1" x14ac:dyDescent="0.25">
      <c r="A44" s="2315"/>
      <c r="B44" s="2316"/>
      <c r="C44" s="2316"/>
      <c r="D44" s="2316"/>
      <c r="E44" s="2316"/>
      <c r="F44" s="2317"/>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31" t="str">
        <f>COVER!A17</f>
        <v>Creston CCSD 161</v>
      </c>
      <c r="J6" s="2332"/>
      <c r="Q6" s="1663"/>
    </row>
    <row r="7" spans="1:17" x14ac:dyDescent="0.2">
      <c r="A7" s="2333" t="s">
        <v>869</v>
      </c>
      <c r="B7" s="2334"/>
      <c r="C7" s="2334"/>
      <c r="D7" s="2334"/>
      <c r="E7" s="2335"/>
      <c r="F7" s="1017"/>
      <c r="G7" s="1009"/>
      <c r="H7" s="1016" t="s">
        <v>372</v>
      </c>
      <c r="I7" s="2336">
        <f>COVER!A13</f>
        <v>47071161004</v>
      </c>
      <c r="J7" s="2336"/>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1979</v>
      </c>
      <c r="F9" s="1023"/>
      <c r="G9" s="1023"/>
      <c r="H9" s="1895"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7" t="s">
        <v>481</v>
      </c>
      <c r="B11" s="2338"/>
      <c r="C11" s="233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116997</v>
      </c>
      <c r="F12" s="1039"/>
      <c r="G12" s="1810">
        <f t="shared" ref="G12:G18" si="0">SUM(E12:F12)</f>
        <v>116997</v>
      </c>
      <c r="H12" s="1040">
        <v>77996</v>
      </c>
      <c r="I12" s="1039"/>
      <c r="J12" s="1810">
        <f t="shared" ref="J12:J18" si="1">SUM(H12:I12)</f>
        <v>77996</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40" t="s">
        <v>7</v>
      </c>
      <c r="C18" s="2341"/>
      <c r="D18" s="2342"/>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116997</v>
      </c>
      <c r="F19" s="1812">
        <f t="shared" si="2"/>
        <v>0</v>
      </c>
      <c r="G19" s="1812">
        <f t="shared" si="2"/>
        <v>116997</v>
      </c>
      <c r="H19" s="1812">
        <f t="shared" si="2"/>
        <v>77996</v>
      </c>
      <c r="I19" s="1812">
        <f t="shared" si="2"/>
        <v>0</v>
      </c>
      <c r="J19" s="1812">
        <f t="shared" si="2"/>
        <v>77996</v>
      </c>
    </row>
    <row r="20" spans="1:10" ht="13.5" thickTop="1" x14ac:dyDescent="0.2">
      <c r="A20" s="1035">
        <v>9</v>
      </c>
      <c r="B20" s="2343" t="s">
        <v>1981</v>
      </c>
      <c r="C20" s="2343"/>
      <c r="D20" s="2344"/>
      <c r="E20" s="1046"/>
      <c r="F20" s="1046"/>
      <c r="G20" s="1046"/>
      <c r="H20" s="1046"/>
      <c r="I20" s="1046"/>
      <c r="J20" s="1813">
        <f>IF(AND(G19&gt;0,J19&gt;0),(((J19-G19)/G19)),"Enter Budget Data")</f>
        <v>-0.33335042778874674</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9"/>
      <c r="D26" s="2349"/>
      <c r="E26" s="1050"/>
      <c r="F26" s="2348"/>
      <c r="G26" s="2348"/>
    </row>
    <row r="27" spans="1:10" x14ac:dyDescent="0.2">
      <c r="B27" s="1047"/>
      <c r="C27" s="1051" t="s">
        <v>1033</v>
      </c>
      <c r="D27" s="1052"/>
      <c r="E27" s="1053"/>
      <c r="F27" s="2345" t="s">
        <v>1509</v>
      </c>
      <c r="G27" s="2345"/>
    </row>
    <row r="28" spans="1:10" ht="28.5" customHeight="1" x14ac:dyDescent="0.2">
      <c r="B28" s="1047"/>
      <c r="C28" s="2347"/>
      <c r="D28" s="2347"/>
      <c r="E28" s="1054"/>
      <c r="F28" s="2347"/>
      <c r="G28" s="2347"/>
    </row>
    <row r="29" spans="1:10" x14ac:dyDescent="0.2">
      <c r="B29" s="1047"/>
      <c r="C29" s="1055" t="s">
        <v>1561</v>
      </c>
      <c r="E29" s="1056"/>
      <c r="F29" s="2346" t="s">
        <v>1510</v>
      </c>
      <c r="G29" s="234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8" t="s">
        <v>132</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2"/>
    </row>
    <row r="36" spans="1:10" ht="13.5" customHeight="1" x14ac:dyDescent="0.2">
      <c r="B36" s="1061"/>
      <c r="C36" s="2330" t="s">
        <v>1983</v>
      </c>
      <c r="D36" s="2329"/>
      <c r="E36" s="2329"/>
      <c r="F36" s="2329"/>
      <c r="G36" s="2329"/>
      <c r="H36" s="2329"/>
      <c r="I36" s="2329"/>
      <c r="J36" s="1063"/>
    </row>
    <row r="37" spans="1:10" ht="22.5" customHeight="1" x14ac:dyDescent="0.2">
      <c r="C37" s="2329"/>
      <c r="D37" s="2329"/>
      <c r="E37" s="2329"/>
      <c r="F37" s="2329"/>
      <c r="G37" s="2329"/>
      <c r="H37" s="2329"/>
      <c r="I37" s="2329"/>
      <c r="J37" s="1063"/>
    </row>
    <row r="38" spans="1:10" ht="7.5" customHeight="1" x14ac:dyDescent="0.2">
      <c r="C38" s="1062"/>
      <c r="D38" s="1064"/>
      <c r="E38" s="1065"/>
      <c r="F38" s="1066"/>
      <c r="G38" s="1065"/>
    </row>
    <row r="39" spans="1:10" ht="13.5" customHeight="1" x14ac:dyDescent="0.2">
      <c r="B39" s="1061"/>
      <c r="C39" s="2326" t="s">
        <v>882</v>
      </c>
      <c r="D39" s="2327"/>
      <c r="E39" s="2327"/>
      <c r="F39" s="2327"/>
      <c r="G39" s="2327"/>
      <c r="H39" s="2327"/>
      <c r="I39" s="232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L56"/>
  <sheetViews>
    <sheetView showGridLines="0" zoomScale="110" zoomScaleNormal="110" workbookViewId="0">
      <selection activeCell="J28" sqref="J28"/>
    </sheetView>
  </sheetViews>
  <sheetFormatPr defaultColWidth="9.140625" defaultRowHeight="12.75" x14ac:dyDescent="0.2"/>
  <cols>
    <col min="1" max="1" width="2.85546875" style="329" customWidth="1"/>
    <col min="2" max="2" width="7.85546875" style="329" customWidth="1"/>
    <col min="3" max="3" width="2.85546875" style="329" customWidth="1"/>
    <col min="4" max="4" width="6.28515625" style="329" bestFit="1" customWidth="1"/>
    <col min="5" max="5" width="2.85546875" style="329" customWidth="1"/>
    <col min="6" max="6" width="6.140625" style="329" bestFit="1" customWidth="1"/>
    <col min="7" max="7" width="2.85546875" style="329" customWidth="1"/>
    <col min="8" max="8" width="6.5703125" style="329" bestFit="1" customWidth="1"/>
    <col min="9" max="9" width="2.85546875" style="329" customWidth="1"/>
    <col min="10" max="10" width="53.42578125" style="329" bestFit="1" customWidth="1"/>
    <col min="11" max="11" width="2.85546875" style="329" customWidth="1"/>
    <col min="12" max="12" width="11.5703125" style="329" bestFit="1" customWidth="1"/>
    <col min="13" max="16384" width="9.140625" style="329"/>
  </cols>
  <sheetData>
    <row r="2" spans="1:12" x14ac:dyDescent="0.2">
      <c r="A2" s="389" t="s">
        <v>258</v>
      </c>
    </row>
    <row r="3" spans="1:12" x14ac:dyDescent="0.2">
      <c r="A3" s="329" t="s">
        <v>259</v>
      </c>
    </row>
    <row r="5" spans="1:12" x14ac:dyDescent="0.2">
      <c r="A5" s="1951"/>
      <c r="B5" s="1953" t="s">
        <v>2089</v>
      </c>
      <c r="C5" s="1946"/>
      <c r="D5" s="1953" t="s">
        <v>2090</v>
      </c>
      <c r="E5" s="1946"/>
      <c r="F5" s="1953" t="s">
        <v>2091</v>
      </c>
      <c r="G5" s="1946"/>
      <c r="H5" s="1953" t="s">
        <v>2092</v>
      </c>
      <c r="I5" s="1946"/>
      <c r="J5" s="1953" t="s">
        <v>2093</v>
      </c>
      <c r="K5" s="1946"/>
      <c r="L5" s="1953" t="s">
        <v>2094</v>
      </c>
    </row>
    <row r="6" spans="1:12" x14ac:dyDescent="0.2">
      <c r="A6" s="1951"/>
      <c r="B6" s="1946"/>
      <c r="C6" s="1946"/>
      <c r="D6" s="1946"/>
      <c r="E6" s="1946"/>
      <c r="F6" s="1946"/>
      <c r="G6" s="1946"/>
      <c r="H6" s="1946"/>
      <c r="I6" s="1946"/>
      <c r="J6" s="1946"/>
      <c r="K6" s="1946"/>
      <c r="L6" s="1946"/>
    </row>
    <row r="7" spans="1:12" ht="13.5" thickBot="1" x14ac:dyDescent="0.25">
      <c r="A7" s="1951"/>
      <c r="B7" s="1946">
        <v>1690</v>
      </c>
      <c r="C7" s="1946"/>
      <c r="D7" s="1946">
        <v>10</v>
      </c>
      <c r="E7" s="1946"/>
      <c r="F7" s="1946">
        <v>1</v>
      </c>
      <c r="G7" s="1946"/>
      <c r="H7" s="1946">
        <v>74</v>
      </c>
      <c r="I7" s="1946"/>
      <c r="J7" s="1946" t="s">
        <v>2095</v>
      </c>
      <c r="K7" s="1946"/>
      <c r="L7" s="1942">
        <v>170</v>
      </c>
    </row>
    <row r="8" spans="1:12" ht="13.5" thickTop="1" x14ac:dyDescent="0.2">
      <c r="A8" s="1951"/>
      <c r="B8" s="1946"/>
      <c r="C8" s="1946"/>
      <c r="D8" s="1946"/>
      <c r="E8" s="1946"/>
      <c r="F8" s="1946"/>
      <c r="G8" s="1946"/>
      <c r="H8" s="1946"/>
      <c r="I8" s="1946"/>
      <c r="J8" s="1946"/>
      <c r="K8" s="1946"/>
      <c r="L8" s="1936"/>
    </row>
    <row r="9" spans="1:12" ht="13.5" thickBot="1" x14ac:dyDescent="0.25">
      <c r="A9" s="1951"/>
      <c r="B9" s="1946">
        <v>1790</v>
      </c>
      <c r="C9" s="1946"/>
      <c r="D9" s="1946">
        <v>11</v>
      </c>
      <c r="E9" s="1946"/>
      <c r="F9" s="1946">
        <v>1</v>
      </c>
      <c r="G9" s="1946"/>
      <c r="H9" s="1946">
        <v>81</v>
      </c>
      <c r="I9" s="1946"/>
      <c r="J9" s="1946" t="s">
        <v>2096</v>
      </c>
      <c r="K9" s="1946"/>
      <c r="L9" s="1942">
        <v>42</v>
      </c>
    </row>
    <row r="10" spans="1:12" ht="13.5" thickTop="1" x14ac:dyDescent="0.2">
      <c r="A10" s="1951"/>
      <c r="B10" s="1946"/>
      <c r="C10" s="1946"/>
      <c r="D10" s="1946"/>
      <c r="E10" s="1946"/>
      <c r="F10" s="1946"/>
      <c r="G10" s="1946"/>
      <c r="H10" s="1946"/>
      <c r="I10" s="1946"/>
      <c r="J10" s="1946"/>
      <c r="K10" s="1946"/>
      <c r="L10" s="1936"/>
    </row>
    <row r="11" spans="1:12" ht="13.5" thickBot="1" x14ac:dyDescent="0.25">
      <c r="A11" s="1951"/>
      <c r="B11" s="1946">
        <v>1999</v>
      </c>
      <c r="C11" s="1946"/>
      <c r="D11" s="1946">
        <v>11</v>
      </c>
      <c r="E11" s="1946"/>
      <c r="F11" s="1946">
        <v>1</v>
      </c>
      <c r="G11" s="1946"/>
      <c r="H11" s="1946">
        <v>107</v>
      </c>
      <c r="I11" s="1946"/>
      <c r="J11" s="1946" t="s">
        <v>2097</v>
      </c>
      <c r="K11" s="1946"/>
      <c r="L11" s="1942">
        <v>3175</v>
      </c>
    </row>
    <row r="12" spans="1:12" ht="13.5" thickTop="1" x14ac:dyDescent="0.2">
      <c r="A12" s="1952"/>
      <c r="B12" s="1946"/>
      <c r="C12" s="1946"/>
      <c r="D12" s="1946"/>
      <c r="E12" s="1946"/>
      <c r="F12" s="1946"/>
      <c r="G12" s="1946"/>
      <c r="H12" s="1946"/>
      <c r="I12" s="1946"/>
      <c r="J12" s="1946"/>
      <c r="K12" s="1946"/>
      <c r="L12" s="1936"/>
    </row>
    <row r="13" spans="1:12" ht="13.5" thickBot="1" x14ac:dyDescent="0.25">
      <c r="A13" s="1952"/>
      <c r="B13" s="1946">
        <v>4009</v>
      </c>
      <c r="C13" s="1946"/>
      <c r="D13" s="1946">
        <v>12</v>
      </c>
      <c r="E13" s="1946"/>
      <c r="F13" s="1946">
        <v>1</v>
      </c>
      <c r="G13" s="1946"/>
      <c r="H13" s="1946">
        <v>174</v>
      </c>
      <c r="I13" s="1946"/>
      <c r="J13" s="1947" t="s">
        <v>2098</v>
      </c>
      <c r="K13" s="1946"/>
      <c r="L13" s="1937">
        <v>17092</v>
      </c>
    </row>
    <row r="14" spans="1:12" ht="13.5" thickTop="1" x14ac:dyDescent="0.2">
      <c r="A14" s="1952"/>
      <c r="B14" s="1946"/>
      <c r="C14" s="1946"/>
      <c r="D14" s="1948"/>
      <c r="E14" s="1946"/>
      <c r="F14" s="1946"/>
      <c r="G14" s="1946"/>
      <c r="H14" s="1946"/>
      <c r="I14" s="1946"/>
      <c r="J14" s="1946"/>
      <c r="K14" s="1946"/>
      <c r="L14" s="1936"/>
    </row>
    <row r="15" spans="1:12" ht="13.5" thickBot="1" x14ac:dyDescent="0.25">
      <c r="A15" s="1954"/>
      <c r="B15" s="1946">
        <v>4190</v>
      </c>
      <c r="C15" s="1946"/>
      <c r="D15" s="1948">
        <v>16</v>
      </c>
      <c r="E15" s="1946"/>
      <c r="F15" s="1946">
        <v>1</v>
      </c>
      <c r="G15" s="1946"/>
      <c r="H15" s="1946">
        <v>83</v>
      </c>
      <c r="I15" s="1946"/>
      <c r="J15" s="1947" t="s">
        <v>2099</v>
      </c>
      <c r="K15" s="1946"/>
      <c r="L15" s="1937">
        <v>44908</v>
      </c>
    </row>
    <row r="16" spans="1:12" ht="13.5" thickTop="1" x14ac:dyDescent="0.2">
      <c r="A16" s="1954"/>
      <c r="B16" s="1946"/>
      <c r="C16" s="1946"/>
      <c r="D16" s="1948"/>
      <c r="E16" s="1946"/>
      <c r="F16" s="1946"/>
      <c r="G16" s="1946"/>
      <c r="H16" s="1946"/>
      <c r="I16" s="1946"/>
      <c r="J16" s="1946"/>
      <c r="K16" s="1946"/>
      <c r="L16" s="1936"/>
    </row>
    <row r="17" spans="1:12" ht="13.5" thickBot="1" x14ac:dyDescent="0.25">
      <c r="A17" s="1950"/>
      <c r="B17" s="1947">
        <v>4190</v>
      </c>
      <c r="C17" s="1946"/>
      <c r="D17" s="1938">
        <v>18</v>
      </c>
      <c r="E17" s="1947"/>
      <c r="F17" s="1947">
        <v>4</v>
      </c>
      <c r="G17" s="1947"/>
      <c r="H17" s="1947">
        <v>193</v>
      </c>
      <c r="I17" s="1947"/>
      <c r="J17" s="1947" t="s">
        <v>2100</v>
      </c>
      <c r="K17" s="1947"/>
      <c r="L17" s="1937">
        <v>5871</v>
      </c>
    </row>
    <row r="18" spans="1:12" ht="13.5" thickTop="1" x14ac:dyDescent="0.2">
      <c r="A18" s="1950"/>
      <c r="B18" s="1946"/>
      <c r="C18" s="1946"/>
      <c r="D18" s="1948"/>
      <c r="E18" s="1946"/>
      <c r="F18" s="1946"/>
      <c r="G18" s="1946"/>
      <c r="H18" s="1946"/>
      <c r="I18" s="1946"/>
      <c r="J18" s="1946"/>
      <c r="K18" s="1946"/>
      <c r="L18" s="1936"/>
    </row>
    <row r="19" spans="1:12" x14ac:dyDescent="0.2">
      <c r="A19" s="1068"/>
      <c r="D19" s="1949"/>
    </row>
    <row r="20" spans="1:12" x14ac:dyDescent="0.2">
      <c r="A20" s="1068"/>
    </row>
    <row r="21" spans="1:12" x14ac:dyDescent="0.2">
      <c r="A21" s="1068"/>
    </row>
    <row r="22" spans="1:12" x14ac:dyDescent="0.2">
      <c r="A22" s="1068"/>
    </row>
    <row r="23" spans="1:12" x14ac:dyDescent="0.2">
      <c r="A23" s="1068"/>
    </row>
    <row r="24" spans="1:12" x14ac:dyDescent="0.2">
      <c r="A24" s="1068"/>
    </row>
    <row r="25" spans="1:12" x14ac:dyDescent="0.2">
      <c r="A25" s="1068"/>
    </row>
    <row r="26" spans="1:12" x14ac:dyDescent="0.2">
      <c r="A26" s="1068"/>
    </row>
    <row r="27" spans="1:12" x14ac:dyDescent="0.2">
      <c r="A27" s="1068"/>
    </row>
    <row r="28" spans="1:12" x14ac:dyDescent="0.2">
      <c r="A28" s="1068"/>
    </row>
    <row r="29" spans="1:12" x14ac:dyDescent="0.2">
      <c r="A29" s="1068"/>
    </row>
    <row r="30" spans="1:12" x14ac:dyDescent="0.2">
      <c r="A30" s="1068"/>
    </row>
    <row r="31" spans="1:12" x14ac:dyDescent="0.2">
      <c r="A31" s="1068"/>
    </row>
    <row r="32" spans="1: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c r="B55" s="258" t="str">
        <f>COVER!A17</f>
        <v>Creston CCSD 161</v>
      </c>
    </row>
    <row r="56" spans="1:2" x14ac:dyDescent="0.2">
      <c r="B56" s="1069">
        <f>COVER!A13</f>
        <v>47071161004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7" t="s">
        <v>1065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691</v>
      </c>
      <c r="B40" s="2064"/>
      <c r="C40" s="2064"/>
      <c r="D40" s="2064"/>
      <c r="E40" s="2064"/>
    </row>
    <row r="41" spans="1:5" x14ac:dyDescent="0.2">
      <c r="A41" s="2065" t="s">
        <v>1608</v>
      </c>
      <c r="B41" s="2065"/>
      <c r="C41" s="2065"/>
      <c r="D41" s="2065"/>
      <c r="E41" s="2065"/>
    </row>
    <row r="42" spans="1:5" ht="12.75" customHeight="1" x14ac:dyDescent="0.2">
      <c r="A42" s="2066" t="s">
        <v>1022</v>
      </c>
      <c r="B42" s="2066"/>
      <c r="C42" s="2066"/>
      <c r="D42" s="2066"/>
      <c r="E42" s="206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50" t="s">
        <v>1685</v>
      </c>
      <c r="B18" s="235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7" r:id="rId4">
          <objectPr defaultSize="0" r:id="rId5">
            <anchor moveWithCells="1">
              <from>
                <xdr:col>1</xdr:col>
                <xdr:colOff>0</xdr:colOff>
                <xdr:row>6</xdr:row>
                <xdr:rowOff>0</xdr:rowOff>
              </from>
              <to>
                <xdr:col>1</xdr:col>
                <xdr:colOff>914400</xdr:colOff>
                <xdr:row>10</xdr:row>
                <xdr:rowOff>123825</xdr:rowOff>
              </to>
            </anchor>
          </objectPr>
        </oleObject>
      </mc:Choice>
      <mc:Fallback>
        <oleObject progId="Acrobat Document" dvAspect="DVASPECT_ICON" shapeId="3584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1690</v>
      </c>
      <c r="B1" s="2352"/>
      <c r="C1" s="2352"/>
      <c r="D1" s="2352"/>
      <c r="E1" s="2352"/>
      <c r="F1" s="2353"/>
    </row>
    <row r="2" spans="1:8" ht="45" customHeight="1" x14ac:dyDescent="0.2">
      <c r="A2" s="2361" t="s">
        <v>1987</v>
      </c>
      <c r="B2" s="2362"/>
      <c r="C2" s="2362"/>
      <c r="D2" s="2362"/>
      <c r="E2" s="2362"/>
      <c r="F2" s="2363"/>
      <c r="G2" s="1073"/>
      <c r="H2" s="1073"/>
    </row>
    <row r="3" spans="1:8" ht="57" customHeight="1" x14ac:dyDescent="0.2">
      <c r="A3" s="2364" t="s">
        <v>1686</v>
      </c>
      <c r="B3" s="2365"/>
      <c r="C3" s="2365"/>
      <c r="D3" s="2365"/>
      <c r="E3" s="2365"/>
      <c r="F3" s="2366"/>
      <c r="G3" s="1073"/>
      <c r="H3" s="1073"/>
    </row>
    <row r="4" spans="1:8" ht="14.25" customHeight="1" x14ac:dyDescent="0.2">
      <c r="A4" s="2370" t="s">
        <v>1988</v>
      </c>
      <c r="B4" s="2371"/>
      <c r="C4" s="2371"/>
      <c r="D4" s="2371"/>
      <c r="E4" s="2371"/>
      <c r="F4" s="2372"/>
      <c r="G4" s="1073"/>
      <c r="H4" s="1073"/>
    </row>
    <row r="5" spans="1:8" ht="14.25" customHeight="1" x14ac:dyDescent="0.2">
      <c r="A5" s="2373" t="s">
        <v>1984</v>
      </c>
      <c r="B5" s="2374"/>
      <c r="C5" s="2374"/>
      <c r="D5" s="2374"/>
      <c r="E5" s="2374"/>
      <c r="F5" s="2375"/>
      <c r="G5" s="1073"/>
      <c r="H5" s="1073"/>
    </row>
    <row r="6" spans="1:8" s="1074" customFormat="1" ht="41.25" customHeight="1" x14ac:dyDescent="0.2">
      <c r="A6" s="2367" t="s">
        <v>1691</v>
      </c>
      <c r="B6" s="2368"/>
      <c r="C6" s="2368"/>
      <c r="D6" s="2368"/>
      <c r="E6" s="2368"/>
      <c r="F6" s="2369"/>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970838</v>
      </c>
      <c r="C8" s="1814">
        <f>'Acct Summary 7-8'!D8</f>
        <v>76273</v>
      </c>
      <c r="D8" s="1814">
        <f>'Acct Summary 7-8'!F8</f>
        <v>44646</v>
      </c>
      <c r="E8" s="1814">
        <f>'Acct Summary 7-8'!I8</f>
        <v>15762</v>
      </c>
      <c r="F8" s="1814">
        <f>SUM(B8:E8)</f>
        <v>1107519</v>
      </c>
    </row>
    <row r="9" spans="1:8" s="1078" customFormat="1" ht="14.25" customHeight="1" thickBot="1" x14ac:dyDescent="0.25">
      <c r="A9" s="1077" t="s">
        <v>1369</v>
      </c>
      <c r="B9" s="1815">
        <f>'Acct Summary 7-8'!C17</f>
        <v>869478</v>
      </c>
      <c r="C9" s="1815">
        <f>'Acct Summary 7-8'!D17</f>
        <v>113215</v>
      </c>
      <c r="D9" s="1815">
        <f>'Acct Summary 7-8'!F17</f>
        <v>39942</v>
      </c>
      <c r="E9" s="1814"/>
      <c r="F9" s="1814">
        <f>SUM(B9:E9)</f>
        <v>1022635</v>
      </c>
    </row>
    <row r="10" spans="1:8" s="1078" customFormat="1" ht="14.25" thickTop="1" thickBot="1" x14ac:dyDescent="0.25">
      <c r="A10" s="1079" t="s">
        <v>1370</v>
      </c>
      <c r="B10" s="1816">
        <f>(B8-B9)</f>
        <v>101360</v>
      </c>
      <c r="C10" s="1816">
        <f>(C8-C9)</f>
        <v>-36942</v>
      </c>
      <c r="D10" s="1816">
        <f>(D8-D9)</f>
        <v>4704</v>
      </c>
      <c r="E10" s="1815">
        <f>(E8-E9)</f>
        <v>15762</v>
      </c>
      <c r="F10" s="1817">
        <f>SUM(F8-F9)</f>
        <v>84884</v>
      </c>
    </row>
    <row r="11" spans="1:8" s="1078" customFormat="1" ht="14.25" thickTop="1" thickBot="1" x14ac:dyDescent="0.25">
      <c r="A11" s="1080" t="s">
        <v>1985</v>
      </c>
      <c r="B11" s="1818">
        <f>'Acct Summary 7-8'!C81</f>
        <v>507516</v>
      </c>
      <c r="C11" s="1818">
        <f>'Acct Summary 7-8'!D81</f>
        <v>65994</v>
      </c>
      <c r="D11" s="1818">
        <f>'Acct Summary 7-8'!F81</f>
        <v>107979</v>
      </c>
      <c r="E11" s="1818">
        <f>'Acct Summary 7-8'!I81</f>
        <v>34124</v>
      </c>
      <c r="F11" s="1819">
        <f>SUM(B11:E11)</f>
        <v>715613</v>
      </c>
    </row>
    <row r="12" spans="1:8" ht="16.5" customHeight="1" thickTop="1" x14ac:dyDescent="0.2">
      <c r="A12" s="1081"/>
      <c r="B12" s="1082"/>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3"/>
      <c r="B13" s="1084"/>
      <c r="C13" s="2355"/>
      <c r="D13" s="2356"/>
      <c r="E13" s="2356"/>
      <c r="F13" s="2357"/>
      <c r="H13" s="1073"/>
    </row>
    <row r="14" spans="1:8" ht="19.5" customHeight="1" x14ac:dyDescent="0.2">
      <c r="A14" s="1083"/>
      <c r="B14" s="1084"/>
      <c r="C14" s="2355"/>
      <c r="D14" s="2356"/>
      <c r="E14" s="2356"/>
      <c r="F14" s="2357"/>
      <c r="H14" s="1073"/>
    </row>
    <row r="15" spans="1:8" ht="17.25" customHeight="1" x14ac:dyDescent="0.2">
      <c r="A15" s="1083"/>
      <c r="B15" s="1084"/>
      <c r="C15" s="2358"/>
      <c r="D15" s="2359"/>
      <c r="E15" s="2359"/>
      <c r="F15" s="2360"/>
      <c r="H15" s="1073"/>
    </row>
    <row r="16" spans="1:8" s="310" customFormat="1" ht="51.75" hidden="1" customHeight="1" x14ac:dyDescent="0.2">
      <c r="A16" s="2354" t="s">
        <v>1687</v>
      </c>
      <c r="B16" s="2354"/>
      <c r="C16" s="2354"/>
      <c r="D16" s="2354"/>
      <c r="E16" s="2354"/>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4" colorId="8" zoomScale="110" zoomScaleNormal="110" workbookViewId="0">
      <selection activeCell="D83" sqref="D83"/>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76" t="s">
        <v>665</v>
      </c>
      <c r="B3" s="2377"/>
      <c r="C3" s="2377"/>
      <c r="D3" s="2378"/>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87" t="s">
        <v>1504</v>
      </c>
      <c r="D7" s="2388"/>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79" t="s">
        <v>1008</v>
      </c>
      <c r="B15" s="2380"/>
      <c r="C15" s="2380"/>
      <c r="D15" s="2381"/>
    </row>
    <row r="16" spans="1:4" s="668" customFormat="1" ht="24" customHeight="1" x14ac:dyDescent="0.2">
      <c r="A16" s="2382" t="s">
        <v>663</v>
      </c>
      <c r="B16" s="2383"/>
      <c r="C16" s="2383"/>
      <c r="D16" s="2384"/>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91" t="s">
        <v>314</v>
      </c>
      <c r="D21" s="2392"/>
    </row>
    <row r="22" spans="1:10" ht="12.75" x14ac:dyDescent="0.2">
      <c r="A22" s="1138"/>
      <c r="B22" s="1139">
        <v>2</v>
      </c>
      <c r="C22" s="2389" t="s">
        <v>1524</v>
      </c>
      <c r="D22" s="2390"/>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93" t="s">
        <v>536</v>
      </c>
      <c r="D43" s="2394"/>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85" t="s">
        <v>784</v>
      </c>
      <c r="D56" s="2386"/>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85" t="s">
        <v>1696</v>
      </c>
      <c r="D70" s="2386"/>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47071161004</v>
      </c>
    </row>
    <row r="3" spans="1:2" x14ac:dyDescent="0.2">
      <c r="A3" t="s">
        <v>956</v>
      </c>
      <c r="B3" s="138" t="str">
        <f>COVER!A15</f>
        <v>OGLE</v>
      </c>
    </row>
    <row r="4" spans="1:2" x14ac:dyDescent="0.2">
      <c r="A4" t="s">
        <v>1007</v>
      </c>
      <c r="B4" s="138" t="str">
        <f>COVER!A17</f>
        <v>Creston CCSD 161</v>
      </c>
    </row>
    <row r="5" spans="1:2" x14ac:dyDescent="0.2">
      <c r="A5" t="s">
        <v>704</v>
      </c>
      <c r="B5" s="138" t="str">
        <f>COVER!A38</f>
        <v>CURTIS RHEINGANS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066-004656</v>
      </c>
    </row>
    <row r="16" spans="1:2" x14ac:dyDescent="0.2">
      <c r="A16" t="s">
        <v>422</v>
      </c>
      <c r="B16" s="138" t="str">
        <f>COVER!T13</f>
        <v>Newkirk &amp; Associates, Inc.</v>
      </c>
    </row>
    <row r="17" spans="1:2" x14ac:dyDescent="0.2">
      <c r="A17" t="s">
        <v>884</v>
      </c>
      <c r="B17" s="138" t="str">
        <f>COVER!T15</f>
        <v>William Newkirk</v>
      </c>
    </row>
    <row r="18" spans="1:2" x14ac:dyDescent="0.2">
      <c r="A18" t="s">
        <v>1150</v>
      </c>
      <c r="B18" s="138" t="str">
        <f>COVER!T17</f>
        <v>2 W Main Street</v>
      </c>
    </row>
    <row r="19" spans="1:2" x14ac:dyDescent="0.2">
      <c r="A19" t="s">
        <v>886</v>
      </c>
      <c r="B19" s="138" t="str">
        <f>COVER!T25</f>
        <v>BNEWKIRK@NEWKIRKCPAS.COM</v>
      </c>
    </row>
    <row r="20" spans="1:2" x14ac:dyDescent="0.2">
      <c r="A20" t="s">
        <v>887</v>
      </c>
      <c r="B20" s="138" t="str">
        <f>COVER!T19</f>
        <v>Plano</v>
      </c>
    </row>
    <row r="21" spans="1:2" x14ac:dyDescent="0.2">
      <c r="A21" t="s">
        <v>479</v>
      </c>
      <c r="B21" s="138" t="str">
        <f>COVER!X19</f>
        <v>IL</v>
      </c>
    </row>
    <row r="22" spans="1:2" x14ac:dyDescent="0.2">
      <c r="A22" t="s">
        <v>888</v>
      </c>
      <c r="B22" s="138">
        <f>COVER!Z19</f>
        <v>60545</v>
      </c>
    </row>
    <row r="23" spans="1:2" x14ac:dyDescent="0.2">
      <c r="A23" t="s">
        <v>1152</v>
      </c>
      <c r="B23" s="138" t="str">
        <f>COVER!T21</f>
        <v>630-552-1040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2983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507516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498503</v>
      </c>
      <c r="D92" s="2" t="str">
        <f t="shared" si="0"/>
        <v>Error?</v>
      </c>
    </row>
    <row r="93" spans="1:4" x14ac:dyDescent="0.2">
      <c r="A93" s="5">
        <v>32</v>
      </c>
      <c r="B93" s="138">
        <f>'Assets-Liab 5-6'!C41</f>
        <v>507516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66027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33</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33</v>
      </c>
      <c r="C122" s="2" t="s">
        <v>573</v>
      </c>
      <c r="D122" s="2" t="str">
        <f t="shared" si="0"/>
        <v>Error?</v>
      </c>
    </row>
    <row r="123" spans="1:4" x14ac:dyDescent="0.2">
      <c r="A123" s="5">
        <v>62</v>
      </c>
      <c r="B123" s="138">
        <f>'Assets-Liab 5-6'!D39</f>
        <v>65994</v>
      </c>
      <c r="D123" s="2" t="str">
        <f t="shared" si="0"/>
        <v>Error?</v>
      </c>
    </row>
    <row r="124" spans="1:4" x14ac:dyDescent="0.2">
      <c r="A124" s="5">
        <v>63</v>
      </c>
      <c r="B124" s="138">
        <f>'Assets-Liab 5-6'!D41</f>
        <v>66027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793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793</v>
      </c>
      <c r="D140" s="2" t="str">
        <f t="shared" si="1"/>
        <v>Error?</v>
      </c>
    </row>
    <row r="141" spans="1:4" x14ac:dyDescent="0.2">
      <c r="A141" s="5">
        <v>80</v>
      </c>
      <c r="B141" s="138">
        <f>'Assets-Liab 5-6'!E41</f>
        <v>793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108002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23</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23</v>
      </c>
      <c r="C169" s="2" t="s">
        <v>573</v>
      </c>
      <c r="D169" s="2" t="str">
        <f t="shared" si="1"/>
        <v>Error?</v>
      </c>
    </row>
    <row r="170" spans="1:4" x14ac:dyDescent="0.2">
      <c r="A170" s="5">
        <v>109</v>
      </c>
      <c r="B170" s="138">
        <f>'Assets-Liab 5-6'!F39</f>
        <v>107979</v>
      </c>
      <c r="D170" s="2" t="str">
        <f t="shared" si="1"/>
        <v>Error?</v>
      </c>
    </row>
    <row r="171" spans="1:4" x14ac:dyDescent="0.2">
      <c r="A171" s="5">
        <v>110</v>
      </c>
      <c r="B171" s="138">
        <f>'Assets-Liab 5-6'!F41</f>
        <v>108002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125987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90115</v>
      </c>
      <c r="D189" s="2" t="str">
        <f t="shared" si="1"/>
        <v>Error?</v>
      </c>
    </row>
    <row r="190" spans="1:4" x14ac:dyDescent="0.2">
      <c r="A190" s="5">
        <v>129</v>
      </c>
      <c r="B190" s="138">
        <f>'Assets-Liab 5-6'!G41</f>
        <v>125987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5000</v>
      </c>
      <c r="D273" s="2" t="str">
        <f t="shared" si="3"/>
        <v>Error?</v>
      </c>
    </row>
    <row r="274" spans="1:4" x14ac:dyDescent="0.2">
      <c r="A274" s="5">
        <v>213</v>
      </c>
      <c r="B274" s="138">
        <f>'Assets-Liab 5-6'!M17</f>
        <v>589555</v>
      </c>
      <c r="D274" s="2" t="str">
        <f t="shared" si="3"/>
        <v>Error?</v>
      </c>
    </row>
    <row r="275" spans="1:4" x14ac:dyDescent="0.2">
      <c r="A275" s="5">
        <v>214</v>
      </c>
      <c r="B275" s="138">
        <f>'Assets-Liab 5-6'!M18</f>
        <v>0</v>
      </c>
      <c r="D275" s="2" t="str">
        <f t="shared" si="3"/>
        <v>Error?</v>
      </c>
    </row>
    <row r="276" spans="1:4" x14ac:dyDescent="0.2">
      <c r="A276" s="5">
        <v>215</v>
      </c>
      <c r="B276" s="138">
        <f>'Assets-Liab 5-6'!M19</f>
        <v>53372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647927</v>
      </c>
      <c r="C279" s="2" t="s">
        <v>573</v>
      </c>
      <c r="D279" s="2" t="str">
        <f t="shared" si="3"/>
        <v>Error?</v>
      </c>
    </row>
    <row r="280" spans="1:4" x14ac:dyDescent="0.2">
      <c r="A280" s="5">
        <v>219</v>
      </c>
      <c r="B280" s="138">
        <f>'Assets-Liab 5-6'!M40</f>
        <v>647927</v>
      </c>
      <c r="D280" s="2" t="str">
        <f t="shared" si="3"/>
        <v>Error?</v>
      </c>
    </row>
    <row r="281" spans="1:4" x14ac:dyDescent="0.2">
      <c r="A281" s="5">
        <v>220</v>
      </c>
      <c r="B281" s="138">
        <f>'Assets-Liab 5-6'!M41</f>
        <v>647927</v>
      </c>
      <c r="C281" s="2" t="s">
        <v>573</v>
      </c>
      <c r="D281" s="2" t="str">
        <f t="shared" si="3"/>
        <v>Error?</v>
      </c>
    </row>
    <row r="282" spans="1:4" x14ac:dyDescent="0.2">
      <c r="A282" s="5">
        <v>221</v>
      </c>
      <c r="B282" s="138">
        <f>'Assets-Liab 5-6'!N21</f>
        <v>793</v>
      </c>
      <c r="D282" s="2" t="str">
        <f t="shared" si="3"/>
        <v>Error?</v>
      </c>
    </row>
    <row r="283" spans="1:4" x14ac:dyDescent="0.2">
      <c r="A283" s="5">
        <v>222</v>
      </c>
      <c r="B283" s="138">
        <f>'Assets-Liab 5-6'!N22</f>
        <v>498472</v>
      </c>
      <c r="D283" s="2" t="str">
        <f t="shared" si="3"/>
        <v>Error?</v>
      </c>
    </row>
    <row r="284" spans="1:4" x14ac:dyDescent="0.2">
      <c r="A284" s="5">
        <v>223</v>
      </c>
      <c r="B284" s="138">
        <f>'Assets-Liab 5-6'!N23</f>
        <v>499265</v>
      </c>
      <c r="C284" s="2" t="s">
        <v>573</v>
      </c>
      <c r="D284" s="2" t="str">
        <f t="shared" si="3"/>
        <v>Error?</v>
      </c>
    </row>
    <row r="285" spans="1:4" x14ac:dyDescent="0.2">
      <c r="A285" s="5">
        <v>224</v>
      </c>
      <c r="B285" s="138">
        <f>'Assets-Liab 5-6'!N36</f>
        <v>499265</v>
      </c>
      <c r="D285" s="2" t="str">
        <f t="shared" si="3"/>
        <v>Error?</v>
      </c>
    </row>
    <row r="286" spans="1:4" x14ac:dyDescent="0.2">
      <c r="A286" s="10">
        <v>225</v>
      </c>
      <c r="D286" s="2" t="str">
        <f t="shared" si="3"/>
        <v>OK</v>
      </c>
    </row>
    <row r="287" spans="1:4" x14ac:dyDescent="0.2">
      <c r="A287" s="5">
        <v>226</v>
      </c>
      <c r="B287" s="138">
        <f>'Assets-Liab 5-6'!N37</f>
        <v>499265</v>
      </c>
      <c r="C287" s="2" t="s">
        <v>573</v>
      </c>
      <c r="D287" s="2" t="str">
        <f t="shared" si="3"/>
        <v>Error?</v>
      </c>
    </row>
    <row r="288" spans="1:4" x14ac:dyDescent="0.2">
      <c r="A288" s="5">
        <v>227</v>
      </c>
      <c r="B288" s="138">
        <f>'Assets-Liab 5-6'!N41</f>
        <v>499265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435480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4450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471195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88586</v>
      </c>
      <c r="D733" s="2" t="str">
        <f t="shared" si="10"/>
        <v>Error?</v>
      </c>
    </row>
    <row r="734" spans="1:4" x14ac:dyDescent="0.2">
      <c r="A734" s="5">
        <v>673</v>
      </c>
      <c r="B734" s="138">
        <f>'Expenditures 15-22'!C53</f>
        <v>88586</v>
      </c>
      <c r="C734" s="2" t="s">
        <v>573</v>
      </c>
      <c r="D734" s="2" t="str">
        <f t="shared" si="10"/>
        <v>Error?</v>
      </c>
    </row>
    <row r="735" spans="1:4" x14ac:dyDescent="0.2">
      <c r="A735" s="5">
        <v>674</v>
      </c>
      <c r="B735" s="138">
        <f>'Expenditures 15-22'!C55</f>
        <v>16802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16802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4469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4469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109857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581052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58335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62144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15146</v>
      </c>
      <c r="D791" s="2" t="str">
        <f t="shared" si="11"/>
        <v>Error?</v>
      </c>
    </row>
    <row r="792" spans="1:4" x14ac:dyDescent="0.2">
      <c r="A792" s="5">
        <v>731</v>
      </c>
      <c r="B792" s="138">
        <f>'Expenditures 15-22'!D53</f>
        <v>15146</v>
      </c>
      <c r="C792" s="2" t="s">
        <v>573</v>
      </c>
      <c r="D792" s="2" t="str">
        <f t="shared" si="11"/>
        <v>Error?</v>
      </c>
    </row>
    <row r="793" spans="1:4" x14ac:dyDescent="0.2">
      <c r="A793" s="5">
        <v>732</v>
      </c>
      <c r="B793" s="138">
        <f>'Expenditures 15-22'!D55</f>
        <v>6679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6679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21825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83969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28233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28733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1055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1055</v>
      </c>
      <c r="C847" s="2" t="s">
        <v>573</v>
      </c>
      <c r="D847" s="2" t="str">
        <f t="shared" si="12"/>
        <v>Error?</v>
      </c>
    </row>
    <row r="848" spans="1:4" x14ac:dyDescent="0.2">
      <c r="A848" s="5">
        <v>787</v>
      </c>
      <c r="B848" s="138">
        <f>'Expenditures 15-22'!E49</f>
        <v>474</v>
      </c>
      <c r="D848" s="2" t="str">
        <f t="shared" si="12"/>
        <v>Error?</v>
      </c>
    </row>
    <row r="849" spans="1:4" x14ac:dyDescent="0.2">
      <c r="A849" s="5">
        <v>788</v>
      </c>
      <c r="B849" s="138">
        <f>'Expenditures 15-22'!E50</f>
        <v>9283</v>
      </c>
      <c r="D849" s="2" t="str">
        <f t="shared" si="12"/>
        <v>Error?</v>
      </c>
    </row>
    <row r="850" spans="1:4" x14ac:dyDescent="0.2">
      <c r="A850" s="5">
        <v>789</v>
      </c>
      <c r="B850" s="138">
        <f>'Expenditures 15-22'!E53</f>
        <v>9757</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18165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18165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28977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138977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15949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268</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16217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21118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21118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21118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37335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19117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19117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19117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5046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5046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3982</v>
      </c>
      <c r="D1023" s="2" t="str">
        <f t="shared" ref="D1023:D1086" si="15">IF(ISBLANK(B1023),"OK",IF(A1023-B1023=0,"OK","Error?"))</f>
        <v>Error?</v>
      </c>
    </row>
    <row r="1024" spans="1:4" x14ac:dyDescent="0.2">
      <c r="A1024" s="5">
        <v>963</v>
      </c>
      <c r="B1024" s="138">
        <f>'Expenditures 15-22'!H53</f>
        <v>3982</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3982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9028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562160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268</v>
      </c>
      <c r="C1105" s="2" t="s">
        <v>573</v>
      </c>
      <c r="D1105" s="2" t="str">
        <f t="shared" si="16"/>
        <v>Error?</v>
      </c>
    </row>
    <row r="1106" spans="1:4" x14ac:dyDescent="0.2">
      <c r="A1106" s="5">
        <v>1045</v>
      </c>
      <c r="B1106" s="138">
        <f>'Expenditures 15-22'!K14</f>
        <v>4450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602452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1055</v>
      </c>
      <c r="C1116" s="2" t="s">
        <v>573</v>
      </c>
      <c r="D1116" s="2" t="str">
        <f t="shared" si="16"/>
        <v>OK</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1055</v>
      </c>
      <c r="C1119" s="2" t="s">
        <v>573</v>
      </c>
      <c r="D1119" s="2" t="str">
        <f t="shared" si="16"/>
        <v>Error?</v>
      </c>
    </row>
    <row r="1120" spans="1:4" x14ac:dyDescent="0.2">
      <c r="A1120" s="5">
        <v>1059</v>
      </c>
      <c r="B1120" s="138">
        <f>'Expenditures 15-22'!K49</f>
        <v>474</v>
      </c>
      <c r="C1120" s="2" t="s">
        <v>573</v>
      </c>
      <c r="D1120" s="2" t="str">
        <f t="shared" si="16"/>
        <v>Error?</v>
      </c>
    </row>
    <row r="1121" spans="1:4" x14ac:dyDescent="0.2">
      <c r="A1121" s="5">
        <v>1060</v>
      </c>
      <c r="B1121" s="138">
        <f>'Expenditures 15-22'!K50</f>
        <v>116997</v>
      </c>
      <c r="C1121" s="2" t="s">
        <v>573</v>
      </c>
      <c r="D1121" s="2" t="str">
        <f t="shared" si="16"/>
        <v>Error?</v>
      </c>
    </row>
    <row r="1122" spans="1:4" x14ac:dyDescent="0.2">
      <c r="A1122" s="5">
        <v>1061</v>
      </c>
      <c r="B1122" s="138">
        <f>'Expenditures 15-22'!K53</f>
        <v>117471</v>
      </c>
      <c r="C1122" s="2" t="s">
        <v>573</v>
      </c>
      <c r="D1122" s="2" t="str">
        <f t="shared" si="16"/>
        <v>Error?</v>
      </c>
    </row>
    <row r="1123" spans="1:4" x14ac:dyDescent="0.2">
      <c r="A1123" s="5">
        <v>1062</v>
      </c>
      <c r="B1123" s="138">
        <f>'Expenditures 15-22'!K55</f>
        <v>23481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23481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18165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25587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43752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185759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81267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869478</v>
      </c>
      <c r="C1152" s="2" t="s">
        <v>573</v>
      </c>
      <c r="D1152" s="2" t="str">
        <f t="shared" si="17"/>
        <v>Error?</v>
      </c>
    </row>
    <row r="1153" spans="1:4" x14ac:dyDescent="0.2">
      <c r="A1153" s="5">
        <v>1092</v>
      </c>
      <c r="B1153" s="138">
        <f>'Expenditures 15-22'!K115</f>
        <v>101360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26833</v>
      </c>
      <c r="D1221" s="2" t="str">
        <f t="shared" si="18"/>
        <v>Error?</v>
      </c>
    </row>
    <row r="1222" spans="1:4" x14ac:dyDescent="0.2">
      <c r="A1222" s="10">
        <v>1161</v>
      </c>
      <c r="D1222" s="2" t="str">
        <f t="shared" si="18"/>
        <v>OK</v>
      </c>
    </row>
    <row r="1223" spans="1:4" x14ac:dyDescent="0.2">
      <c r="A1223" s="5">
        <v>1162</v>
      </c>
      <c r="B1223" s="138">
        <f>'Expenditures 15-22'!C127</f>
        <v>26833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26833</v>
      </c>
      <c r="C1225" s="2" t="s">
        <v>573</v>
      </c>
      <c r="D1225" s="2" t="str">
        <f t="shared" si="18"/>
        <v>Error?</v>
      </c>
    </row>
    <row r="1226" spans="1:4" x14ac:dyDescent="0.2">
      <c r="A1226" s="5">
        <v>1165</v>
      </c>
      <c r="B1226" s="138">
        <f>'Expenditures 15-22'!C151</f>
        <v>26833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64</v>
      </c>
      <c r="D1229" s="2" t="str">
        <f t="shared" si="18"/>
        <v>Error?</v>
      </c>
    </row>
    <row r="1230" spans="1:4" x14ac:dyDescent="0.2">
      <c r="A1230" s="10">
        <v>1169</v>
      </c>
      <c r="D1230" s="2" t="str">
        <f t="shared" si="18"/>
        <v>OK</v>
      </c>
    </row>
    <row r="1231" spans="1:4" x14ac:dyDescent="0.2">
      <c r="A1231" s="5">
        <v>1170</v>
      </c>
      <c r="B1231" s="138">
        <f>'Expenditures 15-22'!D127</f>
        <v>64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64</v>
      </c>
      <c r="C1233" s="2" t="s">
        <v>573</v>
      </c>
      <c r="D1233" s="2" t="str">
        <f t="shared" si="18"/>
        <v>Error?</v>
      </c>
    </row>
    <row r="1234" spans="1:4" x14ac:dyDescent="0.2">
      <c r="A1234" s="5">
        <v>1173</v>
      </c>
      <c r="B1234" s="138">
        <f>'Expenditures 15-22'!D151</f>
        <v>64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41332</v>
      </c>
      <c r="D1237" s="2" t="str">
        <f t="shared" si="18"/>
        <v>Error?</v>
      </c>
    </row>
    <row r="1238" spans="1:4" x14ac:dyDescent="0.2">
      <c r="A1238" s="10">
        <v>1177</v>
      </c>
      <c r="D1238" s="2" t="str">
        <f t="shared" si="18"/>
        <v>OK</v>
      </c>
    </row>
    <row r="1239" spans="1:4" x14ac:dyDescent="0.2">
      <c r="A1239" s="5">
        <v>1178</v>
      </c>
      <c r="B1239" s="138">
        <f>'Expenditures 15-22'!E127</f>
        <v>41332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41332</v>
      </c>
      <c r="C1241" s="2" t="s">
        <v>573</v>
      </c>
      <c r="D1241" s="2" t="str">
        <f t="shared" si="18"/>
        <v>Error?</v>
      </c>
    </row>
    <row r="1242" spans="1:4" x14ac:dyDescent="0.2">
      <c r="A1242" s="5">
        <v>1181</v>
      </c>
      <c r="B1242" s="138">
        <f>'Expenditures 15-22'!E151</f>
        <v>41332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44986</v>
      </c>
      <c r="D1245" s="2" t="str">
        <f t="shared" si="18"/>
        <v>Error?</v>
      </c>
    </row>
    <row r="1246" spans="1:4" x14ac:dyDescent="0.2">
      <c r="A1246" s="10">
        <v>1185</v>
      </c>
      <c r="D1246" s="2" t="str">
        <f t="shared" si="18"/>
        <v>OK</v>
      </c>
    </row>
    <row r="1247" spans="1:4" x14ac:dyDescent="0.2">
      <c r="A1247" s="5">
        <v>1186</v>
      </c>
      <c r="B1247" s="138">
        <f>'Expenditures 15-22'!F127</f>
        <v>44986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44986</v>
      </c>
      <c r="C1249" s="2" t="s">
        <v>573</v>
      </c>
      <c r="D1249" s="2" t="str">
        <f t="shared" si="18"/>
        <v>Error?</v>
      </c>
    </row>
    <row r="1250" spans="1:4" x14ac:dyDescent="0.2">
      <c r="A1250" s="5">
        <v>1189</v>
      </c>
      <c r="B1250" s="138">
        <f>'Expenditures 15-22'!F151</f>
        <v>44986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113215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113215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113215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113215</v>
      </c>
      <c r="C1288" s="2" t="s">
        <v>573</v>
      </c>
      <c r="D1288" s="2" t="str">
        <f t="shared" si="19"/>
        <v>Error?</v>
      </c>
    </row>
    <row r="1289" spans="1:4" x14ac:dyDescent="0.2">
      <c r="A1289" s="5">
        <v>1228</v>
      </c>
      <c r="B1289" s="138">
        <f>'Expenditures 15-22'!K152</f>
        <v>-36942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23965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33285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57250</v>
      </c>
      <c r="C1317" s="2" t="s">
        <v>573</v>
      </c>
      <c r="D1317" s="2" t="str">
        <f t="shared" si="19"/>
        <v>Error?</v>
      </c>
    </row>
    <row r="1318" spans="1:4" x14ac:dyDescent="0.2">
      <c r="A1318" s="5">
        <v>1257</v>
      </c>
      <c r="B1318" s="138">
        <f>'Expenditures 15-22'!H174</f>
        <v>57250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23965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33285</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57250</v>
      </c>
      <c r="C1331" s="2" t="s">
        <v>573</v>
      </c>
      <c r="D1331" s="2" t="str">
        <f t="shared" si="19"/>
        <v>Error?</v>
      </c>
    </row>
    <row r="1332" spans="1:4" x14ac:dyDescent="0.2">
      <c r="A1332" s="5">
        <v>1271</v>
      </c>
      <c r="B1332" s="138">
        <f>'Expenditures 15-22'!K174</f>
        <v>57250</v>
      </c>
      <c r="C1332" s="2" t="s">
        <v>573</v>
      </c>
      <c r="D1332" s="2" t="str">
        <f t="shared" si="19"/>
        <v>Error?</v>
      </c>
    </row>
    <row r="1333" spans="1:4" x14ac:dyDescent="0.2">
      <c r="A1333" s="5">
        <v>1272</v>
      </c>
      <c r="B1333" s="138">
        <f>'Expenditures 15-22'!K175</f>
        <v>-8993</v>
      </c>
      <c r="C1333" s="2" t="s">
        <v>573</v>
      </c>
      <c r="D1333" s="2" t="str">
        <f t="shared" si="19"/>
        <v>Error?</v>
      </c>
    </row>
    <row r="1334" spans="1:4" x14ac:dyDescent="0.2">
      <c r="A1334" s="10">
        <v>1273</v>
      </c>
      <c r="D1334" s="2" t="str">
        <f t="shared" si="19"/>
        <v>OK</v>
      </c>
    </row>
    <row r="1335" spans="1:4" x14ac:dyDescent="0.2">
      <c r="A1335" s="5">
        <v>1274</v>
      </c>
      <c r="B1335" s="138">
        <f>'Expenditures 15-22'!C182</f>
        <v>14264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14264</v>
      </c>
      <c r="C1339" s="2" t="s">
        <v>573</v>
      </c>
      <c r="D1339" s="2" t="str">
        <f t="shared" si="19"/>
        <v>Error?</v>
      </c>
    </row>
    <row r="1340" spans="1:4" x14ac:dyDescent="0.2">
      <c r="A1340" s="5">
        <v>1279</v>
      </c>
      <c r="B1340" s="138">
        <f>'Expenditures 15-22'!C210</f>
        <v>14264</v>
      </c>
      <c r="C1340" s="2" t="s">
        <v>573</v>
      </c>
      <c r="D1340" s="2" t="str">
        <f t="shared" si="19"/>
        <v>Error?</v>
      </c>
    </row>
    <row r="1341" spans="1:4" x14ac:dyDescent="0.2">
      <c r="A1341" s="5">
        <v>1280</v>
      </c>
      <c r="B1341" s="138">
        <f>'Expenditures 15-22'!D182</f>
        <v>66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66</v>
      </c>
      <c r="C1345" s="2" t="s">
        <v>573</v>
      </c>
      <c r="D1345" s="2" t="str">
        <f t="shared" si="20"/>
        <v>Error?</v>
      </c>
    </row>
    <row r="1346" spans="1:4" x14ac:dyDescent="0.2">
      <c r="A1346" s="5">
        <v>1285</v>
      </c>
      <c r="B1346" s="138">
        <f>'Expenditures 15-22'!D210</f>
        <v>66</v>
      </c>
      <c r="C1346" s="2" t="s">
        <v>573</v>
      </c>
      <c r="D1346" s="2" t="str">
        <f t="shared" si="20"/>
        <v>Error?</v>
      </c>
    </row>
    <row r="1347" spans="1:4" x14ac:dyDescent="0.2">
      <c r="A1347" s="5">
        <v>1286</v>
      </c>
      <c r="B1347" s="138">
        <f>'Expenditures 15-22'!E182</f>
        <v>15685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15685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15685</v>
      </c>
      <c r="C1353" s="2" t="s">
        <v>573</v>
      </c>
      <c r="D1353" s="2" t="str">
        <f t="shared" si="20"/>
        <v>Error?</v>
      </c>
    </row>
    <row r="1354" spans="1:4" x14ac:dyDescent="0.2">
      <c r="A1354" s="5">
        <v>1293</v>
      </c>
      <c r="B1354" s="138">
        <f>'Expenditures 15-22'!F182</f>
        <v>4056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4056</v>
      </c>
      <c r="C1358" s="2" t="s">
        <v>573</v>
      </c>
      <c r="D1358" s="2" t="str">
        <f t="shared" si="20"/>
        <v>Error?</v>
      </c>
    </row>
    <row r="1359" spans="1:4" x14ac:dyDescent="0.2">
      <c r="A1359" s="5">
        <v>1298</v>
      </c>
      <c r="B1359" s="138">
        <f>'Expenditures 15-22'!F210</f>
        <v>4056</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5871</v>
      </c>
      <c r="C1376" s="2" t="s">
        <v>573</v>
      </c>
      <c r="D1376" s="2" t="str">
        <f t="shared" si="20"/>
        <v>Error?</v>
      </c>
    </row>
    <row r="1377" spans="1:4" x14ac:dyDescent="0.2">
      <c r="A1377" s="5">
        <v>1316</v>
      </c>
      <c r="B1377" s="138">
        <f>'Expenditures 15-22'!K182</f>
        <v>34071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34071</v>
      </c>
      <c r="C1381" s="2" t="s">
        <v>573</v>
      </c>
      <c r="D1381" s="2" t="str">
        <f t="shared" si="20"/>
        <v>Error?</v>
      </c>
    </row>
    <row r="1382" spans="1:4" x14ac:dyDescent="0.2">
      <c r="A1382" s="5">
        <v>1321</v>
      </c>
      <c r="B1382" s="138">
        <f>'Expenditures 15-22'!K196</f>
        <v>5871</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39942</v>
      </c>
      <c r="C1388" s="2" t="s">
        <v>573</v>
      </c>
      <c r="D1388" s="2" t="str">
        <f t="shared" si="20"/>
        <v>Error?</v>
      </c>
    </row>
    <row r="1389" spans="1:4" x14ac:dyDescent="0.2">
      <c r="A1389" s="5">
        <v>1328</v>
      </c>
      <c r="B1389" s="138">
        <f>'Expenditures 15-22'!K211</f>
        <v>4704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14143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12085</v>
      </c>
      <c r="D1423" s="2" t="str">
        <f t="shared" si="21"/>
        <v>Error?</v>
      </c>
    </row>
    <row r="1424" spans="1:4" x14ac:dyDescent="0.2">
      <c r="A1424" s="5">
        <v>1363</v>
      </c>
      <c r="B1424" s="138">
        <f>'Expenditures 15-22'!D257</f>
        <v>12085</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5364</v>
      </c>
      <c r="D1431" s="2" t="str">
        <f t="shared" si="21"/>
        <v>Error?</v>
      </c>
    </row>
    <row r="1432" spans="1:4" x14ac:dyDescent="0.2">
      <c r="A1432" s="5">
        <v>1371</v>
      </c>
      <c r="B1432" s="138">
        <f>'Expenditures 15-22'!D267</f>
        <v>3097</v>
      </c>
      <c r="D1432" s="2" t="str">
        <f t="shared" si="21"/>
        <v>Error?</v>
      </c>
    </row>
    <row r="1433" spans="1:4" x14ac:dyDescent="0.2">
      <c r="A1433" s="5">
        <v>1372</v>
      </c>
      <c r="B1433" s="138">
        <f>'Expenditures 15-22'!D268</f>
        <v>342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8803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20888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35031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14143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12085</v>
      </c>
      <c r="C1487" s="2" t="s">
        <v>573</v>
      </c>
      <c r="D1487" s="2" t="str">
        <f t="shared" si="22"/>
        <v>Error?</v>
      </c>
    </row>
    <row r="1488" spans="1:4" x14ac:dyDescent="0.2">
      <c r="A1488" s="5">
        <v>1427</v>
      </c>
      <c r="B1488" s="138">
        <f>'Expenditures 15-22'!K257</f>
        <v>12085</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5364</v>
      </c>
      <c r="C1495" s="2" t="s">
        <v>573</v>
      </c>
      <c r="D1495" s="2" t="str">
        <f t="shared" si="22"/>
        <v>Error?</v>
      </c>
    </row>
    <row r="1496" spans="1:4" x14ac:dyDescent="0.2">
      <c r="A1496" s="5">
        <v>1435</v>
      </c>
      <c r="B1496" s="138">
        <f>'Expenditures 15-22'!K267</f>
        <v>3097</v>
      </c>
      <c r="C1496" s="2" t="s">
        <v>573</v>
      </c>
      <c r="D1496" s="2" t="str">
        <f t="shared" si="22"/>
        <v>Error?</v>
      </c>
    </row>
    <row r="1497" spans="1:4" x14ac:dyDescent="0.2">
      <c r="A1497" s="5">
        <v>1436</v>
      </c>
      <c r="B1497" s="138">
        <f>'Expenditures 15-22'!K268</f>
        <v>342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8803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20888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35031</v>
      </c>
      <c r="C1517" s="2" t="s">
        <v>573</v>
      </c>
      <c r="D1517" s="2" t="str">
        <f t="shared" si="22"/>
        <v>Error?</v>
      </c>
    </row>
    <row r="1518" spans="1:4" x14ac:dyDescent="0.2">
      <c r="A1518" s="5">
        <v>1457</v>
      </c>
      <c r="B1518" s="138">
        <f>'Expenditures 15-22'!K296</f>
        <v>20543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409772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507516</v>
      </c>
      <c r="C1630" s="2" t="s">
        <v>573</v>
      </c>
      <c r="D1630" s="2" t="str">
        <f t="shared" si="24"/>
        <v>Error?</v>
      </c>
    </row>
    <row r="1631" spans="1:4" x14ac:dyDescent="0.2">
      <c r="A1631" s="5">
        <v>1570</v>
      </c>
      <c r="B1631" s="138">
        <f>'Acct Summary 7-8'!D79</f>
        <v>102936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65994</v>
      </c>
      <c r="C1644" s="2" t="s">
        <v>573</v>
      </c>
      <c r="D1644" s="2" t="str">
        <f t="shared" si="24"/>
        <v>Error?</v>
      </c>
    </row>
    <row r="1645" spans="1:4" x14ac:dyDescent="0.2">
      <c r="A1645" s="5">
        <v>1584</v>
      </c>
      <c r="B1645" s="138">
        <f>'Acct Summary 7-8'!E79</f>
        <v>-214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793</v>
      </c>
      <c r="C1658" s="2" t="s">
        <v>573</v>
      </c>
      <c r="D1658" s="2" t="str">
        <f t="shared" si="24"/>
        <v>Error?</v>
      </c>
    </row>
    <row r="1659" spans="1:4" x14ac:dyDescent="0.2">
      <c r="A1659" s="5">
        <v>1598</v>
      </c>
      <c r="B1659" s="138">
        <f>'Acct Summary 7-8'!F79</f>
        <v>103275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107979</v>
      </c>
      <c r="C1672" s="2" t="s">
        <v>573</v>
      </c>
      <c r="D1672" s="2" t="str">
        <f t="shared" si="25"/>
        <v>Error?</v>
      </c>
    </row>
    <row r="1673" spans="1:4" x14ac:dyDescent="0.2">
      <c r="A1673" s="5">
        <v>1612</v>
      </c>
      <c r="B1673" s="138">
        <f>'Acct Summary 7-8'!G79</f>
        <v>101828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125987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722203</v>
      </c>
      <c r="C1744" s="2" t="s">
        <v>573</v>
      </c>
      <c r="D1744" s="2" t="str">
        <f t="shared" si="26"/>
        <v>Error?</v>
      </c>
    </row>
    <row r="1745" spans="1:5" x14ac:dyDescent="0.2">
      <c r="A1745" s="5">
        <v>1684</v>
      </c>
      <c r="B1745" s="138">
        <f>'Tax Sched 23'!B5</f>
        <v>75111</v>
      </c>
      <c r="C1745" s="2" t="s">
        <v>573</v>
      </c>
      <c r="D1745" s="2" t="str">
        <f t="shared" si="26"/>
        <v>Error?</v>
      </c>
    </row>
    <row r="1746" spans="1:5" x14ac:dyDescent="0.2">
      <c r="A1746" s="5">
        <v>1685</v>
      </c>
      <c r="B1746" s="138">
        <f>'Tax Sched 23'!B6</f>
        <v>48211</v>
      </c>
      <c r="C1746" s="2" t="s">
        <v>573</v>
      </c>
      <c r="D1746" s="2" t="str">
        <f t="shared" si="26"/>
        <v>Error?</v>
      </c>
    </row>
    <row r="1747" spans="1:5" x14ac:dyDescent="0.2">
      <c r="A1747" s="5">
        <v>1686</v>
      </c>
      <c r="B1747" s="138">
        <f>'Tax Sched 23'!B7</f>
        <v>36052</v>
      </c>
      <c r="C1747" s="2" t="s">
        <v>573</v>
      </c>
      <c r="D1747" s="2" t="str">
        <f t="shared" si="26"/>
        <v>Error?</v>
      </c>
    </row>
    <row r="1748" spans="1:5" x14ac:dyDescent="0.2">
      <c r="A1748" s="5">
        <v>1687</v>
      </c>
      <c r="B1748" s="138">
        <f>'Tax Sched 23'!B8</f>
        <v>25231</v>
      </c>
      <c r="C1748" s="2" t="s">
        <v>573</v>
      </c>
      <c r="D1748" s="2" t="str">
        <f t="shared" si="26"/>
        <v>Error?</v>
      </c>
    </row>
    <row r="1749" spans="1:5" x14ac:dyDescent="0.2">
      <c r="A1749" s="5">
        <v>1688</v>
      </c>
      <c r="B1749" s="138">
        <f>'Tax Sched 23'!B10</f>
        <v>15173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167072</v>
      </c>
      <c r="C1752" s="2" t="s">
        <v>573</v>
      </c>
      <c r="D1752" s="2" t="str">
        <f t="shared" si="26"/>
        <v>Error?</v>
      </c>
    </row>
    <row r="1753" spans="1:5" x14ac:dyDescent="0.2">
      <c r="A1753" s="5">
        <v>1692</v>
      </c>
      <c r="B1753" s="138">
        <f>'Tax Sched 23'!B12</f>
        <v>14970</v>
      </c>
      <c r="C1753" s="2" t="s">
        <v>573</v>
      </c>
      <c r="D1753" s="2" t="str">
        <f t="shared" si="26"/>
        <v>Error?</v>
      </c>
    </row>
    <row r="1754" spans="1:5" x14ac:dyDescent="0.2">
      <c r="A1754" s="5">
        <v>1693</v>
      </c>
      <c r="B1754" s="138">
        <f>'Tax Sched 23'!B14</f>
        <v>6009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1151938</v>
      </c>
      <c r="C1759" s="2" t="s">
        <v>573</v>
      </c>
      <c r="D1759" s="2" t="str">
        <f t="shared" si="26"/>
        <v>Error?</v>
      </c>
    </row>
    <row r="1760" spans="1:5" x14ac:dyDescent="0.2">
      <c r="A1760" s="5">
        <v>1699</v>
      </c>
      <c r="B1760" s="138">
        <f>'Tax Sched 23'!D4</f>
        <v>377172</v>
      </c>
      <c r="C1760" s="2" t="s">
        <v>573</v>
      </c>
      <c r="D1760" s="2" t="str">
        <f t="shared" si="26"/>
        <v>Error?</v>
      </c>
    </row>
    <row r="1761" spans="1:5" x14ac:dyDescent="0.2">
      <c r="A1761" s="5">
        <v>1700</v>
      </c>
      <c r="B1761" s="138">
        <f>'Tax Sched 23'!D5</f>
        <v>38868</v>
      </c>
      <c r="C1761" s="2" t="s">
        <v>573</v>
      </c>
      <c r="D1761" s="2" t="str">
        <f t="shared" si="26"/>
        <v>Error?</v>
      </c>
    </row>
    <row r="1762" spans="1:5" s="8" customFormat="1" x14ac:dyDescent="0.2">
      <c r="A1762" s="5">
        <v>1701</v>
      </c>
      <c r="B1762" s="138">
        <f>'Tax Sched 23'!D6</f>
        <v>24398</v>
      </c>
      <c r="C1762" s="2" t="s">
        <v>573</v>
      </c>
      <c r="D1762" s="2" t="str">
        <f t="shared" si="26"/>
        <v>Error?</v>
      </c>
      <c r="E1762" s="9"/>
    </row>
    <row r="1763" spans="1:5" x14ac:dyDescent="0.2">
      <c r="A1763" s="5">
        <v>1702</v>
      </c>
      <c r="B1763" s="138">
        <f>'Tax Sched 23'!D7</f>
        <v>18656</v>
      </c>
      <c r="C1763" s="2" t="s">
        <v>573</v>
      </c>
      <c r="D1763" s="2" t="str">
        <f t="shared" si="26"/>
        <v>Error?</v>
      </c>
    </row>
    <row r="1764" spans="1:5" x14ac:dyDescent="0.2">
      <c r="A1764" s="5">
        <v>1703</v>
      </c>
      <c r="B1764" s="138">
        <f>'Tax Sched 23'!D8</f>
        <v>10404</v>
      </c>
      <c r="C1764" s="2" t="s">
        <v>573</v>
      </c>
      <c r="D1764" s="2" t="str">
        <f t="shared" si="26"/>
        <v>Error?</v>
      </c>
    </row>
    <row r="1765" spans="1:5" x14ac:dyDescent="0.2">
      <c r="A1765" s="5">
        <v>1704</v>
      </c>
      <c r="B1765" s="138">
        <f>'Tax Sched 23'!D10</f>
        <v>7924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89792</v>
      </c>
      <c r="C1768" s="2" t="s">
        <v>573</v>
      </c>
      <c r="D1768" s="2" t="str">
        <f t="shared" si="26"/>
        <v>Error?</v>
      </c>
    </row>
    <row r="1769" spans="1:5" x14ac:dyDescent="0.2">
      <c r="A1769" s="5">
        <v>1708</v>
      </c>
      <c r="B1769" s="138">
        <f>'Tax Sched 23'!D12</f>
        <v>7775</v>
      </c>
      <c r="C1769" s="2" t="s">
        <v>573</v>
      </c>
      <c r="D1769" s="2" t="str">
        <f t="shared" si="26"/>
        <v>Error?</v>
      </c>
    </row>
    <row r="1770" spans="1:5" x14ac:dyDescent="0.2">
      <c r="A1770" s="5">
        <v>1709</v>
      </c>
      <c r="B1770" s="138">
        <f>'Tax Sched 23'!D14</f>
        <v>3110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597929</v>
      </c>
      <c r="C1775" s="2" t="s">
        <v>573</v>
      </c>
      <c r="D1775" s="2" t="str">
        <f t="shared" si="26"/>
        <v>Error?</v>
      </c>
    </row>
    <row r="1776" spans="1:5" x14ac:dyDescent="0.2">
      <c r="A1776" s="5">
        <v>1715</v>
      </c>
      <c r="B1776" s="138">
        <f>'Tax Sched 23'!C4</f>
        <v>345031</v>
      </c>
      <c r="D1776" s="2" t="str">
        <f t="shared" si="26"/>
        <v>Error?</v>
      </c>
    </row>
    <row r="1777" spans="1:4" x14ac:dyDescent="0.2">
      <c r="A1777" s="5">
        <v>1716</v>
      </c>
      <c r="B1777" s="138">
        <f>'Tax Sched 23'!C5</f>
        <v>36243</v>
      </c>
      <c r="D1777" s="2" t="str">
        <f t="shared" si="26"/>
        <v>Error?</v>
      </c>
    </row>
    <row r="1778" spans="1:4" x14ac:dyDescent="0.2">
      <c r="A1778" s="5">
        <v>1717</v>
      </c>
      <c r="B1778" s="138">
        <f>'Tax Sched 23'!C6</f>
        <v>23813</v>
      </c>
      <c r="D1778" s="2" t="str">
        <f t="shared" si="26"/>
        <v>Error?</v>
      </c>
    </row>
    <row r="1779" spans="1:4" x14ac:dyDescent="0.2">
      <c r="A1779" s="5">
        <v>1718</v>
      </c>
      <c r="B1779" s="138">
        <f>'Tax Sched 23'!C7</f>
        <v>17396</v>
      </c>
      <c r="D1779" s="2" t="str">
        <f t="shared" si="26"/>
        <v>Error?</v>
      </c>
    </row>
    <row r="1780" spans="1:4" x14ac:dyDescent="0.2">
      <c r="A1780" s="5">
        <v>1719</v>
      </c>
      <c r="B1780" s="138">
        <f>'Tax Sched 23'!C8</f>
        <v>14827</v>
      </c>
      <c r="D1780" s="2" t="str">
        <f t="shared" si="26"/>
        <v>Error?</v>
      </c>
    </row>
    <row r="1781" spans="1:4" x14ac:dyDescent="0.2">
      <c r="A1781" s="5">
        <v>1720</v>
      </c>
      <c r="B1781" s="138">
        <f>'Tax Sched 23'!C10</f>
        <v>7249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77280</v>
      </c>
      <c r="D1784" s="2" t="str">
        <f t="shared" si="26"/>
        <v>Error?</v>
      </c>
    </row>
    <row r="1785" spans="1:4" x14ac:dyDescent="0.2">
      <c r="A1785" s="5">
        <v>1724</v>
      </c>
      <c r="B1785" s="138">
        <f>'Tax Sched 23'!C12</f>
        <v>7195</v>
      </c>
      <c r="D1785" s="2" t="str">
        <f t="shared" si="26"/>
        <v>Error?</v>
      </c>
    </row>
    <row r="1786" spans="1:4" x14ac:dyDescent="0.2">
      <c r="A1786" s="5">
        <v>1725</v>
      </c>
      <c r="B1786" s="138">
        <f>'Tax Sched 23'!C14</f>
        <v>2899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554009</v>
      </c>
      <c r="C1791" s="2" t="s">
        <v>573</v>
      </c>
      <c r="D1791" s="2" t="str">
        <f t="shared" ref="D1791:D1854" si="27">IF(ISBLANK(B1791),"OK",IF(A1791-B1791=0,"OK","Error?"))</f>
        <v>Error?</v>
      </c>
    </row>
    <row r="1792" spans="1:4" x14ac:dyDescent="0.2">
      <c r="A1792" s="5">
        <v>1731</v>
      </c>
      <c r="B1792" s="138">
        <f>'Tax Sched 23'!F4</f>
        <v>453203</v>
      </c>
      <c r="C1792" s="2" t="s">
        <v>573</v>
      </c>
      <c r="D1792" s="2" t="str">
        <f t="shared" si="27"/>
        <v>Error?</v>
      </c>
    </row>
    <row r="1793" spans="1:4" x14ac:dyDescent="0.2">
      <c r="A1793" s="5">
        <v>1732</v>
      </c>
      <c r="B1793" s="138">
        <f>'Tax Sched 23'!F5</f>
        <v>46008</v>
      </c>
      <c r="C1793" s="2" t="s">
        <v>573</v>
      </c>
      <c r="D1793" s="2" t="str">
        <f t="shared" si="27"/>
        <v>Error?</v>
      </c>
    </row>
    <row r="1794" spans="1:4" x14ac:dyDescent="0.2">
      <c r="A1794" s="5">
        <v>1733</v>
      </c>
      <c r="B1794" s="138">
        <f>'Tax Sched 23'!F6</f>
        <v>27808</v>
      </c>
      <c r="C1794" s="2" t="s">
        <v>573</v>
      </c>
      <c r="D1794" s="2" t="str">
        <f t="shared" si="27"/>
        <v>Error?</v>
      </c>
    </row>
    <row r="1795" spans="1:4" x14ac:dyDescent="0.2">
      <c r="A1795" s="5">
        <v>1734</v>
      </c>
      <c r="B1795" s="138">
        <f>'Tax Sched 23'!F7</f>
        <v>22083</v>
      </c>
      <c r="C1795" s="2" t="s">
        <v>573</v>
      </c>
      <c r="D1795" s="2" t="str">
        <f t="shared" si="27"/>
        <v>Error?</v>
      </c>
    </row>
    <row r="1796" spans="1:4" x14ac:dyDescent="0.2">
      <c r="A1796" s="5">
        <v>1735</v>
      </c>
      <c r="B1796" s="138">
        <f>'Tax Sched 23'!F8</f>
        <v>7178</v>
      </c>
      <c r="C1796" s="2" t="s">
        <v>573</v>
      </c>
      <c r="D1796" s="2" t="str">
        <f t="shared" si="27"/>
        <v>Error?</v>
      </c>
    </row>
    <row r="1797" spans="1:4" x14ac:dyDescent="0.2">
      <c r="A1797" s="5">
        <v>1736</v>
      </c>
      <c r="B1797" s="138">
        <f>'Tax Sched 23'!F10</f>
        <v>9521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112748</v>
      </c>
      <c r="C1800" s="2" t="s">
        <v>573</v>
      </c>
      <c r="D1800" s="2" t="str">
        <f t="shared" si="27"/>
        <v>Error?</v>
      </c>
    </row>
    <row r="1801" spans="1:4" x14ac:dyDescent="0.2">
      <c r="A1801" s="5">
        <v>1740</v>
      </c>
      <c r="B1801" s="138">
        <f>'Tax Sched 23'!F12</f>
        <v>9257</v>
      </c>
      <c r="C1801" s="2" t="s">
        <v>573</v>
      </c>
      <c r="D1801" s="2" t="str">
        <f t="shared" si="27"/>
        <v>Error?</v>
      </c>
    </row>
    <row r="1802" spans="1:4" x14ac:dyDescent="0.2">
      <c r="A1802" s="5">
        <v>1741</v>
      </c>
      <c r="B1802" s="138">
        <f>'Tax Sched 23'!F14</f>
        <v>3681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711365</v>
      </c>
      <c r="C1807" s="2" t="s">
        <v>573</v>
      </c>
      <c r="D1807" s="2" t="str">
        <f t="shared" si="27"/>
        <v>Error?</v>
      </c>
    </row>
    <row r="1808" spans="1:4" x14ac:dyDescent="0.2">
      <c r="A1808" s="5">
        <v>1747</v>
      </c>
      <c r="B1808" s="138">
        <f>'Tax Sched 23'!E4</f>
        <v>798234</v>
      </c>
      <c r="D1808" s="2" t="str">
        <f t="shared" si="27"/>
        <v>Error?</v>
      </c>
    </row>
    <row r="1809" spans="1:4" x14ac:dyDescent="0.2">
      <c r="A1809" s="5">
        <v>1748</v>
      </c>
      <c r="B1809" s="138">
        <f>'Tax Sched 23'!E5</f>
        <v>82251</v>
      </c>
      <c r="D1809" s="2" t="str">
        <f t="shared" si="27"/>
        <v>Error?</v>
      </c>
    </row>
    <row r="1810" spans="1:4" x14ac:dyDescent="0.2">
      <c r="A1810" s="5">
        <v>1749</v>
      </c>
      <c r="B1810" s="138">
        <f>'Tax Sched 23'!E6</f>
        <v>51621</v>
      </c>
      <c r="D1810" s="2" t="str">
        <f t="shared" si="27"/>
        <v>Error?</v>
      </c>
    </row>
    <row r="1811" spans="1:4" x14ac:dyDescent="0.2">
      <c r="A1811" s="5">
        <v>1750</v>
      </c>
      <c r="B1811" s="138">
        <f>'Tax Sched 23'!E7</f>
        <v>39479</v>
      </c>
      <c r="D1811" s="2" t="str">
        <f t="shared" si="27"/>
        <v>Error?</v>
      </c>
    </row>
    <row r="1812" spans="1:4" x14ac:dyDescent="0.2">
      <c r="A1812" s="5">
        <v>1751</v>
      </c>
      <c r="B1812" s="138">
        <f>'Tax Sched 23'!E8</f>
        <v>22005</v>
      </c>
      <c r="D1812" s="2" t="str">
        <f t="shared" si="27"/>
        <v>Error?</v>
      </c>
    </row>
    <row r="1813" spans="1:4" x14ac:dyDescent="0.2">
      <c r="A1813" s="5">
        <v>1752</v>
      </c>
      <c r="B1813" s="138">
        <f>'Tax Sched 23'!E10</f>
        <v>16770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190028</v>
      </c>
      <c r="D1816" s="2" t="str">
        <f t="shared" si="27"/>
        <v>Error?</v>
      </c>
    </row>
    <row r="1817" spans="1:4" x14ac:dyDescent="0.2">
      <c r="A1817" s="5">
        <v>1756</v>
      </c>
      <c r="B1817" s="138">
        <f>'Tax Sched 23'!E12</f>
        <v>16452</v>
      </c>
      <c r="D1817" s="2" t="str">
        <f t="shared" si="27"/>
        <v>Error?</v>
      </c>
    </row>
    <row r="1818" spans="1:4" x14ac:dyDescent="0.2">
      <c r="A1818" s="5">
        <v>1757</v>
      </c>
      <c r="B1818" s="138">
        <f>'Tax Sched 23'!E14</f>
        <v>6580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1265374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532550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6579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6579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6579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5000</v>
      </c>
      <c r="D2008" s="2" t="str">
        <f t="shared" si="30"/>
        <v>Error?</v>
      </c>
    </row>
    <row r="2009" spans="1:4" x14ac:dyDescent="0.2">
      <c r="A2009" s="5">
        <v>1948</v>
      </c>
      <c r="B2009" s="138">
        <f>'Cap Outlay Deprec 26'!C8</f>
        <v>668984</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345598</v>
      </c>
      <c r="D2011" s="2" t="str">
        <f t="shared" si="30"/>
        <v>Error?</v>
      </c>
    </row>
    <row r="2012" spans="1:4" x14ac:dyDescent="0.2">
      <c r="A2012" s="5">
        <v>1951</v>
      </c>
      <c r="B2012" s="138">
        <f>'Cap Outlay Deprec 26'!C13</f>
        <v>45684</v>
      </c>
      <c r="D2012" s="2" t="str">
        <f t="shared" si="30"/>
        <v>Error?</v>
      </c>
    </row>
    <row r="2013" spans="1:4" x14ac:dyDescent="0.2">
      <c r="A2013" s="5">
        <v>1952</v>
      </c>
      <c r="B2013" s="138">
        <f>'Cap Outlay Deprec 26'!C16</f>
        <v>1616430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18743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46509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5000</v>
      </c>
      <c r="C2026" s="2" t="s">
        <v>573</v>
      </c>
      <c r="D2026" s="2" t="str">
        <f t="shared" si="30"/>
        <v>Error?</v>
      </c>
    </row>
    <row r="2027" spans="1:4" x14ac:dyDescent="0.2">
      <c r="A2027" s="5">
        <v>1966</v>
      </c>
      <c r="B2027" s="138">
        <f>'Cap Outlay Deprec 26'!F8</f>
        <v>668984</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364341</v>
      </c>
      <c r="C2029" s="2" t="s">
        <v>573</v>
      </c>
      <c r="D2029" s="2" t="str">
        <f t="shared" si="30"/>
        <v>Error?</v>
      </c>
    </row>
    <row r="2030" spans="1:4" x14ac:dyDescent="0.2">
      <c r="A2030" s="5">
        <v>1969</v>
      </c>
      <c r="B2030" s="138">
        <f>'Cap Outlay Deprec 26'!F13</f>
        <v>45684</v>
      </c>
      <c r="C2030" s="2" t="s">
        <v>573</v>
      </c>
      <c r="D2030" s="2" t="str">
        <f t="shared" si="30"/>
        <v>Error?</v>
      </c>
    </row>
    <row r="2031" spans="1:4" x14ac:dyDescent="0.2">
      <c r="A2031" s="5">
        <v>1970</v>
      </c>
      <c r="B2031" s="138">
        <f>'Cap Outlay Deprec 26'!F16</f>
        <v>1662939</v>
      </c>
      <c r="C2031" s="2" t="s">
        <v>573</v>
      </c>
      <c r="D2031" s="2" t="str">
        <f t="shared" si="30"/>
        <v>Error?</v>
      </c>
    </row>
    <row r="2032" spans="1:4" x14ac:dyDescent="0.2">
      <c r="A2032" s="10">
        <v>1971</v>
      </c>
      <c r="D2032" s="2" t="str">
        <f t="shared" si="30"/>
        <v>OK</v>
      </c>
    </row>
    <row r="2033" spans="1:4" x14ac:dyDescent="0.2">
      <c r="A2033" s="5">
        <v>1972</v>
      </c>
      <c r="B2033" s="138">
        <f>'Cap Outlay Deprec 26'!H8</f>
        <v>516141</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299497</v>
      </c>
      <c r="D2035" s="2" t="str">
        <f t="shared" si="30"/>
        <v>Error?</v>
      </c>
    </row>
    <row r="2036" spans="1:4" x14ac:dyDescent="0.2">
      <c r="A2036" s="5">
        <v>1975</v>
      </c>
      <c r="B2036" s="138">
        <f>'Cap Outlay Deprec 26'!H13</f>
        <v>45684</v>
      </c>
      <c r="D2036" s="2" t="str">
        <f t="shared" si="30"/>
        <v>Error?</v>
      </c>
    </row>
    <row r="2037" spans="1:4" x14ac:dyDescent="0.2">
      <c r="A2037" s="5">
        <v>1976</v>
      </c>
      <c r="B2037" s="138">
        <f>'Cap Outlay Deprec 26'!H16</f>
        <v>961445</v>
      </c>
      <c r="C2037" s="2" t="s">
        <v>573</v>
      </c>
      <c r="D2037" s="2" t="str">
        <f t="shared" si="30"/>
        <v>Error?</v>
      </c>
    </row>
    <row r="2038" spans="1:4" x14ac:dyDescent="0.2">
      <c r="A2038" s="10">
        <v>1977</v>
      </c>
      <c r="D2038" s="2" t="str">
        <f t="shared" si="30"/>
        <v>OK</v>
      </c>
    </row>
    <row r="2039" spans="1:4" x14ac:dyDescent="0.2">
      <c r="A2039" s="5">
        <v>1978</v>
      </c>
      <c r="B2039" s="138">
        <f>'Cap Outlay Deprec 26'!I8</f>
        <v>13380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11472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53567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529521</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310969</v>
      </c>
      <c r="C2053" s="2" t="s">
        <v>573</v>
      </c>
      <c r="D2053" s="2" t="str">
        <f t="shared" si="31"/>
        <v>Error?</v>
      </c>
    </row>
    <row r="2054" spans="1:4" x14ac:dyDescent="0.2">
      <c r="A2054" s="5">
        <v>1993</v>
      </c>
      <c r="B2054" s="138">
        <f>'Cap Outlay Deprec 26'!K13</f>
        <v>45684</v>
      </c>
      <c r="C2054" s="2" t="s">
        <v>573</v>
      </c>
      <c r="D2054" s="2" t="str">
        <f t="shared" si="31"/>
        <v>Error?</v>
      </c>
    </row>
    <row r="2055" spans="1:4" x14ac:dyDescent="0.2">
      <c r="A2055" s="5">
        <v>1994</v>
      </c>
      <c r="B2055" s="138">
        <f>'Cap Outlay Deprec 26'!K16</f>
        <v>1015012</v>
      </c>
      <c r="C2055" s="2" t="s">
        <v>573</v>
      </c>
      <c r="D2055" s="2" t="str">
        <f t="shared" si="31"/>
        <v>Error?</v>
      </c>
    </row>
    <row r="2056" spans="1:4" x14ac:dyDescent="0.2">
      <c r="A2056" s="5">
        <v>1995</v>
      </c>
      <c r="B2056" s="138">
        <f>'Cap Outlay Deprec 26'!L5</f>
        <v>5000</v>
      </c>
      <c r="C2056" s="2" t="s">
        <v>573</v>
      </c>
      <c r="D2056" s="2" t="str">
        <f t="shared" si="31"/>
        <v>Error?</v>
      </c>
    </row>
    <row r="2057" spans="1:4" x14ac:dyDescent="0.2">
      <c r="A2057" s="5">
        <v>1996</v>
      </c>
      <c r="B2057" s="138">
        <f>'Cap Outlay Deprec 26'!L8</f>
        <v>139463</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53372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647927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81267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9013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35872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804580</v>
      </c>
      <c r="C2551" s="2" t="s">
        <v>573</v>
      </c>
      <c r="D2551" s="2" t="str">
        <f t="shared" si="38"/>
        <v>Error?</v>
      </c>
    </row>
    <row r="2552" spans="1:4" x14ac:dyDescent="0.2">
      <c r="A2552" s="10">
        <v>2491</v>
      </c>
      <c r="D2552" s="2" t="str">
        <f t="shared" si="38"/>
        <v>OK</v>
      </c>
    </row>
    <row r="2553" spans="1:4" x14ac:dyDescent="0.2">
      <c r="A2553" s="5">
        <v>2492</v>
      </c>
      <c r="B2553" s="138">
        <f>'Acct Summary 7-8'!C6</f>
        <v>111824</v>
      </c>
      <c r="C2553" s="2" t="s">
        <v>573</v>
      </c>
      <c r="D2553" s="2" t="str">
        <f t="shared" si="38"/>
        <v>Error?</v>
      </c>
    </row>
    <row r="2554" spans="1:4" x14ac:dyDescent="0.2">
      <c r="A2554" s="5">
        <v>2493</v>
      </c>
      <c r="B2554" s="138">
        <f>'Acct Summary 7-8'!C7</f>
        <v>54434</v>
      </c>
      <c r="C2554" s="2" t="s">
        <v>573</v>
      </c>
      <c r="D2554" s="2" t="str">
        <f t="shared" si="38"/>
        <v>Error?</v>
      </c>
    </row>
    <row r="2555" spans="1:4" x14ac:dyDescent="0.2">
      <c r="A2555" s="5">
        <v>2494</v>
      </c>
      <c r="B2555" s="138">
        <f>'Acct Summary 7-8'!C8</f>
        <v>970838</v>
      </c>
      <c r="C2555" s="2" t="s">
        <v>573</v>
      </c>
      <c r="D2555" s="2" t="str">
        <f t="shared" si="38"/>
        <v>Error?</v>
      </c>
    </row>
    <row r="2556" spans="1:4" x14ac:dyDescent="0.2">
      <c r="A2556" s="5">
        <v>2495</v>
      </c>
      <c r="B2556" s="138">
        <f>'Acct Summary 7-8'!C12</f>
        <v>602452</v>
      </c>
      <c r="C2556" s="2" t="s">
        <v>573</v>
      </c>
      <c r="D2556" s="2" t="str">
        <f t="shared" si="38"/>
        <v>Error?</v>
      </c>
    </row>
    <row r="2557" spans="1:4" x14ac:dyDescent="0.2">
      <c r="A2557" s="5">
        <v>2496</v>
      </c>
      <c r="B2557" s="138">
        <f>'Acct Summary 7-8'!C13</f>
        <v>185759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81267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869478</v>
      </c>
      <c r="C2561" s="2" t="s">
        <v>573</v>
      </c>
      <c r="D2561" s="2" t="str">
        <f t="shared" si="39"/>
        <v>Error?</v>
      </c>
    </row>
    <row r="2562" spans="1:4" x14ac:dyDescent="0.2">
      <c r="A2562" s="5">
        <v>2501</v>
      </c>
      <c r="B2562" s="138">
        <f>'Acct Summary 7-8'!C20</f>
        <v>101360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76273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76273</v>
      </c>
      <c r="C2568" s="2" t="s">
        <v>573</v>
      </c>
      <c r="D2568" s="2" t="str">
        <f t="shared" si="39"/>
        <v>Error?</v>
      </c>
    </row>
    <row r="2569" spans="1:4" x14ac:dyDescent="0.2">
      <c r="A2569" s="5">
        <v>2508</v>
      </c>
      <c r="B2569" s="138">
        <f>'Acct Summary 7-8'!D13</f>
        <v>113215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113215</v>
      </c>
      <c r="C2573" s="2" t="s">
        <v>573</v>
      </c>
      <c r="D2573" s="2" t="str">
        <f t="shared" si="39"/>
        <v>Error?</v>
      </c>
    </row>
    <row r="2574" spans="1:4" x14ac:dyDescent="0.2">
      <c r="A2574" s="5">
        <v>2513</v>
      </c>
      <c r="B2574" s="138">
        <f>'Acct Summary 7-8'!D20</f>
        <v>-36942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37854</v>
      </c>
      <c r="C2591" s="2" t="s">
        <v>573</v>
      </c>
      <c r="D2591" s="2" t="str">
        <f t="shared" si="39"/>
        <v>Error?</v>
      </c>
    </row>
    <row r="2592" spans="1:4" x14ac:dyDescent="0.2">
      <c r="A2592" s="10">
        <v>2531</v>
      </c>
      <c r="D2592" s="2" t="str">
        <f t="shared" si="39"/>
        <v>OK</v>
      </c>
    </row>
    <row r="2593" spans="1:4" x14ac:dyDescent="0.2">
      <c r="A2593" s="5">
        <v>2532</v>
      </c>
      <c r="B2593" s="138">
        <f>'Acct Summary 7-8'!F6</f>
        <v>6792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44646</v>
      </c>
      <c r="C2595" s="2" t="s">
        <v>573</v>
      </c>
      <c r="D2595" s="2" t="str">
        <f t="shared" si="39"/>
        <v>Error?</v>
      </c>
    </row>
    <row r="2596" spans="1:4" x14ac:dyDescent="0.2">
      <c r="A2596" s="5">
        <v>2535</v>
      </c>
      <c r="B2596" s="138">
        <f>'Acct Summary 7-8'!F13</f>
        <v>34071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5871</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39942</v>
      </c>
      <c r="C2600" s="2" t="s">
        <v>573</v>
      </c>
      <c r="D2600" s="2" t="str">
        <f t="shared" si="39"/>
        <v>Error?</v>
      </c>
    </row>
    <row r="2601" spans="1:4" x14ac:dyDescent="0.2">
      <c r="A2601" s="5">
        <v>2540</v>
      </c>
      <c r="B2601" s="138">
        <f>'Acct Summary 7-8'!F20</f>
        <v>4704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55574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55574</v>
      </c>
      <c r="C2606" s="2" t="s">
        <v>573</v>
      </c>
      <c r="D2606" s="2" t="str">
        <f t="shared" si="39"/>
        <v>Error?</v>
      </c>
    </row>
    <row r="2607" spans="1:4" x14ac:dyDescent="0.2">
      <c r="A2607" s="5">
        <v>2546</v>
      </c>
      <c r="B2607" s="138">
        <f>'Acct Summary 7-8'!G12</f>
        <v>14143</v>
      </c>
      <c r="C2607" s="2" t="s">
        <v>573</v>
      </c>
      <c r="D2607" s="2" t="str">
        <f t="shared" si="39"/>
        <v>Error?</v>
      </c>
    </row>
    <row r="2608" spans="1:4" x14ac:dyDescent="0.2">
      <c r="A2608" s="5">
        <v>2547</v>
      </c>
      <c r="B2608" s="138">
        <f>'Acct Summary 7-8'!G13</f>
        <v>20888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35031</v>
      </c>
      <c r="C2612" s="2" t="s">
        <v>573</v>
      </c>
      <c r="D2612" s="2" t="str">
        <f t="shared" si="39"/>
        <v>Error?</v>
      </c>
    </row>
    <row r="2613" spans="1:4" x14ac:dyDescent="0.2">
      <c r="A2613" s="5">
        <v>2552</v>
      </c>
      <c r="B2613" s="138">
        <f>'Acct Summary 7-8'!G20</f>
        <v>20543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48257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48257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57250</v>
      </c>
      <c r="C2634" s="2" t="s">
        <v>573</v>
      </c>
      <c r="D2634" s="2" t="str">
        <f t="shared" si="40"/>
        <v>Error?</v>
      </c>
    </row>
    <row r="2635" spans="1:4" x14ac:dyDescent="0.2">
      <c r="A2635" s="5">
        <v>2574</v>
      </c>
      <c r="B2635" s="138">
        <f>'Acct Summary 7-8'!E17</f>
        <v>57250</v>
      </c>
      <c r="C2635" s="2" t="s">
        <v>573</v>
      </c>
      <c r="D2635" s="2" t="str">
        <f t="shared" si="40"/>
        <v>Error?</v>
      </c>
    </row>
    <row r="2636" spans="1:4" x14ac:dyDescent="0.2">
      <c r="A2636" s="5">
        <v>2575</v>
      </c>
      <c r="B2636" s="138">
        <f>'Acct Summary 7-8'!E20</f>
        <v>-8993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3616</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81267</v>
      </c>
      <c r="C2789" s="2" t="s">
        <v>573</v>
      </c>
      <c r="D2789" s="2" t="str">
        <f t="shared" si="42"/>
        <v>Error?</v>
      </c>
    </row>
    <row r="2790" spans="1:4" x14ac:dyDescent="0.2">
      <c r="A2790" s="5">
        <v>2729</v>
      </c>
      <c r="B2790" s="138">
        <f>'Expenditures 15-22'!E102</f>
        <v>81267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3616</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5871</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5871</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5871</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34124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2768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34124</v>
      </c>
      <c r="D2912" s="2" t="str">
        <f t="shared" si="44"/>
        <v>Error?</v>
      </c>
    </row>
    <row r="2913" spans="1:4" x14ac:dyDescent="0.2">
      <c r="A2913" s="5">
        <v>2852</v>
      </c>
      <c r="B2913" s="138">
        <f>'Assets-Liab 5-6'!I41</f>
        <v>34124</v>
      </c>
      <c r="C2913" s="2" t="s">
        <v>573</v>
      </c>
      <c r="D2913" s="2" t="str">
        <f t="shared" si="44"/>
        <v>Error?</v>
      </c>
    </row>
    <row r="2914" spans="1:4" x14ac:dyDescent="0.2">
      <c r="A2914" s="5">
        <v>2853</v>
      </c>
      <c r="B2914" s="138">
        <f>'Assets-Liab 5-6'!L33</f>
        <v>2768</v>
      </c>
      <c r="D2914" s="2" t="str">
        <f t="shared" si="44"/>
        <v>Error?</v>
      </c>
    </row>
    <row r="2915" spans="1:4" x14ac:dyDescent="0.2">
      <c r="A2915" s="10">
        <v>2854</v>
      </c>
      <c r="D2915" s="2" t="str">
        <f t="shared" si="44"/>
        <v>OK</v>
      </c>
    </row>
    <row r="2916" spans="1:4" x14ac:dyDescent="0.2">
      <c r="A2916" s="5">
        <v>2855</v>
      </c>
      <c r="B2916" s="138">
        <f>'Assets-Liab 5-6'!L34</f>
        <v>2768</v>
      </c>
      <c r="C2916" s="2" t="s">
        <v>573</v>
      </c>
      <c r="D2916" s="2" t="str">
        <f t="shared" si="44"/>
        <v>Error?</v>
      </c>
    </row>
    <row r="2917" spans="1:4" x14ac:dyDescent="0.2">
      <c r="A2917" s="5">
        <v>2856</v>
      </c>
      <c r="B2917" s="138">
        <f>'Assets-Liab 5-6'!L41</f>
        <v>2768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36359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44908</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36359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44908</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5871</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5871</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2781</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500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3281</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15762</v>
      </c>
      <c r="C3225" s="2" t="s">
        <v>573</v>
      </c>
      <c r="D3225" s="2" t="str">
        <f t="shared" si="49"/>
        <v>Error?</v>
      </c>
    </row>
    <row r="3226" spans="1:4" x14ac:dyDescent="0.2">
      <c r="A3226" s="5">
        <v>3165</v>
      </c>
      <c r="B3226" s="138">
        <f>'Acct Summary 7-8'!I8</f>
        <v>15762</v>
      </c>
      <c r="C3226" s="2" t="s">
        <v>573</v>
      </c>
      <c r="D3226" s="2" t="str">
        <f t="shared" si="49"/>
        <v>Error?</v>
      </c>
    </row>
    <row r="3227" spans="1:4" x14ac:dyDescent="0.2">
      <c r="A3227" s="5">
        <v>3166</v>
      </c>
      <c r="B3227" s="138">
        <f>'Acct Summary 7-8'!I20</f>
        <v>15762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3616</v>
      </c>
      <c r="C3231" s="2" t="s">
        <v>573</v>
      </c>
      <c r="D3231" s="2" t="str">
        <f t="shared" si="49"/>
        <v>Error?</v>
      </c>
    </row>
    <row r="3232" spans="1:4" x14ac:dyDescent="0.2">
      <c r="A3232" s="5">
        <v>3171</v>
      </c>
      <c r="B3232" s="138">
        <f>'Acct Summary 7-8'!C77</f>
        <v>-3616</v>
      </c>
      <c r="C3232" s="2" t="s">
        <v>573</v>
      </c>
      <c r="D3232" s="2" t="str">
        <f t="shared" si="49"/>
        <v>Error?</v>
      </c>
    </row>
    <row r="3233" spans="1:4" x14ac:dyDescent="0.2">
      <c r="A3233" s="5">
        <v>3172</v>
      </c>
      <c r="B3233" s="138">
        <f>'Acct Summary 7-8'!C78</f>
        <v>97744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-36942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4704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3616</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3616</v>
      </c>
      <c r="C3261" s="2" t="s">
        <v>573</v>
      </c>
      <c r="D3261" s="2" t="str">
        <f t="shared" si="49"/>
        <v>Error?</v>
      </c>
    </row>
    <row r="3262" spans="1:4" x14ac:dyDescent="0.2">
      <c r="A3262" s="5">
        <v>3201</v>
      </c>
      <c r="B3262" s="138">
        <f>'Acct Summary 7-8'!G78</f>
        <v>24159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10000</v>
      </c>
      <c r="C3277" s="2" t="s">
        <v>573</v>
      </c>
      <c r="D3277" s="2" t="str">
        <f t="shared" si="50"/>
        <v>Error?</v>
      </c>
    </row>
    <row r="3278" spans="1:4" x14ac:dyDescent="0.2">
      <c r="A3278" s="5">
        <v>3217</v>
      </c>
      <c r="B3278" s="138">
        <f>'Acct Summary 7-8'!E78</f>
        <v>1007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10000</v>
      </c>
      <c r="C3318" s="2" t="s">
        <v>573</v>
      </c>
      <c r="D3318" s="2" t="str">
        <f t="shared" si="50"/>
        <v>Error?</v>
      </c>
    </row>
    <row r="3319" spans="1:4" x14ac:dyDescent="0.2">
      <c r="A3319" s="5">
        <v>3258</v>
      </c>
      <c r="B3319" s="138">
        <f>'Acct Summary 7-8'!I77</f>
        <v>-10000</v>
      </c>
      <c r="C3319" s="2" t="s">
        <v>573</v>
      </c>
      <c r="D3319" s="2" t="str">
        <f t="shared" si="50"/>
        <v>Error?</v>
      </c>
    </row>
    <row r="3320" spans="1:4" x14ac:dyDescent="0.2">
      <c r="A3320" s="5">
        <v>3259</v>
      </c>
      <c r="B3320" s="138">
        <f>'Acct Summary 7-8'!I78</f>
        <v>5762</v>
      </c>
      <c r="C3320" s="2" t="s">
        <v>573</v>
      </c>
      <c r="D3320" s="2" t="str">
        <f t="shared" si="50"/>
        <v>Error?</v>
      </c>
    </row>
    <row r="3321" spans="1:4" x14ac:dyDescent="0.2">
      <c r="A3321" s="5">
        <v>3260</v>
      </c>
      <c r="B3321" s="138">
        <f>'Acct Summary 7-8'!I79</f>
        <v>28362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34124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28484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3809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32293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13586</v>
      </c>
      <c r="D3387" s="2" t="str">
        <f t="shared" si="51"/>
        <v>Error?</v>
      </c>
    </row>
    <row r="3388" spans="1:4" x14ac:dyDescent="0.2">
      <c r="A3388" s="5">
        <v>3327</v>
      </c>
      <c r="B3388" s="138">
        <f>'Expenditures 15-22'!D217</f>
        <v>557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13586</v>
      </c>
      <c r="C3390" s="2" t="s">
        <v>573</v>
      </c>
      <c r="D3390" s="2" t="str">
        <f t="shared" si="51"/>
        <v>Error?</v>
      </c>
    </row>
    <row r="3391" spans="1:4" x14ac:dyDescent="0.2">
      <c r="A3391" s="5">
        <v>3330</v>
      </c>
      <c r="B3391" s="138">
        <f>'Expenditures 15-22'!K217</f>
        <v>557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504533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66027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793</v>
      </c>
      <c r="D3417" s="2" t="str">
        <f t="shared" si="52"/>
        <v>Error?</v>
      </c>
    </row>
    <row r="3418" spans="1:4" x14ac:dyDescent="0.2">
      <c r="A3418" s="10">
        <v>3357</v>
      </c>
      <c r="D3418" s="2" t="str">
        <f t="shared" si="52"/>
        <v>OK</v>
      </c>
    </row>
    <row r="3419" spans="1:4" x14ac:dyDescent="0.2">
      <c r="A3419" s="5">
        <v>3358</v>
      </c>
      <c r="B3419" s="138">
        <f>'Assets-Liab 5-6'!F4</f>
        <v>108002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125987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34124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2768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26883</v>
      </c>
      <c r="C3446" s="2" t="s">
        <v>573</v>
      </c>
      <c r="D3446" s="2" t="str">
        <f t="shared" si="52"/>
        <v>Error?</v>
      </c>
    </row>
    <row r="3447" spans="1:4" x14ac:dyDescent="0.2">
      <c r="A3447" s="5">
        <v>3386</v>
      </c>
      <c r="B3447" s="138">
        <f>'Tax Sched 23'!D16</f>
        <v>12056</v>
      </c>
      <c r="C3447" s="2" t="s">
        <v>573</v>
      </c>
      <c r="D3447" s="2" t="str">
        <f t="shared" si="52"/>
        <v>Error?</v>
      </c>
    </row>
    <row r="3448" spans="1:4" x14ac:dyDescent="0.2">
      <c r="A3448" s="5">
        <v>3387</v>
      </c>
      <c r="B3448" s="138">
        <f>'Tax Sched 23'!C16</f>
        <v>14827</v>
      </c>
      <c r="D3448" s="2" t="str">
        <f t="shared" si="52"/>
        <v>Error?</v>
      </c>
    </row>
    <row r="3449" spans="1:4" x14ac:dyDescent="0.2">
      <c r="A3449" s="5">
        <v>3388</v>
      </c>
      <c r="B3449" s="138">
        <f>'Tax Sched 23'!F16</f>
        <v>10676</v>
      </c>
      <c r="C3449" s="2" t="s">
        <v>573</v>
      </c>
      <c r="D3449" s="2" t="str">
        <f t="shared" si="52"/>
        <v>Error?</v>
      </c>
    </row>
    <row r="3450" spans="1:4" x14ac:dyDescent="0.2">
      <c r="A3450" s="5">
        <v>3389</v>
      </c>
      <c r="B3450" s="138">
        <f>'Tax Sched 23'!E16</f>
        <v>25503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122685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122685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122685</v>
      </c>
      <c r="D3567" s="2" t="str">
        <f t="shared" si="54"/>
        <v>Error?</v>
      </c>
    </row>
    <row r="3568" spans="1:4" x14ac:dyDescent="0.2">
      <c r="A3568" s="5">
        <v>3507</v>
      </c>
      <c r="B3568" s="138">
        <f>'Assets-Liab 5-6'!K41</f>
        <v>122685</v>
      </c>
      <c r="C3568" s="2" t="s">
        <v>573</v>
      </c>
      <c r="D3568" s="2" t="str">
        <f t="shared" si="54"/>
        <v>Error?</v>
      </c>
    </row>
    <row r="3569" spans="1:4" x14ac:dyDescent="0.2">
      <c r="A3569" s="5">
        <v>3508</v>
      </c>
      <c r="B3569" s="138">
        <f>'Acct Summary 7-8'!K4</f>
        <v>16896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16896</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16896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16896</v>
      </c>
      <c r="C3588" s="2" t="s">
        <v>573</v>
      </c>
      <c r="D3588" s="2" t="str">
        <f t="shared" si="55"/>
        <v>Error?</v>
      </c>
    </row>
    <row r="3589" spans="1:4" x14ac:dyDescent="0.2">
      <c r="A3589" s="5">
        <v>3528</v>
      </c>
      <c r="B3589" s="138">
        <f>'Acct Summary 7-8'!K79</f>
        <v>105789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122685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16896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15023</v>
      </c>
      <c r="C3725" s="2" t="s">
        <v>573</v>
      </c>
      <c r="D3725" s="2" t="str">
        <f t="shared" si="57"/>
        <v>Error?</v>
      </c>
    </row>
    <row r="3726" spans="1:4" x14ac:dyDescent="0.2">
      <c r="A3726" s="5">
        <v>3665</v>
      </c>
      <c r="B3726" s="138">
        <f>'Tax Sched 23'!D13</f>
        <v>7774</v>
      </c>
      <c r="C3726" s="2" t="s">
        <v>573</v>
      </c>
      <c r="D3726" s="2" t="str">
        <f t="shared" si="57"/>
        <v>Error?</v>
      </c>
    </row>
    <row r="3727" spans="1:4" x14ac:dyDescent="0.2">
      <c r="A3727" s="5">
        <v>3666</v>
      </c>
      <c r="B3727" s="138">
        <f>'Tax Sched 23'!C13</f>
        <v>7249</v>
      </c>
      <c r="D3727" s="2" t="str">
        <f t="shared" si="57"/>
        <v>Error?</v>
      </c>
    </row>
    <row r="3728" spans="1:4" x14ac:dyDescent="0.2">
      <c r="A3728" s="5">
        <v>3667</v>
      </c>
      <c r="B3728" s="138">
        <f>'Tax Sched 23'!F13</f>
        <v>9202</v>
      </c>
      <c r="C3728" s="2" t="s">
        <v>573</v>
      </c>
      <c r="D3728" s="2" t="str">
        <f t="shared" si="57"/>
        <v>Error?</v>
      </c>
    </row>
    <row r="3729" spans="1:4" x14ac:dyDescent="0.2">
      <c r="A3729" s="5">
        <v>3668</v>
      </c>
      <c r="B3729" s="138">
        <f>'Tax Sched 23'!E13</f>
        <v>16451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490036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1460874</v>
      </c>
      <c r="C4122" s="2" t="s">
        <v>573</v>
      </c>
      <c r="D4122" s="2" t="str">
        <f t="shared" si="63"/>
        <v>Error?</v>
      </c>
    </row>
    <row r="4123" spans="1:4" x14ac:dyDescent="0.2">
      <c r="A4123" s="5">
        <v>4062</v>
      </c>
      <c r="B4123" s="138">
        <f>'Acct Summary 7-8'!D10</f>
        <v>76273</v>
      </c>
      <c r="C4123" s="2" t="s">
        <v>573</v>
      </c>
      <c r="D4123" s="2" t="str">
        <f t="shared" si="63"/>
        <v>Error?</v>
      </c>
    </row>
    <row r="4124" spans="1:4" x14ac:dyDescent="0.2">
      <c r="A4124" s="5">
        <v>4063</v>
      </c>
      <c r="B4124" s="138">
        <f>'Acct Summary 7-8'!E10</f>
        <v>48257</v>
      </c>
      <c r="C4124" s="2" t="s">
        <v>573</v>
      </c>
      <c r="D4124" s="2" t="str">
        <f t="shared" si="63"/>
        <v>Error?</v>
      </c>
    </row>
    <row r="4125" spans="1:4" x14ac:dyDescent="0.2">
      <c r="A4125" s="5">
        <v>4064</v>
      </c>
      <c r="B4125" s="138">
        <f>'Acct Summary 7-8'!F10</f>
        <v>44646</v>
      </c>
      <c r="C4125" s="2" t="s">
        <v>573</v>
      </c>
      <c r="D4125" s="2" t="str">
        <f t="shared" si="63"/>
        <v>Error?</v>
      </c>
    </row>
    <row r="4126" spans="1:4" x14ac:dyDescent="0.2">
      <c r="A4126" s="5">
        <v>4065</v>
      </c>
      <c r="B4126" s="138">
        <f>'Acct Summary 7-8'!G10</f>
        <v>55574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15762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16896</v>
      </c>
      <c r="C4130" s="2" t="s">
        <v>573</v>
      </c>
      <c r="D4130" s="2" t="str">
        <f t="shared" si="63"/>
        <v>Error?</v>
      </c>
    </row>
    <row r="4131" spans="1:4" x14ac:dyDescent="0.2">
      <c r="A4131" s="5">
        <v>4070</v>
      </c>
      <c r="B4131" s="138">
        <f>'Acct Summary 7-8'!C18</f>
        <v>490036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1359514</v>
      </c>
      <c r="C4136" s="2" t="s">
        <v>573</v>
      </c>
      <c r="D4136" s="2" t="str">
        <f t="shared" si="63"/>
        <v>Error?</v>
      </c>
    </row>
    <row r="4137" spans="1:4" x14ac:dyDescent="0.2">
      <c r="A4137" s="5">
        <v>4076</v>
      </c>
      <c r="B4137" s="138">
        <f>'Acct Summary 7-8'!D19</f>
        <v>113215</v>
      </c>
      <c r="C4137" s="2" t="s">
        <v>573</v>
      </c>
      <c r="D4137" s="2" t="str">
        <f t="shared" si="63"/>
        <v>Error?</v>
      </c>
    </row>
    <row r="4138" spans="1:4" x14ac:dyDescent="0.2">
      <c r="A4138" s="5">
        <v>4077</v>
      </c>
      <c r="B4138" s="138">
        <f>'Acct Summary 7-8'!E19</f>
        <v>57250</v>
      </c>
      <c r="C4138" s="2" t="s">
        <v>573</v>
      </c>
      <c r="D4138" s="2" t="str">
        <f t="shared" si="63"/>
        <v>Error?</v>
      </c>
    </row>
    <row r="4139" spans="1:4" x14ac:dyDescent="0.2">
      <c r="A4139" s="5">
        <v>4078</v>
      </c>
      <c r="B4139" s="138">
        <f>'Acct Summary 7-8'!F19</f>
        <v>39942</v>
      </c>
      <c r="C4139" s="2" t="s">
        <v>573</v>
      </c>
      <c r="D4139" s="2" t="str">
        <f t="shared" si="63"/>
        <v>Error?</v>
      </c>
    </row>
    <row r="4140" spans="1:4" x14ac:dyDescent="0.2">
      <c r="A4140" s="5">
        <v>4079</v>
      </c>
      <c r="B4140" s="138">
        <f>'Acct Summary 7-8'!G19</f>
        <v>35031</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499265</v>
      </c>
      <c r="C4171" s="2" t="s">
        <v>573</v>
      </c>
      <c r="D4171" s="2" t="str">
        <f t="shared" si="64"/>
        <v>Error?</v>
      </c>
    </row>
    <row r="4172" spans="1:4" x14ac:dyDescent="0.2">
      <c r="A4172" s="5">
        <v>4111</v>
      </c>
      <c r="B4172" s="138">
        <f>'Short-Term Long-Term Debt 24'!J49</f>
        <v>498472</v>
      </c>
      <c r="C4172" s="2" t="s">
        <v>573</v>
      </c>
      <c r="D4172" s="2" t="str">
        <f t="shared" si="64"/>
        <v>Error?</v>
      </c>
    </row>
    <row r="4173" spans="1:4" x14ac:dyDescent="0.2">
      <c r="A4173" s="5">
        <v>4112</v>
      </c>
      <c r="B4173" s="138">
        <f>'Short-Term Long-Term Debt 24'!H49</f>
        <v>33285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2380</v>
      </c>
      <c r="C4265" s="2" t="s">
        <v>573</v>
      </c>
      <c r="D4265" s="2" t="str">
        <f t="shared" si="65"/>
        <v>Error?</v>
      </c>
      <c r="E4265" s="128"/>
    </row>
    <row r="4266" spans="1:5" x14ac:dyDescent="0.2">
      <c r="A4266" s="12">
        <v>4205</v>
      </c>
      <c r="B4266" s="138">
        <f>('FP Info 3'!F10)*100000</f>
        <v>245.24</v>
      </c>
      <c r="C4266" s="2" t="s">
        <v>573</v>
      </c>
      <c r="D4266" s="2" t="str">
        <f t="shared" si="65"/>
        <v>Error?</v>
      </c>
      <c r="E4266" s="128"/>
    </row>
    <row r="4267" spans="1:5" x14ac:dyDescent="0.2">
      <c r="A4267" s="12">
        <v>4206</v>
      </c>
      <c r="B4267" s="138">
        <f>('FP Info 3'!H10)*100000</f>
        <v>117.71</v>
      </c>
      <c r="C4267" s="2" t="s">
        <v>573</v>
      </c>
      <c r="D4267" s="2" t="str">
        <f t="shared" si="65"/>
        <v>Error?</v>
      </c>
      <c r="E4267" s="128"/>
    </row>
    <row r="4268" spans="1:5" x14ac:dyDescent="0.2">
      <c r="A4268" s="12">
        <v>4207</v>
      </c>
      <c r="B4268" s="138">
        <f>('FP Info 3'!J10)*100000</f>
        <v>2743</v>
      </c>
      <c r="C4268" s="2" t="s">
        <v>573</v>
      </c>
      <c r="D4268" s="2" t="str">
        <f t="shared" si="65"/>
        <v>Error?</v>
      </c>
    </row>
    <row r="4269" spans="1:5" x14ac:dyDescent="0.2">
      <c r="A4269" s="12">
        <v>4208</v>
      </c>
      <c r="B4269" s="138">
        <f>'FP Info 3'!J16</f>
        <v>715613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499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11763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1488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16515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17092</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33415133</v>
      </c>
      <c r="D4995" s="2" t="str">
        <f t="shared" si="77"/>
        <v>Error?</v>
      </c>
    </row>
    <row r="4996" spans="1:4" x14ac:dyDescent="0.2">
      <c r="A4996" s="12">
        <v>4935</v>
      </c>
      <c r="B4996" s="138">
        <f>'FP Info 3'!H31</f>
        <v>2305644.1770000001</v>
      </c>
      <c r="D4996" s="2" t="str">
        <f t="shared" si="77"/>
        <v>Error?</v>
      </c>
    </row>
    <row r="4997" spans="1:4" x14ac:dyDescent="0.2">
      <c r="A4997" s="12">
        <v>4936</v>
      </c>
      <c r="B4997" s="138">
        <f>'FP Info 3'!H37</f>
        <v>499265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15023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722203</v>
      </c>
      <c r="D5061" s="2" t="str">
        <f t="shared" si="78"/>
        <v>Error?</v>
      </c>
    </row>
    <row r="5062" spans="1:4" x14ac:dyDescent="0.2">
      <c r="A5062" s="10">
        <v>5001</v>
      </c>
      <c r="D5062" s="2" t="str">
        <f t="shared" si="78"/>
        <v>OK</v>
      </c>
    </row>
    <row r="5063" spans="1:4" x14ac:dyDescent="0.2">
      <c r="A5063" s="5">
        <v>5002</v>
      </c>
      <c r="B5063" s="138">
        <f>'Revenues 9-14'!C7</f>
        <v>6009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743235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11833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11833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5909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5909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170</v>
      </c>
      <c r="D5095" s="2" t="str">
        <f t="shared" si="78"/>
        <v>Error?</v>
      </c>
    </row>
    <row r="5096" spans="1:4" x14ac:dyDescent="0.2">
      <c r="A5096" s="5">
        <v>5035</v>
      </c>
      <c r="B5096" s="138">
        <f>'Revenues 9-14'!C75</f>
        <v>5337</v>
      </c>
      <c r="C5096" s="2" t="s">
        <v>573</v>
      </c>
      <c r="D5096" s="2" t="str">
        <f t="shared" si="78"/>
        <v>Error?</v>
      </c>
    </row>
    <row r="5097" spans="1:4" x14ac:dyDescent="0.2">
      <c r="A5097" s="5">
        <v>5036</v>
      </c>
      <c r="B5097" s="138">
        <f>'Revenues 9-14'!C77</f>
        <v>1669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3049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42</v>
      </c>
      <c r="D5101" s="2" t="str">
        <f t="shared" si="78"/>
        <v>Error?</v>
      </c>
    </row>
    <row r="5102" spans="1:4" x14ac:dyDescent="0.2">
      <c r="A5102" s="5">
        <v>5041</v>
      </c>
      <c r="B5102" s="138">
        <f>'Revenues 9-14'!C82</f>
        <v>4760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13816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3175</v>
      </c>
      <c r="D5119" s="2" t="str">
        <f t="shared" ref="D5119:D5182" si="79">IF(ISBLANK(B5119),"OK",IF(A5119-B5119=0,"OK","Error?"))</f>
        <v>Error?</v>
      </c>
    </row>
    <row r="5120" spans="1:4" x14ac:dyDescent="0.2">
      <c r="A5120" s="5">
        <v>5059</v>
      </c>
      <c r="B5120" s="138">
        <f>'Revenues 9-14'!C108</f>
        <v>33506</v>
      </c>
      <c r="C5120" s="2" t="s">
        <v>573</v>
      </c>
      <c r="D5120" s="2" t="str">
        <f t="shared" si="79"/>
        <v>Error?</v>
      </c>
    </row>
    <row r="5121" spans="1:4" x14ac:dyDescent="0.2">
      <c r="A5121" s="5">
        <v>5060</v>
      </c>
      <c r="B5121" s="138">
        <f>'Revenues 9-14'!C109</f>
        <v>804580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111578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111578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246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111824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17092</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13946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13946</v>
      </c>
      <c r="C5246" s="2" t="s">
        <v>573</v>
      </c>
      <c r="D5246" s="2" t="str">
        <f t="shared" si="80"/>
        <v>Error?</v>
      </c>
    </row>
    <row r="5247" spans="1:4" x14ac:dyDescent="0.2">
      <c r="A5247" s="5">
        <v>5186</v>
      </c>
      <c r="B5247" s="138">
        <f>'Revenues 9-14'!C200</f>
        <v>9646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11763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9646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37342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54434</v>
      </c>
      <c r="C5326" s="2" t="s">
        <v>573</v>
      </c>
      <c r="D5326" s="2" t="str">
        <f t="shared" si="82"/>
        <v>Error?</v>
      </c>
    </row>
    <row r="5327" spans="1:5" x14ac:dyDescent="0.2">
      <c r="A5327" s="5">
        <v>5266</v>
      </c>
      <c r="B5327" s="138">
        <f>'Revenues 9-14'!C268</f>
        <v>970838</v>
      </c>
      <c r="C5327" s="2" t="s">
        <v>573</v>
      </c>
      <c r="D5327" s="2" t="str">
        <f t="shared" si="82"/>
        <v>Error?</v>
      </c>
    </row>
    <row r="5328" spans="1:5" x14ac:dyDescent="0.2">
      <c r="A5328" s="5">
        <v>5267</v>
      </c>
      <c r="B5328" s="138">
        <f>'Revenues 9-14'!D5</f>
        <v>75111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75111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1162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1162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76273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76273</v>
      </c>
      <c r="C5508" s="2" t="s">
        <v>573</v>
      </c>
      <c r="D5508" s="2" t="str">
        <f t="shared" si="85"/>
        <v>Error?</v>
      </c>
    </row>
    <row r="5509" spans="1:4" x14ac:dyDescent="0.2">
      <c r="A5509" s="5">
        <v>5448</v>
      </c>
      <c r="B5509" s="138">
        <f>'Revenues 9-14'!E5</f>
        <v>48211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48211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48257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48257</v>
      </c>
      <c r="C5552" s="2" t="s">
        <v>573</v>
      </c>
      <c r="D5552" s="2" t="str">
        <f t="shared" si="85"/>
        <v>Error?</v>
      </c>
    </row>
    <row r="5553" spans="1:4" x14ac:dyDescent="0.2">
      <c r="A5553" s="5">
        <v>5492</v>
      </c>
      <c r="B5553" s="138">
        <f>'Revenues 9-14'!F5</f>
        <v>36052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36052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1802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1802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37854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6792</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6792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6792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6792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44646</v>
      </c>
      <c r="C5720" s="2" t="s">
        <v>573</v>
      </c>
      <c r="D5720" s="2" t="str">
        <f t="shared" si="88"/>
        <v>Error?</v>
      </c>
    </row>
    <row r="5721" spans="1:4" x14ac:dyDescent="0.2">
      <c r="A5721" s="5">
        <v>5660</v>
      </c>
      <c r="B5721" s="138">
        <f>'Revenues 9-14'!G5</f>
        <v>25231</v>
      </c>
      <c r="D5721" s="2" t="str">
        <f t="shared" si="88"/>
        <v>Error?</v>
      </c>
    </row>
    <row r="5722" spans="1:4" x14ac:dyDescent="0.2">
      <c r="A5722" s="5">
        <v>5661</v>
      </c>
      <c r="B5722" s="138">
        <f>'Revenues 9-14'!G7</f>
        <v>0</v>
      </c>
      <c r="D5722" s="2" t="str">
        <f t="shared" si="88"/>
        <v>Error?</v>
      </c>
    </row>
    <row r="5723" spans="1:4" x14ac:dyDescent="0.2">
      <c r="A5723" s="5">
        <v>5662</v>
      </c>
      <c r="B5723" s="138">
        <f>'Revenues 9-14'!G8</f>
        <v>26883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52114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1544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1544</v>
      </c>
      <c r="C5730" s="2" t="s">
        <v>573</v>
      </c>
      <c r="D5730" s="2" t="str">
        <f t="shared" si="88"/>
        <v>Error?</v>
      </c>
    </row>
    <row r="5731" spans="1:4" x14ac:dyDescent="0.2">
      <c r="A5731" s="5">
        <v>5670</v>
      </c>
      <c r="B5731" s="138">
        <f>'Revenues 9-14'!G65</f>
        <v>1916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1916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55574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15173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15173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589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589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15762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14970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14970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1926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1926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16896</v>
      </c>
      <c r="C6023" s="2" t="s">
        <v>573</v>
      </c>
      <c r="D6023" s="2" t="str">
        <f t="shared" si="93"/>
        <v>Error?</v>
      </c>
    </row>
    <row r="6024" spans="1:5" x14ac:dyDescent="0.2">
      <c r="A6024" s="5">
        <v>5963</v>
      </c>
      <c r="B6024" s="138">
        <f>'Revenues 9-14'!G109</f>
        <v>55574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15762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16896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5167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83.36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130953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369</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369</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130584</v>
      </c>
      <c r="D6215" s="2" t="str">
        <f t="shared" si="96"/>
        <v>Error?</v>
      </c>
      <c r="E6215" s="2" t="s">
        <v>190</v>
      </c>
    </row>
    <row r="6216" spans="1:5" x14ac:dyDescent="0.2">
      <c r="A6216">
        <v>6155</v>
      </c>
      <c r="B6216" s="138">
        <f>'Assets-Liab 5-6'!J41</f>
        <v>130953</v>
      </c>
      <c r="D6216" s="2" t="str">
        <f t="shared" si="96"/>
        <v>Error?</v>
      </c>
      <c r="E6216" s="2" t="s">
        <v>190</v>
      </c>
    </row>
    <row r="6217" spans="1:5" x14ac:dyDescent="0.2">
      <c r="A6217">
        <v>6156</v>
      </c>
      <c r="B6217" s="138">
        <f>'Assets-Liab 5-6'!J4</f>
        <v>130953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168626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168626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168626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145774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145774</v>
      </c>
      <c r="D6229" s="2" t="str">
        <f t="shared" si="96"/>
        <v>Error?</v>
      </c>
      <c r="E6229" s="2" t="s">
        <v>190</v>
      </c>
    </row>
    <row r="6230" spans="1:5" x14ac:dyDescent="0.2">
      <c r="A6230">
        <v>6169</v>
      </c>
      <c r="B6230" s="138">
        <f>'Acct Summary 7-8'!J20</f>
        <v>22852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22852</v>
      </c>
      <c r="D6263" s="2" t="str">
        <f t="shared" si="96"/>
        <v>Error?</v>
      </c>
      <c r="E6263" s="2" t="s">
        <v>190</v>
      </c>
    </row>
    <row r="6264" spans="1:5" x14ac:dyDescent="0.2">
      <c r="A6264">
        <v>6203</v>
      </c>
      <c r="B6264" s="138">
        <f>'Acct Summary 7-8'!J79</f>
        <v>107732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130584</v>
      </c>
      <c r="D6266" s="2" t="str">
        <f t="shared" si="96"/>
        <v>Error?</v>
      </c>
      <c r="E6266" s="2" t="s">
        <v>190</v>
      </c>
    </row>
    <row r="6267" spans="1:5" x14ac:dyDescent="0.2">
      <c r="A6267">
        <v>6206</v>
      </c>
      <c r="B6267" s="138">
        <f>'Acct Summary 7-8'!C82</f>
        <v>97744</v>
      </c>
      <c r="D6267" s="2" t="str">
        <f t="shared" si="96"/>
        <v>Error?</v>
      </c>
      <c r="E6267" s="2" t="s">
        <v>190</v>
      </c>
    </row>
    <row r="6268" spans="1:5" x14ac:dyDescent="0.2">
      <c r="A6268">
        <v>6207</v>
      </c>
      <c r="B6268" s="138">
        <f>'Acct Summary 7-8'!D82</f>
        <v>-36942</v>
      </c>
      <c r="D6268" s="2" t="str">
        <f t="shared" si="96"/>
        <v>Error?</v>
      </c>
      <c r="E6268" s="2" t="s">
        <v>190</v>
      </c>
    </row>
    <row r="6269" spans="1:5" x14ac:dyDescent="0.2">
      <c r="A6269">
        <v>6208</v>
      </c>
      <c r="B6269" s="138">
        <f>'Acct Summary 7-8'!E82</f>
        <v>1007</v>
      </c>
      <c r="D6269" s="2" t="str">
        <f t="shared" si="96"/>
        <v>Error?</v>
      </c>
      <c r="E6269" s="2" t="s">
        <v>190</v>
      </c>
    </row>
    <row r="6270" spans="1:5" x14ac:dyDescent="0.2">
      <c r="A6270">
        <v>6209</v>
      </c>
      <c r="B6270" s="138">
        <f>'Acct Summary 7-8'!F82</f>
        <v>4704</v>
      </c>
      <c r="D6270" s="2" t="str">
        <f t="shared" si="96"/>
        <v>Error?</v>
      </c>
      <c r="E6270" s="2" t="s">
        <v>190</v>
      </c>
    </row>
    <row r="6271" spans="1:5" x14ac:dyDescent="0.2">
      <c r="A6271">
        <v>6210</v>
      </c>
      <c r="B6271" s="138">
        <f>'Acct Summary 7-8'!G82</f>
        <v>24159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5762</v>
      </c>
      <c r="D6273" s="2" t="str">
        <f t="shared" si="97"/>
        <v>Error?</v>
      </c>
      <c r="E6273" s="2" t="s">
        <v>190</v>
      </c>
    </row>
    <row r="6274" spans="1:5" x14ac:dyDescent="0.2">
      <c r="A6274">
        <v>6213</v>
      </c>
      <c r="B6274" s="138">
        <f>'Acct Summary 7-8'!J82</f>
        <v>22852</v>
      </c>
      <c r="D6274" s="2" t="str">
        <f t="shared" si="97"/>
        <v>Error?</v>
      </c>
      <c r="E6274" s="2" t="s">
        <v>190</v>
      </c>
    </row>
    <row r="6275" spans="1:5" x14ac:dyDescent="0.2">
      <c r="A6275">
        <v>6214</v>
      </c>
      <c r="B6275" s="138">
        <f>'Acct Summary 7-8'!K82</f>
        <v>16896</v>
      </c>
      <c r="D6275" s="2" t="str">
        <f t="shared" si="97"/>
        <v>Error?</v>
      </c>
      <c r="E6275" s="2" t="s">
        <v>190</v>
      </c>
    </row>
    <row r="6276" spans="1:5" x14ac:dyDescent="0.2">
      <c r="A6276">
        <v>6215</v>
      </c>
      <c r="B6276" s="138">
        <f>'Acct Summary 7-8'!C83</f>
        <v>0.19259294288258894</v>
      </c>
      <c r="D6276" s="2" t="str">
        <f t="shared" si="97"/>
        <v>Error?</v>
      </c>
      <c r="E6276" s="2" t="s">
        <v>190</v>
      </c>
    </row>
    <row r="6277" spans="1:5" x14ac:dyDescent="0.2">
      <c r="A6277">
        <v>6216</v>
      </c>
      <c r="B6277" s="138">
        <f>'Acct Summary 7-8'!D83</f>
        <v>-0.5597781616510592</v>
      </c>
      <c r="D6277" s="2" t="str">
        <f t="shared" si="97"/>
        <v>Error?</v>
      </c>
      <c r="E6277" s="2" t="s">
        <v>190</v>
      </c>
    </row>
    <row r="6278" spans="1:5" x14ac:dyDescent="0.2">
      <c r="A6278">
        <v>6217</v>
      </c>
      <c r="B6278" s="138">
        <f>'Acct Summary 7-8'!E83</f>
        <v>1.2698612862547289</v>
      </c>
      <c r="D6278" s="2" t="str">
        <f t="shared" si="97"/>
        <v>Error?</v>
      </c>
      <c r="E6278" s="2" t="s">
        <v>190</v>
      </c>
    </row>
    <row r="6279" spans="1:5" x14ac:dyDescent="0.2">
      <c r="A6279">
        <v>6218</v>
      </c>
      <c r="B6279" s="138">
        <f>'Acct Summary 7-8'!F83</f>
        <v>4.3564026338454701E-2</v>
      </c>
      <c r="D6279" s="2" t="str">
        <f t="shared" si="97"/>
        <v>Error?</v>
      </c>
      <c r="E6279" s="2" t="s">
        <v>190</v>
      </c>
    </row>
    <row r="6280" spans="1:5" x14ac:dyDescent="0.2">
      <c r="A6280">
        <v>6219</v>
      </c>
      <c r="B6280" s="138">
        <f>'Acct Summary 7-8'!G83</f>
        <v>0.19175787978124728</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0.16885476497479779</v>
      </c>
      <c r="D6282" s="2" t="str">
        <f t="shared" si="97"/>
        <v>Error?</v>
      </c>
      <c r="E6282" s="2" t="s">
        <v>190</v>
      </c>
    </row>
    <row r="6283" spans="1:5" x14ac:dyDescent="0.2">
      <c r="A6283">
        <v>6222</v>
      </c>
      <c r="B6283" s="138">
        <f>'Acct Summary 7-8'!J83</f>
        <v>0.17499846841879557</v>
      </c>
      <c r="D6283" s="2" t="str">
        <f t="shared" si="97"/>
        <v>Error?</v>
      </c>
      <c r="E6283" s="2" t="s">
        <v>190</v>
      </c>
    </row>
    <row r="6284" spans="1:5" x14ac:dyDescent="0.2">
      <c r="A6284">
        <v>6223</v>
      </c>
      <c r="B6284" s="138">
        <f>'Acct Summary 7-8'!K83</f>
        <v>0.13771854749969434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167072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167072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1554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1554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168626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145774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168626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1368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1368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3741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3741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123537</v>
      </c>
      <c r="D7172" s="2" t="str">
        <f t="shared" si="111"/>
        <v>Error?</v>
      </c>
    </row>
    <row r="7173" spans="1:4" x14ac:dyDescent="0.2">
      <c r="A7173">
        <v>7112</v>
      </c>
      <c r="B7173" s="138">
        <f>'Expenditures 15-22'!D325</f>
        <v>1250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124787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123537</v>
      </c>
      <c r="D7199" s="2" t="str">
        <f t="shared" si="111"/>
        <v>Error?</v>
      </c>
    </row>
    <row r="7200" spans="1:4" x14ac:dyDescent="0.2">
      <c r="A7200">
        <v>7139</v>
      </c>
      <c r="B7200" s="138">
        <f>'Expenditures 15-22'!D330</f>
        <v>1250</v>
      </c>
      <c r="D7200" s="2" t="str">
        <f t="shared" si="111"/>
        <v>Error?</v>
      </c>
    </row>
    <row r="7201" spans="1:4" x14ac:dyDescent="0.2">
      <c r="A7201">
        <v>7140</v>
      </c>
      <c r="B7201" s="138">
        <f>'Expenditures 15-22'!E330</f>
        <v>20987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145774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123537</v>
      </c>
      <c r="D7216" s="2" t="str">
        <f t="shared" si="111"/>
        <v>Error?</v>
      </c>
    </row>
    <row r="7217" spans="1:4" x14ac:dyDescent="0.2">
      <c r="A7217">
        <v>7156</v>
      </c>
      <c r="B7217" s="138">
        <f>'Expenditures 15-22'!D342</f>
        <v>1250</v>
      </c>
      <c r="D7217" s="2" t="str">
        <f t="shared" si="111"/>
        <v>Error?</v>
      </c>
    </row>
    <row r="7218" spans="1:4" x14ac:dyDescent="0.2">
      <c r="A7218">
        <v>7157</v>
      </c>
      <c r="B7218" s="138">
        <f>'Expenditures 15-22'!E342</f>
        <v>20987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145774</v>
      </c>
      <c r="D7224" s="2" t="str">
        <f t="shared" si="111"/>
        <v>Error?</v>
      </c>
    </row>
    <row r="7225" spans="1:4" x14ac:dyDescent="0.2">
      <c r="A7225">
        <v>7164</v>
      </c>
      <c r="B7225" s="138">
        <f>'Expenditures 15-22'!K343</f>
        <v>22852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551164</v>
      </c>
      <c r="D7606" s="2" t="str">
        <f t="shared" si="122"/>
        <v>Error?</v>
      </c>
      <c r="E7606" s="2" t="s">
        <v>19</v>
      </c>
    </row>
    <row r="7607" spans="1:5" x14ac:dyDescent="0.2">
      <c r="A7607">
        <f t="shared" si="123"/>
        <v>7546</v>
      </c>
      <c r="B7607" s="138">
        <f>'Cap Outlay Deprec 26'!D9</f>
        <v>27766</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578930</v>
      </c>
      <c r="D7609" s="2" t="str">
        <f t="shared" si="122"/>
        <v>Error?</v>
      </c>
      <c r="E7609" s="2" t="s">
        <v>19</v>
      </c>
    </row>
    <row r="7610" spans="1:5" x14ac:dyDescent="0.2">
      <c r="A7610">
        <f t="shared" si="123"/>
        <v>7549</v>
      </c>
      <c r="B7610" s="138">
        <f>'Cap Outlay Deprec 26'!H9</f>
        <v>100123</v>
      </c>
      <c r="D7610" s="2" t="str">
        <f t="shared" si="122"/>
        <v>Error?</v>
      </c>
      <c r="E7610" s="2" t="s">
        <v>19</v>
      </c>
    </row>
    <row r="7611" spans="1:5" x14ac:dyDescent="0.2">
      <c r="A7611">
        <f t="shared" si="123"/>
        <v>7550</v>
      </c>
      <c r="B7611" s="138">
        <f>'Cap Outlay Deprec 26'!I9</f>
        <v>28715</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128838</v>
      </c>
      <c r="D7613" s="2" t="str">
        <f t="shared" si="122"/>
        <v>Error?</v>
      </c>
      <c r="E7613" s="2" t="s">
        <v>19</v>
      </c>
    </row>
    <row r="7614" spans="1:5" x14ac:dyDescent="0.2">
      <c r="A7614">
        <f t="shared" si="123"/>
        <v>7553</v>
      </c>
      <c r="B7614" s="138">
        <f>'Cap Outlay Deprec 26'!L9</f>
        <v>450092</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53567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15878</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15878</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6579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10000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21118</v>
      </c>
      <c r="D7797" s="2" t="str">
        <f t="shared" si="127"/>
        <v>Error?</v>
      </c>
      <c r="E7797" s="4" t="s">
        <v>1904</v>
      </c>
    </row>
    <row r="7798" spans="1:5" x14ac:dyDescent="0.2">
      <c r="A7798">
        <v>7737</v>
      </c>
      <c r="B7798" s="138">
        <f>'Contracts Paid in CY 29'!F141</f>
        <v>21118</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5" t="s">
        <v>1191</v>
      </c>
      <c r="B2" s="2395"/>
      <c r="C2" s="2395"/>
      <c r="D2" s="2395"/>
      <c r="E2" s="2395"/>
      <c r="F2" s="2395"/>
      <c r="G2" s="2395"/>
      <c r="H2" s="2395"/>
      <c r="I2" s="2395"/>
      <c r="J2" s="2395"/>
      <c r="K2" s="2395"/>
      <c r="L2" s="2395"/>
    </row>
    <row r="3" spans="1:29" ht="13.5" customHeight="1" x14ac:dyDescent="0.2">
      <c r="A3" s="2426" t="s">
        <v>1190</v>
      </c>
      <c r="B3" s="2426"/>
      <c r="C3" s="2426"/>
      <c r="D3" s="2426"/>
      <c r="E3" s="2426"/>
      <c r="F3" s="2426"/>
      <c r="G3" s="2426"/>
      <c r="H3" s="2426"/>
      <c r="I3" s="2426"/>
      <c r="J3" s="2426"/>
      <c r="K3" s="2426"/>
      <c r="L3" s="2426"/>
    </row>
    <row r="4" spans="1:29" ht="13.5" customHeight="1" x14ac:dyDescent="0.2">
      <c r="A4" s="2395" t="s">
        <v>1989</v>
      </c>
      <c r="B4" s="2416"/>
      <c r="C4" s="2416"/>
      <c r="D4" s="2416"/>
      <c r="E4" s="2416"/>
      <c r="F4" s="2416"/>
      <c r="G4" s="2416"/>
      <c r="H4" s="2416"/>
      <c r="I4" s="2416"/>
      <c r="J4" s="2416"/>
      <c r="K4" s="2416"/>
      <c r="L4" s="241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17" t="str">
        <f>COVER!A17</f>
        <v>Creston CCSD 161</v>
      </c>
      <c r="B7" s="2418"/>
      <c r="C7" s="2418"/>
      <c r="D7" s="2419"/>
      <c r="E7" s="2420">
        <f>COVER!A13</f>
        <v>47071161004</v>
      </c>
      <c r="F7" s="2421"/>
      <c r="G7" s="2427" t="str">
        <f>COVER!T23</f>
        <v>066-004656</v>
      </c>
      <c r="H7" s="2428"/>
      <c r="I7" s="2428"/>
      <c r="J7" s="2428"/>
      <c r="K7" s="2428"/>
      <c r="L7" s="2429"/>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30"/>
      <c r="B9" s="2431"/>
      <c r="C9" s="2431"/>
      <c r="D9" s="2431"/>
      <c r="E9" s="2431"/>
      <c r="F9" s="2432"/>
      <c r="G9" s="2401" t="str">
        <f>COVER!T13</f>
        <v>Newkirk &amp; Associates, Inc.</v>
      </c>
      <c r="H9" s="2433"/>
      <c r="I9" s="2433"/>
      <c r="J9" s="2433"/>
      <c r="K9" s="2433"/>
      <c r="L9" s="2434"/>
    </row>
    <row r="10" spans="1:29" ht="13.5" customHeight="1" x14ac:dyDescent="0.2">
      <c r="A10" s="2407" t="str">
        <f>COVER!A38</f>
        <v>CURTIS RHEINGANS</v>
      </c>
      <c r="B10" s="2408"/>
      <c r="C10" s="2408"/>
      <c r="D10" s="2408"/>
      <c r="E10" s="2408"/>
      <c r="F10" s="2409"/>
      <c r="G10" s="2401" t="str">
        <f>COVER!T17</f>
        <v>2 W Main Street</v>
      </c>
      <c r="H10" s="2402"/>
      <c r="I10" s="2402"/>
      <c r="J10" s="2402"/>
      <c r="K10" s="2402"/>
      <c r="L10" s="2403"/>
    </row>
    <row r="11" spans="1:29" ht="13.5" customHeight="1" x14ac:dyDescent="0.2">
      <c r="A11" s="1183" t="s">
        <v>1519</v>
      </c>
      <c r="B11" s="1184"/>
      <c r="C11" s="1185"/>
      <c r="D11" s="1190"/>
      <c r="E11" s="1185"/>
      <c r="F11" s="1189"/>
      <c r="G11" s="2401" t="str">
        <f>COVER!T19</f>
        <v>Plano</v>
      </c>
      <c r="H11" s="2402"/>
      <c r="I11" s="2402"/>
      <c r="J11" s="2402"/>
      <c r="K11" s="2402"/>
      <c r="L11" s="2403"/>
    </row>
    <row r="12" spans="1:29" ht="13.5" customHeight="1" x14ac:dyDescent="0.2">
      <c r="A12" s="2410" t="s">
        <v>1518</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1520</v>
      </c>
      <c r="H13" s="2397"/>
      <c r="I13" s="2413" t="str">
        <f>COVER!T25</f>
        <v>BNEWKIRK@NEWKIRKCPAS.COM</v>
      </c>
      <c r="J13" s="2414"/>
      <c r="K13" s="2414"/>
      <c r="L13" s="2415"/>
    </row>
    <row r="14" spans="1:29" ht="13.5" customHeight="1" x14ac:dyDescent="0.2">
      <c r="A14" s="2401" t="str">
        <f>COVER!A19</f>
        <v>202 W SOUTH STREET</v>
      </c>
      <c r="B14" s="2402"/>
      <c r="C14" s="2402"/>
      <c r="D14" s="2402"/>
      <c r="E14" s="2402"/>
      <c r="F14" s="2403"/>
      <c r="G14" s="1194" t="s">
        <v>1185</v>
      </c>
      <c r="H14" s="1192"/>
      <c r="I14" s="1192"/>
      <c r="J14" s="1192"/>
      <c r="K14" s="1192"/>
      <c r="L14" s="1193"/>
    </row>
    <row r="15" spans="1:29" ht="13.5" customHeight="1" x14ac:dyDescent="0.2">
      <c r="A15" s="2401" t="str">
        <f>COVER!A21</f>
        <v xml:space="preserve">CRESTON </v>
      </c>
      <c r="B15" s="2402"/>
      <c r="C15" s="2402"/>
      <c r="D15" s="2402"/>
      <c r="E15" s="2402"/>
      <c r="F15" s="2403"/>
      <c r="G15" s="2398" t="str">
        <f>COVER!T15</f>
        <v>William Newkirk</v>
      </c>
      <c r="H15" s="2399"/>
      <c r="I15" s="2399"/>
      <c r="J15" s="2399"/>
      <c r="K15" s="2399"/>
      <c r="L15" s="2400"/>
    </row>
    <row r="16" spans="1:29" ht="12.2" customHeight="1" x14ac:dyDescent="0.2">
      <c r="A16" s="2423">
        <f>COVER!A25</f>
        <v>60113</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94" t="s">
        <v>1184</v>
      </c>
      <c r="H17" s="1192"/>
      <c r="I17" s="1192"/>
      <c r="J17" s="1192"/>
      <c r="K17" s="1196" t="s">
        <v>1183</v>
      </c>
      <c r="L17" s="1189"/>
      <c r="M17" s="1182"/>
    </row>
    <row r="18" spans="1:13" ht="12.2" customHeight="1" x14ac:dyDescent="0.2">
      <c r="A18" s="2407"/>
      <c r="B18" s="2408"/>
      <c r="C18" s="2408"/>
      <c r="D18" s="2408"/>
      <c r="E18" s="2408"/>
      <c r="F18" s="2409"/>
      <c r="G18" s="2417" t="str">
        <f>COVER!T21</f>
        <v>630-552-1040</v>
      </c>
      <c r="H18" s="2418"/>
      <c r="I18" s="2418"/>
      <c r="J18" s="2418"/>
      <c r="K18" s="2417" t="str">
        <f>COVER!X21</f>
        <v>630-522-7399</v>
      </c>
      <c r="L18" s="242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9" t="str">
        <f>'Single Audit Cover'!A7</f>
        <v>Creston CCSD 161</v>
      </c>
      <c r="B1" s="2416"/>
      <c r="C1" s="2416"/>
      <c r="D1" s="2416"/>
    </row>
    <row r="2" spans="1:11" s="1211" customFormat="1" ht="12.75" x14ac:dyDescent="0.2">
      <c r="A2" s="2440">
        <f>'Single Audit Cover'!E7</f>
        <v>47071161004</v>
      </c>
      <c r="B2" s="2441"/>
      <c r="C2" s="2441"/>
      <c r="D2" s="2441"/>
    </row>
    <row r="3" spans="1:11" s="1211" customFormat="1" ht="12.75" x14ac:dyDescent="0.2">
      <c r="A3" s="2439" t="s">
        <v>1513</v>
      </c>
      <c r="B3" s="2416"/>
      <c r="C3" s="2416"/>
      <c r="D3" s="2416"/>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43" t="str">
        <f>'Single Audit Cover'!A7</f>
        <v>Creston CCSD 161</v>
      </c>
      <c r="B1" s="2443"/>
      <c r="C1" s="2443"/>
      <c r="D1" s="2443"/>
      <c r="E1" s="2443"/>
    </row>
    <row r="2" spans="1:5" x14ac:dyDescent="0.2">
      <c r="A2" s="2444">
        <f>'Single Audit Cover'!E7</f>
        <v>47071161004</v>
      </c>
      <c r="B2" s="2444"/>
      <c r="C2" s="2444"/>
      <c r="D2" s="2444"/>
      <c r="E2" s="2444"/>
    </row>
    <row r="3" spans="1:5" ht="4.5" customHeight="1" x14ac:dyDescent="0.2"/>
    <row r="4" spans="1:5" x14ac:dyDescent="0.2">
      <c r="A4" s="2443" t="s">
        <v>1245</v>
      </c>
      <c r="B4" s="2443"/>
      <c r="C4" s="2443"/>
      <c r="D4" s="2443"/>
      <c r="E4" s="2443"/>
    </row>
    <row r="5" spans="1:5" x14ac:dyDescent="0.2">
      <c r="A5" s="2446" t="str">
        <f>'Single Audit Cover'!A4</f>
        <v>Year Ending June 30, 2019</v>
      </c>
      <c r="B5" s="2446"/>
      <c r="C5" s="2446"/>
      <c r="D5" s="2446"/>
      <c r="E5" s="2446"/>
    </row>
    <row r="6" spans="1:5" x14ac:dyDescent="0.2">
      <c r="A6" s="2443" t="s">
        <v>1244</v>
      </c>
      <c r="B6" s="2443"/>
      <c r="C6" s="2443"/>
      <c r="D6" s="2443"/>
      <c r="E6" s="2443"/>
    </row>
    <row r="8" spans="1:5" x14ac:dyDescent="0.2">
      <c r="A8" s="1256" t="s">
        <v>1243</v>
      </c>
    </row>
    <row r="10" spans="1:5" x14ac:dyDescent="0.2">
      <c r="A10" s="1257" t="s">
        <v>1242</v>
      </c>
      <c r="B10" s="1258" t="s">
        <v>1241</v>
      </c>
      <c r="C10" s="1258"/>
      <c r="D10" s="1259">
        <f>SUM('Acct Summary 7-8'!C7:K7)</f>
        <v>54434</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0</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-499</v>
      </c>
    </row>
    <row r="19" spans="1:4" ht="13.5" thickBot="1" x14ac:dyDescent="0.25">
      <c r="A19" s="1261" t="s">
        <v>1235</v>
      </c>
      <c r="D19" s="1262">
        <f>SUM(D10:D17)</f>
        <v>53935</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45"/>
      <c r="B24" s="2445"/>
      <c r="D24" s="1264"/>
    </row>
    <row r="25" spans="1:4" x14ac:dyDescent="0.2">
      <c r="A25" s="2442"/>
      <c r="B25" s="2442"/>
      <c r="D25" s="1264"/>
    </row>
    <row r="26" spans="1:4" x14ac:dyDescent="0.2">
      <c r="A26" s="2442"/>
      <c r="B26" s="2442"/>
      <c r="D26" s="1264"/>
    </row>
    <row r="27" spans="1:4" x14ac:dyDescent="0.2">
      <c r="A27" s="2442"/>
      <c r="B27" s="2442"/>
      <c r="D27" s="1264"/>
    </row>
    <row r="28" spans="1:4" x14ac:dyDescent="0.2">
      <c r="A28" s="2442"/>
      <c r="B28" s="2442"/>
      <c r="D28" s="1264"/>
    </row>
    <row r="29" spans="1:4" x14ac:dyDescent="0.2">
      <c r="A29" s="2442"/>
      <c r="B29" s="2442"/>
      <c r="D29" s="1264"/>
    </row>
    <row r="30" spans="1:4" x14ac:dyDescent="0.2">
      <c r="A30" s="2442"/>
      <c r="B30" s="2442"/>
      <c r="D30" s="1264"/>
    </row>
    <row r="32" spans="1:4" x14ac:dyDescent="0.2">
      <c r="A32" s="1256" t="s">
        <v>1233</v>
      </c>
      <c r="D32" s="1259">
        <f>SUM(D19:D30)</f>
        <v>53935</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42"/>
      <c r="B40" s="2442"/>
      <c r="D40" s="1264"/>
    </row>
    <row r="41" spans="1:4" x14ac:dyDescent="0.2">
      <c r="A41" s="2442"/>
      <c r="B41" s="2442"/>
      <c r="D41" s="1267"/>
    </row>
    <row r="42" spans="1:4" x14ac:dyDescent="0.2">
      <c r="A42" s="2442"/>
      <c r="B42" s="2442"/>
      <c r="D42" s="1267"/>
    </row>
    <row r="43" spans="1:4" x14ac:dyDescent="0.2">
      <c r="A43" s="2442"/>
      <c r="B43" s="2442"/>
      <c r="D43" s="1267"/>
    </row>
    <row r="44" spans="1:4" x14ac:dyDescent="0.2">
      <c r="A44" s="2442"/>
      <c r="B44" s="2442"/>
      <c r="D44" s="1267"/>
    </row>
    <row r="45" spans="1:4" x14ac:dyDescent="0.2">
      <c r="A45" s="2442"/>
      <c r="B45" s="2442"/>
      <c r="D45" s="1267"/>
    </row>
    <row r="47" spans="1:4" x14ac:dyDescent="0.2">
      <c r="B47" s="1268" t="s">
        <v>1227</v>
      </c>
      <c r="C47" s="1268"/>
      <c r="D47" s="1269">
        <f>SUM(D35:D45)</f>
        <v>0</v>
      </c>
    </row>
    <row r="49" spans="2:4" x14ac:dyDescent="0.2">
      <c r="B49" s="1268" t="s">
        <v>1226</v>
      </c>
      <c r="C49" s="1268"/>
      <c r="D49" s="1269">
        <f>D32-D47</f>
        <v>53935</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6" t="str">
        <f>'Single Audit Cover'!A7</f>
        <v>Creston CCSD 161</v>
      </c>
      <c r="C1" s="2447"/>
      <c r="D1" s="2447"/>
      <c r="E1" s="2447"/>
      <c r="F1" s="2447"/>
      <c r="G1" s="2447"/>
      <c r="H1" s="2447"/>
      <c r="I1" s="2447"/>
      <c r="J1" s="2447"/>
      <c r="K1" s="2447"/>
      <c r="L1" s="2447"/>
      <c r="M1" s="2447"/>
    </row>
    <row r="2" spans="2:14" ht="15" x14ac:dyDescent="0.2">
      <c r="B2" s="2448">
        <f>'Single Audit Cover'!E7</f>
        <v>47071161004</v>
      </c>
      <c r="C2" s="2448"/>
      <c r="D2" s="2448"/>
      <c r="E2" s="2448"/>
      <c r="F2" s="2448"/>
      <c r="G2" s="2448"/>
      <c r="H2" s="2448"/>
      <c r="I2" s="2448"/>
      <c r="J2" s="2448"/>
      <c r="K2" s="2448"/>
      <c r="L2" s="2448"/>
      <c r="M2" s="2448"/>
      <c r="N2" s="1298"/>
    </row>
    <row r="3" spans="2:14" ht="15" x14ac:dyDescent="0.2">
      <c r="B3" s="2449" t="s">
        <v>1219</v>
      </c>
      <c r="C3" s="2449"/>
      <c r="D3" s="2449"/>
      <c r="E3" s="2449"/>
      <c r="F3" s="2449"/>
      <c r="G3" s="2449"/>
      <c r="H3" s="2449"/>
      <c r="I3" s="2449"/>
      <c r="J3" s="2449"/>
      <c r="K3" s="2449"/>
      <c r="L3" s="2449"/>
      <c r="M3" s="2449"/>
      <c r="N3" s="1298"/>
    </row>
    <row r="4" spans="2:14" ht="15" x14ac:dyDescent="0.2">
      <c r="B4" s="2450" t="str">
        <f>'Single Audit Cover'!A4</f>
        <v>Year Ending June 30, 2019</v>
      </c>
      <c r="C4" s="2450"/>
      <c r="D4" s="2450"/>
      <c r="E4" s="2450"/>
      <c r="F4" s="2450"/>
      <c r="G4" s="2450"/>
      <c r="H4" s="2450"/>
      <c r="I4" s="2450"/>
      <c r="J4" s="2450"/>
      <c r="K4" s="2450"/>
      <c r="L4" s="2450"/>
      <c r="M4" s="2450"/>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Creston CCSD 161</v>
      </c>
      <c r="B1" s="2460"/>
      <c r="C1" s="2460"/>
      <c r="D1" s="2460"/>
      <c r="E1" s="2460"/>
      <c r="F1" s="2460"/>
    </row>
    <row r="2" spans="1:7" ht="13.5" customHeight="1" x14ac:dyDescent="0.2">
      <c r="A2" s="2448">
        <f>'Single Audit Cover'!E7</f>
        <v>47071161004</v>
      </c>
      <c r="B2" s="2448"/>
      <c r="C2" s="2448"/>
      <c r="D2" s="2448"/>
      <c r="E2" s="2448"/>
      <c r="F2" s="2448"/>
      <c r="G2" s="1271"/>
    </row>
    <row r="3" spans="1:7" ht="15.75" customHeight="1" x14ac:dyDescent="0.2">
      <c r="A3" s="2461" t="s">
        <v>1271</v>
      </c>
      <c r="B3" s="2461"/>
      <c r="C3" s="2461"/>
      <c r="D3" s="2461"/>
      <c r="E3" s="2461"/>
      <c r="F3" s="2461"/>
    </row>
    <row r="4" spans="1:7" ht="13.5" customHeight="1" x14ac:dyDescent="0.2">
      <c r="A4" s="2462" t="str">
        <f>'Single Audit Cover'!A4</f>
        <v>Year Ending June 30, 2019</v>
      </c>
      <c r="B4" s="2462"/>
      <c r="C4" s="2462"/>
      <c r="D4" s="2462"/>
      <c r="E4" s="2462"/>
      <c r="F4" s="2462"/>
    </row>
    <row r="5" spans="1:7" ht="8.25" customHeight="1" x14ac:dyDescent="0.2">
      <c r="C5" s="317"/>
      <c r="D5" s="317"/>
    </row>
    <row r="6" spans="1:7" ht="13.5" customHeight="1" x14ac:dyDescent="0.2">
      <c r="A6" s="1272" t="s">
        <v>1728</v>
      </c>
      <c r="C6" s="317"/>
      <c r="D6" s="317"/>
    </row>
    <row r="7" spans="1:7" ht="60.95" customHeight="1" x14ac:dyDescent="0.2">
      <c r="A7" s="2459" t="s">
        <v>1729</v>
      </c>
      <c r="B7" s="2459"/>
      <c r="C7" s="2459"/>
      <c r="D7" s="2459"/>
      <c r="E7" s="2459"/>
      <c r="F7" s="2459"/>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59" t="s">
        <v>1731</v>
      </c>
      <c r="B13" s="2459"/>
      <c r="C13" s="2459"/>
      <c r="D13" s="2459"/>
      <c r="E13" s="2459"/>
      <c r="F13" s="2459"/>
    </row>
    <row r="14" spans="1:7" ht="9.75" customHeight="1" x14ac:dyDescent="0.2">
      <c r="C14" s="1256"/>
      <c r="D14" s="1256"/>
    </row>
    <row r="15" spans="1:7" ht="13.5" customHeight="1" x14ac:dyDescent="0.2">
      <c r="C15" s="1845" t="s">
        <v>1270</v>
      </c>
      <c r="D15" s="2457" t="s">
        <v>1269</v>
      </c>
      <c r="E15" s="2457"/>
      <c r="F15" s="2457"/>
    </row>
    <row r="16" spans="1:7" ht="13.5" customHeight="1" x14ac:dyDescent="0.2">
      <c r="A16" s="1278"/>
      <c r="B16" s="1272" t="s">
        <v>1268</v>
      </c>
      <c r="C16" s="1845" t="s">
        <v>1267</v>
      </c>
      <c r="D16" s="2458" t="s">
        <v>1588</v>
      </c>
      <c r="E16" s="2458"/>
      <c r="F16" s="2458"/>
    </row>
    <row r="17" spans="1:6" ht="20.45" customHeight="1" x14ac:dyDescent="0.2">
      <c r="A17" s="1279"/>
      <c r="B17" s="1280"/>
      <c r="C17" s="1281"/>
      <c r="D17" s="2452"/>
      <c r="E17" s="2452"/>
      <c r="F17" s="2452"/>
    </row>
    <row r="18" spans="1:6" ht="20.65" customHeight="1" x14ac:dyDescent="0.2">
      <c r="A18" s="1279"/>
      <c r="B18" s="1280"/>
      <c r="C18" s="1281"/>
      <c r="D18" s="2452"/>
      <c r="E18" s="2452"/>
      <c r="F18" s="2452"/>
    </row>
    <row r="19" spans="1:6" ht="20.65" customHeight="1" x14ac:dyDescent="0.2">
      <c r="A19" s="1279"/>
      <c r="B19" s="1280"/>
      <c r="C19" s="1281"/>
      <c r="D19" s="2452"/>
      <c r="E19" s="2452"/>
      <c r="F19" s="2452"/>
    </row>
    <row r="20" spans="1:6" ht="20.65" customHeight="1" x14ac:dyDescent="0.2">
      <c r="A20" s="1279"/>
      <c r="B20" s="1280"/>
      <c r="C20" s="1281"/>
      <c r="D20" s="2452"/>
      <c r="E20" s="2452"/>
      <c r="F20" s="2452"/>
    </row>
    <row r="21" spans="1:6" ht="20.65" customHeight="1" x14ac:dyDescent="0.2">
      <c r="A21" s="1279"/>
      <c r="B21" s="1280"/>
      <c r="C21" s="1281"/>
      <c r="D21" s="2452"/>
      <c r="E21" s="2452"/>
      <c r="F21" s="2452"/>
    </row>
    <row r="22" spans="1:6" ht="20.65" customHeight="1" x14ac:dyDescent="0.2">
      <c r="A22" s="1279"/>
      <c r="B22" s="1280"/>
      <c r="C22" s="1281"/>
      <c r="D22" s="2452"/>
      <c r="E22" s="2452"/>
      <c r="F22" s="2452"/>
    </row>
    <row r="23" spans="1:6" ht="20.65" customHeight="1" x14ac:dyDescent="0.2">
      <c r="A23" s="1279"/>
      <c r="B23" s="1280"/>
      <c r="C23" s="1281"/>
      <c r="D23" s="2452"/>
      <c r="E23" s="2452"/>
      <c r="F23" s="2452"/>
    </row>
    <row r="24" spans="1:6" ht="20.65" customHeight="1" x14ac:dyDescent="0.2">
      <c r="A24" s="1279"/>
      <c r="B24" s="1280"/>
      <c r="C24" s="1281"/>
      <c r="D24" s="2452"/>
      <c r="E24" s="2452"/>
      <c r="F24" s="2452"/>
    </row>
    <row r="25" spans="1:6" ht="20.65" customHeight="1" x14ac:dyDescent="0.2">
      <c r="A25" s="1279"/>
      <c r="B25" s="1280"/>
      <c r="C25" s="1281"/>
      <c r="D25" s="2452"/>
      <c r="E25" s="2452"/>
      <c r="F25" s="2452"/>
    </row>
    <row r="26" spans="1:6" ht="20.65" customHeight="1" x14ac:dyDescent="0.2">
      <c r="A26" s="1279"/>
      <c r="B26" s="1280"/>
      <c r="C26" s="1281"/>
      <c r="D26" s="2452"/>
      <c r="E26" s="2452"/>
      <c r="F26" s="2452"/>
    </row>
    <row r="27" spans="1:6" ht="20.65" customHeight="1" x14ac:dyDescent="0.2">
      <c r="A27" s="1279"/>
      <c r="B27" s="1280"/>
      <c r="C27" s="1281"/>
      <c r="D27" s="2452"/>
      <c r="E27" s="2452"/>
      <c r="F27" s="2452"/>
    </row>
    <row r="28" spans="1:6" ht="20.65" customHeight="1" x14ac:dyDescent="0.2">
      <c r="A28" s="1279"/>
      <c r="B28" s="1280"/>
      <c r="C28" s="1281"/>
      <c r="D28" s="2452"/>
      <c r="E28" s="2452"/>
      <c r="F28" s="2452"/>
    </row>
    <row r="29" spans="1:6" ht="20.65" customHeight="1" x14ac:dyDescent="0.2">
      <c r="A29" s="1279"/>
      <c r="B29" s="1280"/>
      <c r="C29" s="1281"/>
      <c r="D29" s="2452"/>
      <c r="E29" s="2452"/>
      <c r="F29" s="2452"/>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53" t="s">
        <v>1732</v>
      </c>
      <c r="B32" s="2453"/>
      <c r="C32" s="2453"/>
      <c r="D32" s="2453"/>
      <c r="E32" s="2453"/>
      <c r="F32" s="2453"/>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54">
        <f>+C33+C34</f>
        <v>0</v>
      </c>
      <c r="F34" s="2455"/>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6" t="s">
        <v>1590</v>
      </c>
      <c r="C49" s="2456"/>
      <c r="D49" s="2456"/>
      <c r="E49" s="1395"/>
    </row>
    <row r="50" spans="1:5" s="1296" customFormat="1" ht="3.75" customHeight="1" x14ac:dyDescent="0.2">
      <c r="A50" s="1295"/>
      <c r="B50" s="1844"/>
      <c r="C50" s="1844"/>
      <c r="D50" s="1844"/>
      <c r="E50" s="1395"/>
    </row>
    <row r="51" spans="1:5" s="1296" customFormat="1" ht="20.25" customHeight="1" x14ac:dyDescent="0.2">
      <c r="A51" s="1297">
        <v>6</v>
      </c>
      <c r="B51" s="2451" t="s">
        <v>1551</v>
      </c>
      <c r="C51" s="2451"/>
      <c r="D51" s="2451"/>
    </row>
    <row r="52" spans="1:5" ht="14.25" customHeight="1" x14ac:dyDescent="0.2">
      <c r="A52" s="1297"/>
      <c r="B52" s="2451"/>
      <c r="C52" s="2451"/>
      <c r="D52" s="2451"/>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1168</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2081</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2" t="s">
        <v>1633</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2" t="s">
        <v>313</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1323</v>
      </c>
      <c r="B70" s="2085"/>
      <c r="C70" s="2085"/>
      <c r="D70" s="2085"/>
      <c r="E70" s="2086"/>
      <c r="F70" s="2086"/>
      <c r="G70" s="2086"/>
      <c r="H70" s="2086"/>
      <c r="I70" s="208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1320</v>
      </c>
      <c r="B83" s="2087"/>
      <c r="C83" s="2087"/>
      <c r="D83" s="208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2065</v>
      </c>
      <c r="D114" s="207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1330</v>
      </c>
      <c r="D117" s="2080"/>
      <c r="E117" s="2081"/>
      <c r="F117" s="2081"/>
      <c r="G117" s="2081"/>
      <c r="H117" s="2081"/>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Creston CCSD 161</v>
      </c>
      <c r="C1" s="2475"/>
      <c r="D1" s="2475"/>
      <c r="E1" s="2475"/>
      <c r="F1" s="2475"/>
      <c r="G1" s="2475"/>
      <c r="H1" s="2475"/>
      <c r="I1" s="2475"/>
      <c r="J1" s="1405"/>
    </row>
    <row r="2" spans="2:10" s="317" customFormat="1" ht="12.75" customHeight="1" x14ac:dyDescent="0.2">
      <c r="B2" s="2476">
        <f>'Single Audit Cover'!E7</f>
        <v>47071161004</v>
      </c>
      <c r="C2" s="2477"/>
      <c r="D2" s="2477"/>
      <c r="E2" s="2477"/>
      <c r="F2" s="2477"/>
      <c r="G2" s="2477"/>
      <c r="H2" s="2477"/>
      <c r="I2" s="2477"/>
      <c r="J2" s="1405"/>
    </row>
    <row r="3" spans="2:10" s="317" customFormat="1" ht="12.75" customHeight="1" x14ac:dyDescent="0.2">
      <c r="B3" s="2478" t="s">
        <v>1285</v>
      </c>
      <c r="C3" s="2479"/>
      <c r="D3" s="2479"/>
      <c r="E3" s="2479"/>
      <c r="F3" s="2479"/>
      <c r="G3" s="2479"/>
      <c r="H3" s="2479"/>
      <c r="I3" s="2479"/>
      <c r="J3" s="1406"/>
    </row>
    <row r="4" spans="2:10" s="317" customFormat="1" ht="12.75" customHeight="1" x14ac:dyDescent="0.2">
      <c r="B4" s="2478" t="str">
        <f>'Single Audit Cover'!A4</f>
        <v>Year Ending June 30, 2019</v>
      </c>
      <c r="C4" s="2479"/>
      <c r="D4" s="2479"/>
      <c r="E4" s="2479"/>
      <c r="F4" s="2479"/>
      <c r="G4" s="2479"/>
      <c r="H4" s="2479"/>
      <c r="I4" s="2479"/>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78" t="s">
        <v>1284</v>
      </c>
      <c r="C7" s="2479"/>
      <c r="D7" s="2479"/>
      <c r="E7" s="2479"/>
      <c r="F7" s="2479"/>
      <c r="G7" s="2479"/>
      <c r="H7" s="2479"/>
      <c r="I7" s="2479"/>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80"/>
      <c r="D11" s="2480"/>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81"/>
      <c r="E29" s="2481"/>
      <c r="F29" s="2481"/>
      <c r="G29" s="2481"/>
      <c r="H29" s="2481"/>
      <c r="I29" s="2481"/>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82" t="s">
        <v>1751</v>
      </c>
      <c r="D37" s="2483"/>
      <c r="E37" s="2483"/>
      <c r="F37" s="2484"/>
      <c r="G37" s="2482" t="s">
        <v>1592</v>
      </c>
      <c r="H37" s="2483"/>
      <c r="I37" s="2484"/>
    </row>
    <row r="38" spans="2:9" ht="16.5" customHeight="1" x14ac:dyDescent="0.2">
      <c r="B38" s="1427"/>
      <c r="C38" s="2470"/>
      <c r="D38" s="2471"/>
      <c r="E38" s="2471"/>
      <c r="F38" s="2472"/>
      <c r="G38" s="2485"/>
      <c r="H38" s="2486"/>
      <c r="I38" s="2487"/>
    </row>
    <row r="39" spans="2:9" ht="16.5" customHeight="1" x14ac:dyDescent="0.2">
      <c r="B39" s="1427"/>
      <c r="C39" s="2470"/>
      <c r="D39" s="2471"/>
      <c r="E39" s="2471"/>
      <c r="F39" s="2472"/>
      <c r="G39" s="2473"/>
      <c r="H39" s="2473"/>
      <c r="I39" s="2473"/>
    </row>
    <row r="40" spans="2:9" ht="16.5" customHeight="1" x14ac:dyDescent="0.2">
      <c r="B40" s="1427"/>
      <c r="C40" s="2470"/>
      <c r="D40" s="2471"/>
      <c r="E40" s="2471"/>
      <c r="F40" s="2472"/>
      <c r="G40" s="2473"/>
      <c r="H40" s="2473"/>
      <c r="I40" s="2473"/>
    </row>
    <row r="41" spans="2:9" ht="16.5" customHeight="1" x14ac:dyDescent="0.2">
      <c r="B41" s="1427"/>
      <c r="C41" s="2470"/>
      <c r="D41" s="2471"/>
      <c r="E41" s="2471"/>
      <c r="F41" s="2472"/>
      <c r="G41" s="2473"/>
      <c r="H41" s="2473"/>
      <c r="I41" s="2473"/>
    </row>
    <row r="42" spans="2:9" ht="16.5" customHeight="1" x14ac:dyDescent="0.2">
      <c r="B42" s="1427"/>
      <c r="C42" s="2470"/>
      <c r="D42" s="2471"/>
      <c r="E42" s="2471"/>
      <c r="F42" s="2472"/>
      <c r="G42" s="2473"/>
      <c r="H42" s="2473"/>
      <c r="I42" s="2473"/>
    </row>
    <row r="43" spans="2:9" ht="16.5" customHeight="1" x14ac:dyDescent="0.2">
      <c r="B43" s="1427"/>
      <c r="C43" s="2463" t="s">
        <v>1593</v>
      </c>
      <c r="D43" s="2464"/>
      <c r="E43" s="2464"/>
      <c r="F43" s="2465"/>
      <c r="G43" s="2466">
        <f>SUM(G38:I42)</f>
        <v>0</v>
      </c>
      <c r="H43" s="2466"/>
      <c r="I43" s="2466"/>
    </row>
    <row r="44" spans="2:9" ht="12.75" customHeight="1" x14ac:dyDescent="0.2"/>
    <row r="45" spans="2:9" ht="12.75" customHeight="1" x14ac:dyDescent="0.2">
      <c r="B45" s="1418" t="s">
        <v>1841</v>
      </c>
      <c r="D45" s="2467">
        <v>0</v>
      </c>
      <c r="E45" s="2468"/>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69"/>
      <c r="F49" s="2469"/>
      <c r="G49" s="2469"/>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Creston CCSD 161</v>
      </c>
      <c r="C1" s="2474"/>
      <c r="D1" s="2474"/>
      <c r="E1" s="2474"/>
      <c r="F1" s="2474"/>
      <c r="G1" s="2474"/>
      <c r="H1" s="2474"/>
      <c r="I1" s="2474"/>
      <c r="J1" s="2474"/>
      <c r="K1" s="2474"/>
      <c r="L1" s="1370"/>
      <c r="M1" s="1370"/>
    </row>
    <row r="2" spans="1:13" ht="12" customHeight="1" x14ac:dyDescent="0.2">
      <c r="B2" s="2476">
        <f>'Single Audit Cover'!E7</f>
        <v>47071161004</v>
      </c>
      <c r="C2" s="2476"/>
      <c r="D2" s="2476"/>
      <c r="E2" s="2476"/>
      <c r="F2" s="2476"/>
      <c r="G2" s="2476"/>
      <c r="H2" s="2476"/>
      <c r="I2" s="2476"/>
      <c r="J2" s="2476"/>
      <c r="K2" s="2476"/>
      <c r="L2" s="1371"/>
      <c r="M2" s="1372"/>
    </row>
    <row r="3" spans="1:13" ht="10.35" customHeight="1" x14ac:dyDescent="0.2">
      <c r="B3" s="2490" t="s">
        <v>1285</v>
      </c>
      <c r="C3" s="2490"/>
      <c r="D3" s="2490"/>
      <c r="E3" s="2490"/>
      <c r="F3" s="2490"/>
      <c r="G3" s="2490"/>
      <c r="H3" s="2490"/>
      <c r="I3" s="2490"/>
      <c r="J3" s="2490"/>
      <c r="K3" s="2490"/>
      <c r="L3" s="1373"/>
      <c r="M3" s="1373"/>
    </row>
    <row r="4" spans="1:13" ht="14.25" customHeight="1" x14ac:dyDescent="0.2">
      <c r="B4" s="2491" t="str">
        <f>'Single Audit Cover'!A4</f>
        <v>Year Ending June 30, 2019</v>
      </c>
      <c r="C4" s="2491"/>
      <c r="D4" s="2491"/>
      <c r="E4" s="2491"/>
      <c r="F4" s="2491"/>
      <c r="G4" s="2491"/>
      <c r="H4" s="2491"/>
      <c r="I4" s="2491"/>
      <c r="J4" s="2491"/>
      <c r="K4" s="2491"/>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91" t="s">
        <v>1296</v>
      </c>
      <c r="C7" s="2491"/>
      <c r="D7" s="2492"/>
      <c r="E7" s="2492"/>
      <c r="F7" s="2492"/>
      <c r="G7" s="2492"/>
      <c r="H7" s="2492"/>
      <c r="I7" s="2492"/>
      <c r="J7" s="2492"/>
      <c r="K7" s="2492"/>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89"/>
      <c r="C14" s="2489"/>
      <c r="D14" s="2489"/>
      <c r="E14" s="2489"/>
      <c r="F14" s="2489"/>
      <c r="G14" s="2489"/>
      <c r="H14" s="2489"/>
      <c r="I14" s="2489"/>
      <c r="J14" s="2489"/>
      <c r="K14" s="2489"/>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89"/>
      <c r="C17" s="2489"/>
      <c r="D17" s="2489"/>
      <c r="E17" s="2489"/>
      <c r="F17" s="2489"/>
      <c r="G17" s="2489"/>
      <c r="H17" s="2489"/>
      <c r="I17" s="2489"/>
      <c r="J17" s="2489"/>
      <c r="K17" s="2489"/>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93"/>
      <c r="C20" s="2493"/>
      <c r="D20" s="2489"/>
      <c r="E20" s="2489"/>
      <c r="F20" s="2489"/>
      <c r="G20" s="2489"/>
      <c r="H20" s="2489"/>
      <c r="I20" s="2489"/>
      <c r="J20" s="2489"/>
      <c r="K20" s="2489"/>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89"/>
      <c r="C23" s="2489"/>
      <c r="D23" s="2489"/>
      <c r="E23" s="2489"/>
      <c r="F23" s="2489"/>
      <c r="G23" s="2489"/>
      <c r="H23" s="2489"/>
      <c r="I23" s="2489"/>
      <c r="J23" s="2489"/>
      <c r="K23" s="2489"/>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89"/>
      <c r="C26" s="2489"/>
      <c r="D26" s="2489"/>
      <c r="E26" s="2489"/>
      <c r="F26" s="2489"/>
      <c r="G26" s="2489"/>
      <c r="H26" s="2489"/>
      <c r="I26" s="2489"/>
      <c r="J26" s="2489"/>
      <c r="K26" s="2489"/>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88"/>
      <c r="C29" s="2488"/>
      <c r="D29" s="2489"/>
      <c r="E29" s="2489"/>
      <c r="F29" s="2489"/>
      <c r="G29" s="2489"/>
      <c r="H29" s="2489"/>
      <c r="I29" s="2489"/>
      <c r="J29" s="2489"/>
      <c r="K29" s="2489"/>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88"/>
      <c r="C32" s="2488"/>
      <c r="D32" s="2489"/>
      <c r="E32" s="2489"/>
      <c r="F32" s="2489"/>
      <c r="G32" s="2489"/>
      <c r="H32" s="2489"/>
      <c r="I32" s="2489"/>
      <c r="J32" s="2489"/>
      <c r="K32" s="2489"/>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Creston CCSD 161</v>
      </c>
      <c r="C1" s="2497"/>
      <c r="D1" s="2497"/>
      <c r="E1" s="2497"/>
      <c r="F1" s="2497"/>
      <c r="G1" s="2497"/>
      <c r="H1" s="2497"/>
      <c r="I1" s="2497"/>
      <c r="J1" s="2497"/>
      <c r="K1" s="2497"/>
      <c r="L1" s="1448"/>
    </row>
    <row r="2" spans="1:12" ht="12.75" customHeight="1" x14ac:dyDescent="0.2">
      <c r="B2" s="2498">
        <f>'Single Audit Cover'!E7</f>
        <v>47071161004</v>
      </c>
      <c r="C2" s="2498"/>
      <c r="D2" s="2498"/>
      <c r="E2" s="2498"/>
      <c r="F2" s="2498"/>
      <c r="G2" s="2498"/>
      <c r="H2" s="2498"/>
      <c r="I2" s="2498"/>
      <c r="J2" s="2498"/>
      <c r="K2" s="2498"/>
      <c r="L2" s="1449"/>
    </row>
    <row r="3" spans="1:12" ht="12.75" customHeight="1" x14ac:dyDescent="0.2">
      <c r="B3" s="2490" t="s">
        <v>1285</v>
      </c>
      <c r="C3" s="2490"/>
      <c r="D3" s="2490"/>
      <c r="E3" s="2490"/>
      <c r="F3" s="2490"/>
      <c r="G3" s="2490"/>
      <c r="H3" s="2490"/>
      <c r="I3" s="2490"/>
      <c r="J3" s="2490"/>
      <c r="K3" s="2490"/>
      <c r="L3" s="1373"/>
    </row>
    <row r="4" spans="1:12" ht="12.75" customHeight="1" x14ac:dyDescent="0.2">
      <c r="B4" s="2490" t="str">
        <f>'Single Audit Cover'!A4</f>
        <v>Year Ending June 30, 2019</v>
      </c>
      <c r="C4" s="2490"/>
      <c r="D4" s="2490"/>
      <c r="E4" s="2490"/>
      <c r="F4" s="2490"/>
      <c r="G4" s="2490"/>
      <c r="H4" s="2490"/>
      <c r="I4" s="2490"/>
      <c r="J4" s="2490"/>
      <c r="K4" s="2490"/>
      <c r="L4" s="1373"/>
    </row>
    <row r="5" spans="1:12" ht="5.25" customHeight="1" x14ac:dyDescent="0.2">
      <c r="B5" s="1256" t="s">
        <v>1169</v>
      </c>
      <c r="C5" s="1256"/>
      <c r="L5" s="322"/>
    </row>
    <row r="6" spans="1:12" ht="30.75" customHeight="1" x14ac:dyDescent="0.2">
      <c r="A6" s="322"/>
      <c r="B6" s="2499" t="s">
        <v>1308</v>
      </c>
      <c r="C6" s="2499"/>
      <c r="D6" s="2499"/>
      <c r="E6" s="2499"/>
      <c r="F6" s="2499"/>
      <c r="G6" s="2499"/>
      <c r="H6" s="2499"/>
      <c r="I6" s="2499"/>
      <c r="J6" s="2499"/>
      <c r="K6" s="2499"/>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81"/>
      <c r="G12" s="2481"/>
      <c r="H12" s="2481"/>
      <c r="I12" s="2481"/>
      <c r="J12" s="2481"/>
      <c r="K12" s="2481"/>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94"/>
      <c r="E14" s="2494"/>
      <c r="F14" s="2494"/>
      <c r="H14" s="1458" t="s">
        <v>1303</v>
      </c>
      <c r="I14" s="2495"/>
      <c r="J14" s="2495"/>
      <c r="K14" s="2495"/>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95"/>
      <c r="E16" s="2495"/>
      <c r="F16" s="2495"/>
      <c r="G16" s="2495"/>
      <c r="H16" s="2495"/>
      <c r="I16" s="2495"/>
      <c r="J16" s="2495"/>
      <c r="K16" s="2495"/>
      <c r="L16" s="322"/>
    </row>
    <row r="17" spans="2:12" ht="13.5" customHeight="1" x14ac:dyDescent="0.2">
      <c r="B17" s="1383" t="s">
        <v>1301</v>
      </c>
      <c r="C17" s="1383"/>
      <c r="D17" s="2496"/>
      <c r="E17" s="2496"/>
      <c r="F17" s="2496"/>
      <c r="G17" s="2496"/>
      <c r="H17" s="2496"/>
      <c r="I17" s="2496"/>
      <c r="J17" s="2496"/>
      <c r="K17" s="2496"/>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89"/>
      <c r="C20" s="2489"/>
      <c r="D20" s="2489"/>
      <c r="E20" s="2489"/>
      <c r="F20" s="2489"/>
      <c r="G20" s="2489"/>
      <c r="H20" s="2489"/>
      <c r="I20" s="2489"/>
      <c r="J20" s="2489"/>
      <c r="K20" s="2489"/>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74" t="str">
        <f>'Single Audit Cover'!A7</f>
        <v>Creston CCSD 161</v>
      </c>
      <c r="C1" s="2474"/>
      <c r="D1" s="2474"/>
      <c r="E1" s="1468"/>
    </row>
    <row r="2" spans="2:5" s="1278" customFormat="1" ht="12.75" customHeight="1" x14ac:dyDescent="0.2">
      <c r="B2" s="2476">
        <f>'Single Audit Cover'!E7</f>
        <v>47071161004</v>
      </c>
      <c r="C2" s="2476"/>
      <c r="D2" s="2476"/>
      <c r="E2" s="1469"/>
    </row>
    <row r="3" spans="2:5" ht="12.75" customHeight="1" x14ac:dyDescent="0.2">
      <c r="B3" s="2490" t="s">
        <v>1766</v>
      </c>
      <c r="C3" s="2490"/>
      <c r="D3" s="2490"/>
      <c r="E3" s="1270"/>
    </row>
    <row r="4" spans="2:5" s="1278" customFormat="1" ht="12.75" customHeight="1" x14ac:dyDescent="0.2">
      <c r="B4" s="2500" t="str">
        <f>'Single Audit Cover'!A4</f>
        <v>Year Ending June 30, 2019</v>
      </c>
      <c r="C4" s="2500"/>
      <c r="D4" s="2500"/>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386</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33415133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2.3800000000000002E-2</v>
      </c>
      <c r="E10" s="356" t="s">
        <v>1005</v>
      </c>
      <c r="F10" s="355">
        <v>2.4524E-3</v>
      </c>
      <c r="G10" s="356" t="s">
        <v>1005</v>
      </c>
      <c r="H10" s="355">
        <v>1.1770999999999999E-3</v>
      </c>
      <c r="I10" s="356" t="s">
        <v>1006</v>
      </c>
      <c r="J10" s="1731">
        <f>ROUND(D10+F10+H10,5)</f>
        <v>2.743E-2</v>
      </c>
      <c r="K10" s="222"/>
      <c r="L10" s="355">
        <v>5.0000000000000001E-4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1107519</v>
      </c>
      <c r="E16" s="356"/>
      <c r="F16" s="1732">
        <f>SUM('Acct Summary 7-8'!C17,'Acct Summary 7-8'!D17,'Acct Summary 7-8'!F17)</f>
        <v>1022635</v>
      </c>
      <c r="G16" s="356"/>
      <c r="H16" s="1732">
        <f>SUM(D16-F16)</f>
        <v>84884</v>
      </c>
      <c r="I16" s="222"/>
      <c r="J16" s="1732">
        <f>SUM('Acct Summary 7-8'!C81,'Acct Summary 7-8'!D81,'Acct Summary 7-8'!F81,'Acct Summary 7-8'!I81)</f>
        <v>715613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2081</v>
      </c>
      <c r="C31" s="367" t="s">
        <v>586</v>
      </c>
      <c r="D31" s="237" t="s">
        <v>1072</v>
      </c>
      <c r="E31" s="222"/>
      <c r="F31" s="222"/>
      <c r="G31" s="363"/>
      <c r="H31" s="1734">
        <f>IF(B31="X",(J7*0.069),IF(B32="X",(J7*0.138),"Enter x in a.or b."))</f>
        <v>2305644.1770000001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499265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K33" sqref="K3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556</v>
      </c>
      <c r="B2" s="2117"/>
      <c r="C2" s="2117"/>
      <c r="D2" s="2117"/>
      <c r="E2" s="2117"/>
      <c r="F2" s="2117"/>
      <c r="G2" s="2117"/>
      <c r="H2" s="2117"/>
      <c r="I2" s="2117"/>
      <c r="J2" s="2117"/>
      <c r="K2" s="2117"/>
      <c r="L2" s="2117"/>
      <c r="M2" s="2117"/>
      <c r="N2" s="2117"/>
      <c r="O2" s="2117"/>
      <c r="P2" s="2117"/>
      <c r="Q2" s="2117"/>
      <c r="R2" s="2117"/>
    </row>
    <row r="3" spans="1:18" ht="12.75" x14ac:dyDescent="0.2">
      <c r="A3" s="2118" t="s">
        <v>1413</v>
      </c>
      <c r="B3" s="2118"/>
      <c r="C3" s="2118"/>
      <c r="D3" s="2118"/>
      <c r="E3" s="2118"/>
      <c r="F3" s="2118"/>
      <c r="G3" s="2118"/>
      <c r="H3" s="2118"/>
      <c r="I3" s="2118"/>
      <c r="J3" s="2118"/>
      <c r="K3" s="2118"/>
      <c r="L3" s="2118"/>
      <c r="M3" s="2118"/>
      <c r="N3" s="2118"/>
      <c r="O3" s="2118"/>
      <c r="P3" s="2118"/>
      <c r="Q3" s="2118"/>
      <c r="R3" s="2118"/>
    </row>
    <row r="4" spans="1:18" x14ac:dyDescent="0.2">
      <c r="A4" s="2119" t="s">
        <v>1554</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Creston CCSD 161</v>
      </c>
      <c r="E7" s="391"/>
      <c r="G7" s="252"/>
      <c r="H7" s="387"/>
      <c r="I7" s="387"/>
      <c r="J7" s="387"/>
      <c r="K7" s="387"/>
      <c r="L7" s="329"/>
      <c r="M7" s="329"/>
      <c r="N7" s="329"/>
      <c r="O7" s="329"/>
      <c r="P7" s="329"/>
    </row>
    <row r="8" spans="1:18" ht="12.75" x14ac:dyDescent="0.2">
      <c r="A8" s="329"/>
      <c r="B8" s="329"/>
      <c r="C8" s="389" t="s">
        <v>1125</v>
      </c>
      <c r="D8" s="392">
        <f>COVER!A13</f>
        <v>47071161004</v>
      </c>
      <c r="E8" s="393"/>
      <c r="G8" s="329"/>
      <c r="H8" s="329"/>
      <c r="I8" s="329"/>
      <c r="J8" s="329"/>
      <c r="K8" s="329"/>
      <c r="L8" s="329"/>
      <c r="M8" s="329"/>
      <c r="N8" s="329"/>
      <c r="O8" s="329"/>
      <c r="P8" s="329"/>
    </row>
    <row r="9" spans="1:18" ht="12.75" x14ac:dyDescent="0.2">
      <c r="A9" s="329"/>
      <c r="B9" s="329"/>
      <c r="C9" s="389" t="s">
        <v>713</v>
      </c>
      <c r="D9" s="394" t="str">
        <f>COVER!A15</f>
        <v>OGLE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715613</v>
      </c>
      <c r="I12" s="404"/>
      <c r="J12" s="404"/>
      <c r="K12" s="405">
        <f>TRUNC((H12/H13*100000),5)/100000</f>
        <v>0.64614060790000005</v>
      </c>
      <c r="L12" s="406"/>
      <c r="M12" s="360" t="s">
        <v>1144</v>
      </c>
      <c r="N12" s="360"/>
      <c r="O12" s="407">
        <v>0.35</v>
      </c>
      <c r="P12" s="218"/>
      <c r="Q12" s="218"/>
    </row>
    <row r="13" spans="1:18" s="408" customFormat="1" ht="12.75" x14ac:dyDescent="0.2">
      <c r="A13" s="218"/>
      <c r="B13" s="401"/>
      <c r="C13" s="2115" t="s">
        <v>1324</v>
      </c>
      <c r="D13" s="2116"/>
      <c r="E13" s="218"/>
      <c r="F13" s="409" t="s">
        <v>793</v>
      </c>
      <c r="G13" s="402"/>
      <c r="H13" s="403">
        <f>SUM('Acct Summary 7-8'!C8+'Acct Summary 7-8'!D8+'Acct Summary 7-8'!F8+'Acct Summary 7-8'!I8)+H14</f>
        <v>1107519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1022635</v>
      </c>
      <c r="I17" s="404"/>
      <c r="J17" s="416"/>
      <c r="K17" s="405">
        <f>TRUNC((H17/H18*100000),5)/100000</f>
        <v>0.92335661959999993</v>
      </c>
      <c r="L17" s="406"/>
      <c r="M17" s="417" t="s">
        <v>1171</v>
      </c>
      <c r="O17" s="418" t="str">
        <f>IF(AND(O16="2", J20 &gt; 2),"1",IF(AND(O16 = "1", J20 &gt; 2),"2",IF(AND(O16="1", J20 &gt;1),"1","0")))</f>
        <v>0</v>
      </c>
      <c r="P17" s="218"/>
    </row>
    <row r="18" spans="1:18" s="408" customFormat="1" ht="11.25" x14ac:dyDescent="0.2">
      <c r="A18" s="218"/>
      <c r="B18" s="401"/>
      <c r="C18" s="2115" t="s">
        <v>1317</v>
      </c>
      <c r="D18" s="2116"/>
      <c r="E18" s="218"/>
      <c r="F18" s="419" t="s">
        <v>794</v>
      </c>
      <c r="G18" s="402"/>
      <c r="H18" s="403">
        <f>SUM('Acct Summary 7-8'!C8+'Acct Summary 7-8'!D8+'Acct Summary 7-8'!F8+'Acct Summary 7-8'!I8)+H19</f>
        <v>1107519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2" t="s">
        <v>1412</v>
      </c>
      <c r="D24" s="2112"/>
      <c r="E24" s="218"/>
      <c r="F24" s="218" t="s">
        <v>445</v>
      </c>
      <c r="G24" s="402"/>
      <c r="H24" s="403">
        <f>SUM('Assets-Liab 5-6'!C4+'Assets-Liab 5-6'!D4+'Assets-Liab 5-6'!F4+'Assets-Liab 5-6'!I4+'Assets-Liab 5-6'!C5+'Assets-Liab 5-6'!D5+'Assets-Liab 5-6'!F5+'Assets-Liab 5-6'!I5)</f>
        <v>715669</v>
      </c>
      <c r="I24" s="422"/>
      <c r="J24" s="422"/>
      <c r="K24" s="423">
        <f>TRUNC(((H24/H25*100000)/100000),2)</f>
        <v>251.93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2840.6527799999999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779090.53345999995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499265</v>
      </c>
      <c r="I32" s="420"/>
      <c r="J32" s="420"/>
      <c r="K32" s="423">
        <f>TRUNC(100-((((H32/H33*100))*100)/100),2)</f>
        <v>78.34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2305644.1770000001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pane="bottomLeft" activeCell="G40" sqref="G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2" t="s">
        <v>973</v>
      </c>
      <c r="B3" s="2123"/>
      <c r="C3" s="1558"/>
      <c r="D3" s="1559"/>
      <c r="E3" s="1559"/>
      <c r="F3" s="1559"/>
      <c r="G3" s="1559"/>
      <c r="H3" s="1559"/>
      <c r="I3" s="1559"/>
      <c r="J3" s="1559"/>
      <c r="K3" s="1559"/>
      <c r="L3" s="1559"/>
      <c r="M3" s="1560"/>
      <c r="N3" s="1561"/>
    </row>
    <row r="4" spans="1:14" ht="13.5" customHeight="1" x14ac:dyDescent="0.2">
      <c r="A4" s="463" t="s">
        <v>1651</v>
      </c>
      <c r="B4" s="464"/>
      <c r="C4" s="465">
        <v>504533</v>
      </c>
      <c r="D4" s="466">
        <v>66027</v>
      </c>
      <c r="E4" s="466">
        <v>793</v>
      </c>
      <c r="F4" s="466">
        <v>108002</v>
      </c>
      <c r="G4" s="466">
        <v>125987</v>
      </c>
      <c r="H4" s="466"/>
      <c r="I4" s="466">
        <v>34124</v>
      </c>
      <c r="J4" s="467">
        <v>130953</v>
      </c>
      <c r="K4" s="466">
        <v>122685</v>
      </c>
      <c r="L4" s="466">
        <v>2768</v>
      </c>
      <c r="M4" s="468"/>
      <c r="N4" s="469"/>
    </row>
    <row r="5" spans="1:14" x14ac:dyDescent="0.2">
      <c r="A5" s="463" t="s">
        <v>992</v>
      </c>
      <c r="B5" s="470">
        <v>120</v>
      </c>
      <c r="C5" s="465">
        <v>2983</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507516</v>
      </c>
      <c r="D13" s="1736">
        <f t="shared" ref="D13:L13" si="0">SUM(D4:D12)</f>
        <v>66027</v>
      </c>
      <c r="E13" s="1736">
        <f t="shared" si="0"/>
        <v>793</v>
      </c>
      <c r="F13" s="1736">
        <f t="shared" si="0"/>
        <v>108002</v>
      </c>
      <c r="G13" s="1736">
        <f t="shared" si="0"/>
        <v>125987</v>
      </c>
      <c r="H13" s="1736">
        <f t="shared" si="0"/>
        <v>0</v>
      </c>
      <c r="I13" s="1736">
        <f t="shared" si="0"/>
        <v>34124</v>
      </c>
      <c r="J13" s="1736">
        <f t="shared" si="0"/>
        <v>130953</v>
      </c>
      <c r="K13" s="1736">
        <f t="shared" si="0"/>
        <v>122685</v>
      </c>
      <c r="L13" s="1736">
        <f t="shared" si="0"/>
        <v>2768</v>
      </c>
      <c r="M13" s="468"/>
      <c r="N13" s="469"/>
    </row>
    <row r="14" spans="1:14" ht="18" customHeight="1" thickTop="1" x14ac:dyDescent="0.2">
      <c r="A14" s="2124" t="s">
        <v>147</v>
      </c>
      <c r="B14" s="2125"/>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5000</v>
      </c>
      <c r="N16" s="484"/>
    </row>
    <row r="17" spans="1:14" s="485" customFormat="1" ht="12.75" customHeight="1" x14ac:dyDescent="0.2">
      <c r="A17" s="482" t="s">
        <v>1403</v>
      </c>
      <c r="B17" s="483">
        <v>230</v>
      </c>
      <c r="C17" s="477"/>
      <c r="D17" s="477"/>
      <c r="E17" s="477"/>
      <c r="F17" s="477"/>
      <c r="G17" s="477"/>
      <c r="H17" s="477"/>
      <c r="I17" s="477"/>
      <c r="J17" s="477"/>
      <c r="K17" s="477"/>
      <c r="L17" s="477"/>
      <c r="M17" s="467">
        <v>589555</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53372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+E13</f>
        <v>793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498472</v>
      </c>
    </row>
    <row r="23" spans="1:14" ht="13.5" customHeight="1" thickBot="1" x14ac:dyDescent="0.25">
      <c r="A23" s="1735" t="s">
        <v>643</v>
      </c>
      <c r="B23" s="1740"/>
      <c r="C23" s="468"/>
      <c r="D23" s="468"/>
      <c r="E23" s="468"/>
      <c r="F23" s="468"/>
      <c r="G23" s="468"/>
      <c r="H23" s="468"/>
      <c r="I23" s="468"/>
      <c r="J23" s="468"/>
      <c r="K23" s="468"/>
      <c r="L23" s="468"/>
      <c r="M23" s="1687">
        <f>SUM(M15:M22)</f>
        <v>647927</v>
      </c>
      <c r="N23" s="1687">
        <f>SUM(N21:N22)</f>
        <v>499265</v>
      </c>
    </row>
    <row r="24" spans="1:14" ht="18" customHeight="1" thickTop="1" x14ac:dyDescent="0.2">
      <c r="A24" s="2126" t="s">
        <v>598</v>
      </c>
      <c r="B24" s="2127"/>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v>33</v>
      </c>
      <c r="E31" s="467"/>
      <c r="F31" s="466">
        <v>23</v>
      </c>
      <c r="G31" s="467"/>
      <c r="H31" s="467"/>
      <c r="I31" s="467"/>
      <c r="J31" s="467">
        <v>369</v>
      </c>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2768</v>
      </c>
      <c r="M33" s="468"/>
      <c r="N33" s="469"/>
    </row>
    <row r="34" spans="1:14" ht="13.5" customHeight="1" thickBot="1" x14ac:dyDescent="0.25">
      <c r="A34" s="1737" t="s">
        <v>654</v>
      </c>
      <c r="B34" s="1738"/>
      <c r="C34" s="1739">
        <f>SUM(C25:C33)</f>
        <v>0</v>
      </c>
      <c r="D34" s="1739">
        <f t="shared" ref="D34:K34" si="1">SUM(D25:D33)</f>
        <v>33</v>
      </c>
      <c r="E34" s="1739">
        <f t="shared" si="1"/>
        <v>0</v>
      </c>
      <c r="F34" s="1739">
        <f t="shared" si="1"/>
        <v>23</v>
      </c>
      <c r="G34" s="1739">
        <f t="shared" si="1"/>
        <v>0</v>
      </c>
      <c r="H34" s="1739">
        <f t="shared" si="1"/>
        <v>0</v>
      </c>
      <c r="I34" s="1739">
        <f t="shared" si="1"/>
        <v>0</v>
      </c>
      <c r="J34" s="1739">
        <f t="shared" si="1"/>
        <v>369</v>
      </c>
      <c r="K34" s="1739">
        <f t="shared" si="1"/>
        <v>0</v>
      </c>
      <c r="L34" s="1720">
        <f>SUM(L33)</f>
        <v>2768</v>
      </c>
      <c r="M34" s="468"/>
      <c r="N34" s="480"/>
    </row>
    <row r="35" spans="1:14" ht="18" customHeight="1" thickTop="1" x14ac:dyDescent="0.2">
      <c r="A35" s="2128" t="s">
        <v>529</v>
      </c>
      <c r="B35" s="2129"/>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499265</v>
      </c>
    </row>
    <row r="37" spans="1:14" ht="13.5" thickBot="1" x14ac:dyDescent="0.25">
      <c r="A37" s="1735" t="s">
        <v>653</v>
      </c>
      <c r="B37" s="1740"/>
      <c r="C37" s="477"/>
      <c r="D37" s="477"/>
      <c r="E37" s="477"/>
      <c r="F37" s="477"/>
      <c r="G37" s="477"/>
      <c r="H37" s="477"/>
      <c r="I37" s="477"/>
      <c r="J37" s="477"/>
      <c r="K37" s="477"/>
      <c r="L37" s="480"/>
      <c r="M37" s="468"/>
      <c r="N37" s="1687">
        <f>SUM(N36:N36)</f>
        <v>499265</v>
      </c>
    </row>
    <row r="38" spans="1:14" s="329" customFormat="1" ht="13.5" customHeight="1" thickTop="1" x14ac:dyDescent="0.2">
      <c r="A38" s="496" t="s">
        <v>420</v>
      </c>
      <c r="B38" s="483">
        <v>714</v>
      </c>
      <c r="C38" s="466">
        <v>9013</v>
      </c>
      <c r="D38" s="466"/>
      <c r="E38" s="466"/>
      <c r="F38" s="466"/>
      <c r="G38" s="466">
        <v>35872</v>
      </c>
      <c r="H38" s="466"/>
      <c r="I38" s="466"/>
      <c r="J38" s="467"/>
      <c r="K38" s="466"/>
      <c r="L38" s="481"/>
      <c r="M38" s="497"/>
      <c r="N38" s="497"/>
    </row>
    <row r="39" spans="1:14" s="329" customFormat="1" ht="13.5" customHeight="1" x14ac:dyDescent="0.2">
      <c r="A39" s="496" t="s">
        <v>342</v>
      </c>
      <c r="B39" s="483">
        <v>730</v>
      </c>
      <c r="C39" s="466">
        <f>507516-C38</f>
        <v>498503</v>
      </c>
      <c r="D39" s="466">
        <f>+D13-D31</f>
        <v>65994</v>
      </c>
      <c r="E39" s="466">
        <v>793</v>
      </c>
      <c r="F39" s="466">
        <f>+F13-F31</f>
        <v>107979</v>
      </c>
      <c r="G39" s="466">
        <v>90115</v>
      </c>
      <c r="H39" s="466"/>
      <c r="I39" s="466">
        <v>34124</v>
      </c>
      <c r="J39" s="467">
        <f>+J13-J31</f>
        <v>130584</v>
      </c>
      <c r="K39" s="466">
        <v>122685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647927</v>
      </c>
      <c r="N40" s="497"/>
    </row>
    <row r="41" spans="1:14" ht="13.5" customHeight="1" thickBot="1" x14ac:dyDescent="0.25">
      <c r="A41" s="1735" t="s">
        <v>655</v>
      </c>
      <c r="B41" s="1705"/>
      <c r="C41" s="1687">
        <f>(SUM(C34,C37,C38,C39))</f>
        <v>507516</v>
      </c>
      <c r="D41" s="1687">
        <f t="shared" ref="D41:L41" si="2">SUM(D34,D37,D38:D39)</f>
        <v>66027</v>
      </c>
      <c r="E41" s="1687">
        <f t="shared" si="2"/>
        <v>793</v>
      </c>
      <c r="F41" s="1687">
        <f t="shared" si="2"/>
        <v>108002</v>
      </c>
      <c r="G41" s="1687">
        <f t="shared" si="2"/>
        <v>125987</v>
      </c>
      <c r="H41" s="1687">
        <f t="shared" si="2"/>
        <v>0</v>
      </c>
      <c r="I41" s="1687">
        <f t="shared" si="2"/>
        <v>34124</v>
      </c>
      <c r="J41" s="1687">
        <f t="shared" si="2"/>
        <v>130953</v>
      </c>
      <c r="K41" s="1687">
        <f t="shared" si="2"/>
        <v>122685</v>
      </c>
      <c r="L41" s="1687">
        <f t="shared" si="2"/>
        <v>2768</v>
      </c>
      <c r="M41" s="1687">
        <f>SUM(M40)</f>
        <v>647927</v>
      </c>
      <c r="N41" s="1687">
        <f>SUM(N37)</f>
        <v>499265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24" activePane="bottomLeft" state="frozen"/>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0" t="s">
        <v>1175</v>
      </c>
      <c r="B3" s="2151"/>
      <c r="C3" s="1572"/>
      <c r="D3" s="1573"/>
      <c r="E3" s="1573"/>
      <c r="F3" s="1573"/>
      <c r="G3" s="1573"/>
      <c r="H3" s="1573"/>
      <c r="I3" s="1573"/>
      <c r="J3" s="1573"/>
      <c r="K3" s="1574"/>
      <c r="L3" s="506"/>
    </row>
    <row r="4" spans="1:13" ht="15.75" customHeight="1" x14ac:dyDescent="0.2">
      <c r="A4" s="1927" t="s">
        <v>1499</v>
      </c>
      <c r="B4" s="1928">
        <v>1000</v>
      </c>
      <c r="C4" s="1741">
        <f>'Revenues 9-14'!C109</f>
        <v>804580</v>
      </c>
      <c r="D4" s="1741">
        <f>'Revenues 9-14'!D109</f>
        <v>76273</v>
      </c>
      <c r="E4" s="1741">
        <f>'Revenues 9-14'!E109</f>
        <v>48257</v>
      </c>
      <c r="F4" s="1741">
        <f>'Revenues 9-14'!F109</f>
        <v>37854</v>
      </c>
      <c r="G4" s="1741">
        <f>'Revenues 9-14'!G109</f>
        <v>55574</v>
      </c>
      <c r="H4" s="1741">
        <f>'Revenues 9-14'!H109</f>
        <v>0</v>
      </c>
      <c r="I4" s="1741">
        <f>'Revenues 9-14'!I109</f>
        <v>15762</v>
      </c>
      <c r="J4" s="1741">
        <f>'Revenues 9-14'!J109</f>
        <v>168626</v>
      </c>
      <c r="K4" s="1741">
        <f>'Revenues 9-14'!K109</f>
        <v>16896</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111824</v>
      </c>
      <c r="D6" s="1742">
        <f>'Revenues 9-14'!D170</f>
        <v>0</v>
      </c>
      <c r="E6" s="1742">
        <f>'Revenues 9-14'!E170</f>
        <v>0</v>
      </c>
      <c r="F6" s="1742">
        <f>'Revenues 9-14'!F170</f>
        <v>6792</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54434</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970838</v>
      </c>
      <c r="D8" s="1687">
        <f t="shared" ref="D8:K8" si="0">SUM(D4:D7)</f>
        <v>76273</v>
      </c>
      <c r="E8" s="1687">
        <f t="shared" si="0"/>
        <v>48257</v>
      </c>
      <c r="F8" s="1687">
        <f t="shared" si="0"/>
        <v>44646</v>
      </c>
      <c r="G8" s="1687">
        <f t="shared" si="0"/>
        <v>55574</v>
      </c>
      <c r="H8" s="1687">
        <f t="shared" si="0"/>
        <v>0</v>
      </c>
      <c r="I8" s="1687">
        <f t="shared" si="0"/>
        <v>15762</v>
      </c>
      <c r="J8" s="1687">
        <f t="shared" si="0"/>
        <v>168626</v>
      </c>
      <c r="K8" s="1687">
        <f t="shared" si="0"/>
        <v>16896</v>
      </c>
      <c r="L8" s="347"/>
    </row>
    <row r="9" spans="1:13" ht="15.75" thickTop="1" x14ac:dyDescent="0.2">
      <c r="A9" s="514" t="s">
        <v>1653</v>
      </c>
      <c r="B9" s="515">
        <v>3998</v>
      </c>
      <c r="C9" s="481">
        <f>8700+481336</f>
        <v>490036</v>
      </c>
      <c r="D9" s="516"/>
      <c r="E9" s="481"/>
      <c r="F9" s="481"/>
      <c r="G9" s="517"/>
      <c r="H9" s="481"/>
      <c r="I9" s="509" t="s">
        <v>1169</v>
      </c>
      <c r="J9" s="478"/>
      <c r="K9" s="481"/>
      <c r="L9" s="347"/>
    </row>
    <row r="10" spans="1:13" s="519" customFormat="1" ht="13.5" thickBot="1" x14ac:dyDescent="0.25">
      <c r="A10" s="1735" t="s">
        <v>1173</v>
      </c>
      <c r="B10" s="1708"/>
      <c r="C10" s="1687">
        <f>SUM(C8:C9)</f>
        <v>1460874</v>
      </c>
      <c r="D10" s="1687">
        <f t="shared" ref="D10:K10" si="1">SUM(D8:D9)</f>
        <v>76273</v>
      </c>
      <c r="E10" s="1687">
        <f t="shared" si="1"/>
        <v>48257</v>
      </c>
      <c r="F10" s="1687">
        <f t="shared" si="1"/>
        <v>44646</v>
      </c>
      <c r="G10" s="1687">
        <f t="shared" si="1"/>
        <v>55574</v>
      </c>
      <c r="H10" s="1687">
        <f t="shared" si="1"/>
        <v>0</v>
      </c>
      <c r="I10" s="1687">
        <f t="shared" si="1"/>
        <v>15762</v>
      </c>
      <c r="J10" s="1687">
        <f t="shared" si="1"/>
        <v>168626</v>
      </c>
      <c r="K10" s="1687">
        <f t="shared" si="1"/>
        <v>16896</v>
      </c>
      <c r="L10" s="518"/>
    </row>
    <row r="11" spans="1:13" s="519" customFormat="1" ht="16.7" customHeight="1" thickTop="1" x14ac:dyDescent="0.2">
      <c r="A11" s="2124" t="s">
        <v>1176</v>
      </c>
      <c r="B11" s="2125"/>
      <c r="C11" s="1569"/>
      <c r="D11" s="1570"/>
      <c r="E11" s="1570"/>
      <c r="F11" s="1570"/>
      <c r="G11" s="1570"/>
      <c r="H11" s="1570"/>
      <c r="I11" s="1570"/>
      <c r="J11" s="1570"/>
      <c r="K11" s="1571"/>
      <c r="L11" s="518"/>
    </row>
    <row r="12" spans="1:13" ht="15.75" customHeight="1" x14ac:dyDescent="0.2">
      <c r="A12" s="1575" t="s">
        <v>456</v>
      </c>
      <c r="B12" s="1577">
        <v>1000</v>
      </c>
      <c r="C12" s="1741">
        <f>'Expenditures 15-22'!K33</f>
        <v>602452</v>
      </c>
      <c r="D12" s="520" t="s">
        <v>1169</v>
      </c>
      <c r="E12" s="468" t="s">
        <v>1169</v>
      </c>
      <c r="F12" s="468" t="s">
        <v>1169</v>
      </c>
      <c r="G12" s="1741">
        <f>'Expenditures 15-22'!K229</f>
        <v>14143</v>
      </c>
      <c r="H12" s="521"/>
      <c r="I12" s="468" t="s">
        <v>1169</v>
      </c>
      <c r="J12" s="468" t="s">
        <v>1169</v>
      </c>
      <c r="K12" s="521" t="s">
        <v>1169</v>
      </c>
      <c r="L12" s="347"/>
    </row>
    <row r="13" spans="1:13" ht="15.75" customHeight="1" x14ac:dyDescent="0.2">
      <c r="A13" s="1575" t="s">
        <v>457</v>
      </c>
      <c r="B13" s="1577">
        <v>2000</v>
      </c>
      <c r="C13" s="1742">
        <f>'Expenditures 15-22'!K74</f>
        <v>185759</v>
      </c>
      <c r="D13" s="1742">
        <f>'Expenditures 15-22'!K129</f>
        <v>113215</v>
      </c>
      <c r="E13" s="469" t="s">
        <v>1169</v>
      </c>
      <c r="F13" s="1742">
        <f>'Expenditures 15-22'!K184</f>
        <v>34071</v>
      </c>
      <c r="G13" s="1742">
        <f>'Expenditures 15-22'!K279</f>
        <v>20888</v>
      </c>
      <c r="H13" s="1742">
        <f>'Expenditures 15-22'!K303</f>
        <v>0</v>
      </c>
      <c r="I13" s="468" t="s">
        <v>1169</v>
      </c>
      <c r="J13" s="1742">
        <f>'Expenditures 15-22'!K330</f>
        <v>145774</v>
      </c>
      <c r="K13" s="1746">
        <f>'Expenditures 15-22'!K352</f>
        <v>0</v>
      </c>
      <c r="L13" s="347"/>
    </row>
    <row r="14" spans="1:13" ht="15.75" customHeight="1" x14ac:dyDescent="0.2">
      <c r="A14" s="1575" t="s">
        <v>449</v>
      </c>
      <c r="B14" s="1577">
        <v>3000</v>
      </c>
      <c r="C14" s="1742">
        <f>'Expenditures 15-22'!K75</f>
        <v>0</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5" t="s">
        <v>107</v>
      </c>
      <c r="B15" s="1577">
        <v>4000</v>
      </c>
      <c r="C15" s="1742">
        <f>'Expenditures 15-22'!K102</f>
        <v>81267</v>
      </c>
      <c r="D15" s="1742">
        <f>'Expenditures 15-22'!K139</f>
        <v>0</v>
      </c>
      <c r="E15" s="1742">
        <f>'Expenditures 15-22'!K160</f>
        <v>0</v>
      </c>
      <c r="F15" s="1742">
        <f>'Expenditures 15-22'!K196</f>
        <v>5871</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57250</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869478</v>
      </c>
      <c r="D17" s="1687">
        <f t="shared" si="2"/>
        <v>113215</v>
      </c>
      <c r="E17" s="1687">
        <f t="shared" si="2"/>
        <v>57250</v>
      </c>
      <c r="F17" s="1687">
        <f t="shared" si="2"/>
        <v>39942</v>
      </c>
      <c r="G17" s="1687">
        <f t="shared" si="2"/>
        <v>35031</v>
      </c>
      <c r="H17" s="1687">
        <f t="shared" si="2"/>
        <v>0</v>
      </c>
      <c r="I17" s="468"/>
      <c r="J17" s="1687">
        <f>SUM(J12:J16)</f>
        <v>145774</v>
      </c>
      <c r="K17" s="1687">
        <f>SUM(K12:K16)</f>
        <v>0</v>
      </c>
      <c r="L17" s="347"/>
    </row>
    <row r="18" spans="1:12" ht="15" customHeight="1" thickTop="1" x14ac:dyDescent="0.2">
      <c r="A18" s="1743" t="s">
        <v>1654</v>
      </c>
      <c r="B18" s="1744">
        <v>4180</v>
      </c>
      <c r="C18" s="1741">
        <f t="shared" ref="C18:H18" si="3">C9</f>
        <v>490036</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1359514</v>
      </c>
      <c r="D19" s="1687">
        <f t="shared" si="4"/>
        <v>113215</v>
      </c>
      <c r="E19" s="1687">
        <f t="shared" si="4"/>
        <v>57250</v>
      </c>
      <c r="F19" s="1687">
        <f t="shared" si="4"/>
        <v>39942</v>
      </c>
      <c r="G19" s="1687">
        <f t="shared" si="4"/>
        <v>35031</v>
      </c>
      <c r="H19" s="1687">
        <f t="shared" si="4"/>
        <v>0</v>
      </c>
      <c r="I19" s="468"/>
      <c r="J19" s="1687">
        <f>SUM(J17:J18)</f>
        <v>145774</v>
      </c>
      <c r="K19" s="1687">
        <f>SUM(K17:K18)</f>
        <v>0</v>
      </c>
      <c r="L19" s="347"/>
    </row>
    <row r="20" spans="1:12" ht="16.5" thickTop="1" thickBot="1" x14ac:dyDescent="0.25">
      <c r="A20" s="2140" t="s">
        <v>1655</v>
      </c>
      <c r="B20" s="2141"/>
      <c r="C20" s="1745">
        <f>C8-C17</f>
        <v>101360</v>
      </c>
      <c r="D20" s="1745">
        <f t="shared" ref="D20:K20" si="5">D8-D17</f>
        <v>-36942</v>
      </c>
      <c r="E20" s="1745">
        <f t="shared" si="5"/>
        <v>-8993</v>
      </c>
      <c r="F20" s="1745">
        <f t="shared" si="5"/>
        <v>4704</v>
      </c>
      <c r="G20" s="1745">
        <f t="shared" si="5"/>
        <v>20543</v>
      </c>
      <c r="H20" s="1745">
        <f t="shared" si="5"/>
        <v>0</v>
      </c>
      <c r="I20" s="1745">
        <f t="shared" si="5"/>
        <v>15762</v>
      </c>
      <c r="J20" s="1745">
        <f t="shared" si="5"/>
        <v>22852</v>
      </c>
      <c r="K20" s="1745">
        <f t="shared" si="5"/>
        <v>16896</v>
      </c>
      <c r="L20" s="347"/>
    </row>
    <row r="21" spans="1:12" ht="16.7" customHeight="1" thickTop="1" x14ac:dyDescent="0.2">
      <c r="A21" s="2152" t="s">
        <v>595</v>
      </c>
      <c r="B21" s="2153"/>
      <c r="C21" s="1569"/>
      <c r="D21" s="1570"/>
      <c r="E21" s="1570"/>
      <c r="F21" s="1570"/>
      <c r="G21" s="1570"/>
      <c r="H21" s="1570"/>
      <c r="I21" s="1570"/>
      <c r="J21" s="1570"/>
      <c r="K21" s="1571"/>
      <c r="L21" s="524"/>
    </row>
    <row r="22" spans="1:12" ht="15.75" customHeight="1" collapsed="1" x14ac:dyDescent="0.2">
      <c r="A22" s="2148" t="s">
        <v>596</v>
      </c>
      <c r="B22" s="2149"/>
      <c r="C22" s="477"/>
      <c r="D22" s="477"/>
      <c r="E22" s="477"/>
      <c r="F22" s="477"/>
      <c r="G22" s="477"/>
      <c r="H22" s="477"/>
      <c r="I22" s="477"/>
      <c r="J22" s="477"/>
      <c r="K22" s="477"/>
      <c r="L22" s="347"/>
    </row>
    <row r="23" spans="1:12" s="485" customFormat="1" ht="15.75" customHeight="1" x14ac:dyDescent="0.2">
      <c r="A23" s="2144" t="s">
        <v>293</v>
      </c>
      <c r="B23" s="2145"/>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v>10000</v>
      </c>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v>3616</v>
      </c>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46" t="s">
        <v>981</v>
      </c>
      <c r="B32" s="2147"/>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54" t="s">
        <v>374</v>
      </c>
      <c r="B44" s="2155"/>
      <c r="C44" s="1702">
        <f>SUM(C24:C43)</f>
        <v>0</v>
      </c>
      <c r="D44" s="1702">
        <f t="shared" ref="D44:K44" si="6">SUM(D24:D43)</f>
        <v>0</v>
      </c>
      <c r="E44" s="1702">
        <f t="shared" si="6"/>
        <v>10000</v>
      </c>
      <c r="F44" s="1702">
        <f t="shared" si="6"/>
        <v>0</v>
      </c>
      <c r="G44" s="1702">
        <f t="shared" si="6"/>
        <v>3616</v>
      </c>
      <c r="H44" s="1702">
        <f t="shared" si="6"/>
        <v>0</v>
      </c>
      <c r="I44" s="1702">
        <f t="shared" si="6"/>
        <v>0</v>
      </c>
      <c r="J44" s="1702">
        <f t="shared" si="6"/>
        <v>0</v>
      </c>
      <c r="K44" s="1702">
        <f t="shared" si="6"/>
        <v>0</v>
      </c>
      <c r="L44" s="524"/>
    </row>
    <row r="45" spans="1:12" ht="15.75" customHeight="1" thickTop="1" x14ac:dyDescent="0.2">
      <c r="A45" s="2148" t="s">
        <v>108</v>
      </c>
      <c r="B45" s="2149"/>
      <c r="C45" s="528"/>
      <c r="D45" s="528"/>
      <c r="E45" s="528"/>
      <c r="F45" s="528"/>
      <c r="G45" s="528"/>
      <c r="H45" s="528"/>
      <c r="I45" s="528"/>
      <c r="J45" s="528"/>
      <c r="K45" s="528"/>
      <c r="L45" s="347"/>
    </row>
    <row r="46" spans="1:12" s="485" customFormat="1" ht="15.75" customHeight="1" x14ac:dyDescent="0.2">
      <c r="A46" s="2156" t="s">
        <v>109</v>
      </c>
      <c r="B46" s="2157"/>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10000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v>3616</v>
      </c>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30" t="s">
        <v>440</v>
      </c>
      <c r="B76" s="2131"/>
      <c r="C76" s="1702">
        <f t="shared" ref="C76:K76" si="7">SUM(C47:C75)</f>
        <v>3616</v>
      </c>
      <c r="D76" s="1702">
        <f t="shared" si="7"/>
        <v>0</v>
      </c>
      <c r="E76" s="1702">
        <f t="shared" si="7"/>
        <v>0</v>
      </c>
      <c r="F76" s="1702">
        <f t="shared" si="7"/>
        <v>0</v>
      </c>
      <c r="G76" s="1702">
        <f t="shared" si="7"/>
        <v>0</v>
      </c>
      <c r="H76" s="1702">
        <f t="shared" si="7"/>
        <v>0</v>
      </c>
      <c r="I76" s="1702">
        <f t="shared" si="7"/>
        <v>10000</v>
      </c>
      <c r="J76" s="1702">
        <f t="shared" si="7"/>
        <v>0</v>
      </c>
      <c r="K76" s="1702">
        <f t="shared" si="7"/>
        <v>0</v>
      </c>
      <c r="L76" s="524"/>
    </row>
    <row r="77" spans="1:12" ht="14.25" thickTop="1" thickBot="1" x14ac:dyDescent="0.25">
      <c r="A77" s="2132" t="s">
        <v>1177</v>
      </c>
      <c r="B77" s="2133"/>
      <c r="C77" s="1702">
        <f t="shared" ref="C77:K77" si="8">C44-C76</f>
        <v>-3616</v>
      </c>
      <c r="D77" s="1702">
        <f t="shared" si="8"/>
        <v>0</v>
      </c>
      <c r="E77" s="1702">
        <f t="shared" si="8"/>
        <v>10000</v>
      </c>
      <c r="F77" s="1702">
        <f t="shared" si="8"/>
        <v>0</v>
      </c>
      <c r="G77" s="1702">
        <f t="shared" si="8"/>
        <v>3616</v>
      </c>
      <c r="H77" s="1702">
        <f t="shared" si="8"/>
        <v>0</v>
      </c>
      <c r="I77" s="1702">
        <f t="shared" si="8"/>
        <v>-10000</v>
      </c>
      <c r="J77" s="1702">
        <f t="shared" si="8"/>
        <v>0</v>
      </c>
      <c r="K77" s="1702">
        <f t="shared" si="8"/>
        <v>0</v>
      </c>
      <c r="L77" s="347"/>
    </row>
    <row r="78" spans="1:12" ht="21.75" customHeight="1" thickTop="1" thickBot="1" x14ac:dyDescent="0.25">
      <c r="A78" s="2136" t="s">
        <v>597</v>
      </c>
      <c r="B78" s="2137"/>
      <c r="C78" s="1701">
        <f t="shared" ref="C78:K78" si="9">C20+C77</f>
        <v>97744</v>
      </c>
      <c r="D78" s="1701">
        <f t="shared" si="9"/>
        <v>-36942</v>
      </c>
      <c r="E78" s="1701">
        <f t="shared" si="9"/>
        <v>1007</v>
      </c>
      <c r="F78" s="1701">
        <f t="shared" si="9"/>
        <v>4704</v>
      </c>
      <c r="G78" s="1701">
        <f t="shared" si="9"/>
        <v>24159</v>
      </c>
      <c r="H78" s="1701">
        <f t="shared" si="9"/>
        <v>0</v>
      </c>
      <c r="I78" s="1701">
        <f t="shared" si="9"/>
        <v>5762</v>
      </c>
      <c r="J78" s="1701">
        <f t="shared" si="9"/>
        <v>22852</v>
      </c>
      <c r="K78" s="1701">
        <f t="shared" si="9"/>
        <v>16896</v>
      </c>
      <c r="L78" s="533"/>
    </row>
    <row r="79" spans="1:12" ht="13.5" thickTop="1" x14ac:dyDescent="0.2">
      <c r="A79" s="1493" t="s">
        <v>1949</v>
      </c>
      <c r="B79" s="534"/>
      <c r="C79" s="478">
        <v>409772</v>
      </c>
      <c r="D79" s="535">
        <v>102936</v>
      </c>
      <c r="E79" s="535">
        <v>-214</v>
      </c>
      <c r="F79" s="535">
        <v>103275</v>
      </c>
      <c r="G79" s="535">
        <v>101828</v>
      </c>
      <c r="H79" s="535"/>
      <c r="I79" s="535">
        <v>28362</v>
      </c>
      <c r="J79" s="535">
        <v>107732</v>
      </c>
      <c r="K79" s="535">
        <v>105789</v>
      </c>
      <c r="L79" s="347"/>
    </row>
    <row r="80" spans="1:12" x14ac:dyDescent="0.2">
      <c r="A80" s="2142" t="s">
        <v>1795</v>
      </c>
      <c r="B80" s="2143"/>
      <c r="C80" s="467"/>
      <c r="D80" s="467"/>
      <c r="E80" s="467"/>
      <c r="F80" s="467"/>
      <c r="G80" s="467"/>
      <c r="H80" s="467"/>
      <c r="I80" s="467"/>
      <c r="J80" s="467"/>
      <c r="K80" s="467"/>
      <c r="L80" s="347"/>
    </row>
    <row r="81" spans="1:12" ht="13.5" thickBot="1" x14ac:dyDescent="0.25">
      <c r="A81" s="2134" t="s">
        <v>1950</v>
      </c>
      <c r="B81" s="2135"/>
      <c r="C81" s="1687">
        <f>(SUM(C78:C80))</f>
        <v>507516</v>
      </c>
      <c r="D81" s="1687">
        <f>SUM(D78:D80)</f>
        <v>65994</v>
      </c>
      <c r="E81" s="1687">
        <f t="shared" ref="E81:K81" si="10">SUM(E78:E80)</f>
        <v>793</v>
      </c>
      <c r="F81" s="1687">
        <f t="shared" si="10"/>
        <v>107979</v>
      </c>
      <c r="G81" s="1687">
        <f t="shared" si="10"/>
        <v>125987</v>
      </c>
      <c r="H81" s="1687">
        <f t="shared" si="10"/>
        <v>0</v>
      </c>
      <c r="I81" s="1687">
        <f t="shared" si="10"/>
        <v>34124</v>
      </c>
      <c r="J81" s="1687">
        <f t="shared" si="10"/>
        <v>130584</v>
      </c>
      <c r="K81" s="1687">
        <f t="shared" si="10"/>
        <v>122685</v>
      </c>
      <c r="L81" s="347"/>
    </row>
    <row r="82" spans="1:12" ht="0.75" customHeight="1" thickTop="1" thickBot="1" x14ac:dyDescent="0.25">
      <c r="A82" s="536" t="s">
        <v>343</v>
      </c>
      <c r="B82" s="537"/>
      <c r="C82" s="538">
        <f>(C81-C79)</f>
        <v>97744</v>
      </c>
      <c r="D82" s="538">
        <f t="shared" ref="D82:K82" si="11">(D81-D79)</f>
        <v>-36942</v>
      </c>
      <c r="E82" s="538">
        <f t="shared" si="11"/>
        <v>1007</v>
      </c>
      <c r="F82" s="538">
        <f t="shared" si="11"/>
        <v>4704</v>
      </c>
      <c r="G82" s="538">
        <f t="shared" si="11"/>
        <v>24159</v>
      </c>
      <c r="H82" s="538">
        <f t="shared" si="11"/>
        <v>0</v>
      </c>
      <c r="I82" s="538">
        <f t="shared" si="11"/>
        <v>5762</v>
      </c>
      <c r="J82" s="538">
        <f t="shared" si="11"/>
        <v>22852</v>
      </c>
      <c r="K82" s="538">
        <f t="shared" si="11"/>
        <v>16896</v>
      </c>
    </row>
    <row r="83" spans="1:12" ht="14.25" hidden="1" thickTop="1" thickBot="1" x14ac:dyDescent="0.25">
      <c r="A83" s="539" t="s">
        <v>344</v>
      </c>
      <c r="B83" s="464"/>
      <c r="C83" s="540">
        <f>C82/C81</f>
        <v>0.19259294288258894</v>
      </c>
      <c r="D83" s="540">
        <f t="shared" ref="D83:K83" si="12">D82/D81</f>
        <v>-0.5597781616510592</v>
      </c>
      <c r="E83" s="540">
        <f t="shared" si="12"/>
        <v>1.2698612862547289</v>
      </c>
      <c r="F83" s="540">
        <f t="shared" si="12"/>
        <v>4.3564026338454701E-2</v>
      </c>
      <c r="G83" s="540">
        <f t="shared" si="12"/>
        <v>0.19175787978124728</v>
      </c>
      <c r="H83" s="540" t="e">
        <f t="shared" si="12"/>
        <v>#DIV/0!</v>
      </c>
      <c r="I83" s="540">
        <f t="shared" si="12"/>
        <v>0.16885476497479779</v>
      </c>
      <c r="J83" s="540">
        <f t="shared" si="12"/>
        <v>0.17499846841879557</v>
      </c>
      <c r="K83" s="540">
        <f t="shared" si="12"/>
        <v>0.13771854749969434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9" activePane="bottomLeft" state="frozen"/>
      <selection pane="bottomLeft" activeCell="C200" sqref="C20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8" t="s">
        <v>1802</v>
      </c>
      <c r="B1" s="452"/>
      <c r="C1" s="453" t="s">
        <v>425</v>
      </c>
      <c r="D1" s="453" t="s">
        <v>426</v>
      </c>
      <c r="E1" s="453" t="s">
        <v>427</v>
      </c>
      <c r="F1" s="453" t="s">
        <v>428</v>
      </c>
      <c r="G1" s="453" t="s">
        <v>429</v>
      </c>
      <c r="H1" s="453" t="s">
        <v>430</v>
      </c>
      <c r="I1" s="453" t="s">
        <v>431</v>
      </c>
      <c r="J1" s="453" t="s">
        <v>432</v>
      </c>
      <c r="K1" s="453" t="s">
        <v>756</v>
      </c>
    </row>
    <row r="2" spans="1:12" ht="36" x14ac:dyDescent="0.2">
      <c r="A2" s="213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722203</v>
      </c>
      <c r="D5" s="481">
        <v>75111</v>
      </c>
      <c r="E5" s="466">
        <v>48211</v>
      </c>
      <c r="F5" s="548">
        <v>36052</v>
      </c>
      <c r="G5" s="466">
        <v>25231</v>
      </c>
      <c r="H5" s="466"/>
      <c r="I5" s="466">
        <v>15173</v>
      </c>
      <c r="J5" s="467">
        <v>167072</v>
      </c>
      <c r="K5" s="466">
        <v>14970</v>
      </c>
    </row>
    <row r="6" spans="1:12" ht="15" x14ac:dyDescent="0.2">
      <c r="A6" s="463" t="s">
        <v>1662</v>
      </c>
      <c r="B6" s="470">
        <v>1130</v>
      </c>
      <c r="C6" s="466">
        <v>15023</v>
      </c>
      <c r="D6" s="466"/>
      <c r="E6" s="475"/>
      <c r="F6" s="475"/>
      <c r="G6" s="468"/>
      <c r="H6" s="468"/>
      <c r="I6" s="468"/>
      <c r="J6" s="468"/>
      <c r="K6" s="468"/>
    </row>
    <row r="7" spans="1:12" x14ac:dyDescent="0.2">
      <c r="A7" s="463" t="s">
        <v>110</v>
      </c>
      <c r="B7" s="549">
        <v>1140</v>
      </c>
      <c r="C7" s="466">
        <v>6009</v>
      </c>
      <c r="D7" s="466"/>
      <c r="E7" s="468"/>
      <c r="F7" s="467"/>
      <c r="G7" s="467"/>
      <c r="H7" s="467"/>
      <c r="I7" s="468"/>
      <c r="J7" s="468"/>
      <c r="K7" s="468"/>
    </row>
    <row r="8" spans="1:12" x14ac:dyDescent="0.2">
      <c r="A8" s="463" t="s">
        <v>413</v>
      </c>
      <c r="B8" s="470">
        <v>1150</v>
      </c>
      <c r="C8" s="475"/>
      <c r="D8" s="475"/>
      <c r="E8" s="477"/>
      <c r="F8" s="477"/>
      <c r="G8" s="481">
        <v>26883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743235</v>
      </c>
      <c r="D12" s="1706">
        <f t="shared" si="0"/>
        <v>75111</v>
      </c>
      <c r="E12" s="1706">
        <f t="shared" si="0"/>
        <v>48211</v>
      </c>
      <c r="F12" s="1706">
        <f t="shared" si="0"/>
        <v>36052</v>
      </c>
      <c r="G12" s="1706">
        <f t="shared" si="0"/>
        <v>52114</v>
      </c>
      <c r="H12" s="1706">
        <f t="shared" si="0"/>
        <v>0</v>
      </c>
      <c r="I12" s="1706">
        <f t="shared" si="0"/>
        <v>15173</v>
      </c>
      <c r="J12" s="1706">
        <f t="shared" si="0"/>
        <v>167072</v>
      </c>
      <c r="K12" s="1687">
        <f t="shared" si="0"/>
        <v>14970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11833</v>
      </c>
      <c r="D16" s="466"/>
      <c r="E16" s="466"/>
      <c r="F16" s="466"/>
      <c r="G16" s="466">
        <v>1544</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11833</v>
      </c>
      <c r="D18" s="1709">
        <f t="shared" ref="D18:K18" si="1">SUM(D14:D17)</f>
        <v>0</v>
      </c>
      <c r="E18" s="1709">
        <f t="shared" si="1"/>
        <v>0</v>
      </c>
      <c r="F18" s="1709">
        <f t="shared" si="1"/>
        <v>0</v>
      </c>
      <c r="G18" s="1709">
        <f t="shared" si="1"/>
        <v>1544</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5909</v>
      </c>
      <c r="D65" s="466">
        <v>1162</v>
      </c>
      <c r="E65" s="466">
        <v>46</v>
      </c>
      <c r="F65" s="467">
        <v>1802</v>
      </c>
      <c r="G65" s="466">
        <v>1916</v>
      </c>
      <c r="H65" s="466"/>
      <c r="I65" s="466">
        <v>589</v>
      </c>
      <c r="J65" s="467">
        <v>1554</v>
      </c>
      <c r="K65" s="466">
        <v>1926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5909</v>
      </c>
      <c r="D67" s="1687">
        <f t="shared" ref="D67:K67" si="2">SUM(D65:D66)</f>
        <v>1162</v>
      </c>
      <c r="E67" s="1687">
        <f t="shared" si="2"/>
        <v>46</v>
      </c>
      <c r="F67" s="1687">
        <f t="shared" si="2"/>
        <v>1802</v>
      </c>
      <c r="G67" s="1687">
        <f t="shared" si="2"/>
        <v>1916</v>
      </c>
      <c r="H67" s="1687">
        <f t="shared" si="2"/>
        <v>0</v>
      </c>
      <c r="I67" s="1687">
        <f t="shared" si="2"/>
        <v>589</v>
      </c>
      <c r="J67" s="1687">
        <f t="shared" si="2"/>
        <v>1554</v>
      </c>
      <c r="K67" s="1687">
        <f t="shared" si="2"/>
        <v>1926</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5167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170</v>
      </c>
      <c r="D74" s="468"/>
      <c r="E74" s="468"/>
      <c r="F74" s="468"/>
      <c r="G74" s="468"/>
      <c r="H74" s="468"/>
      <c r="I74" s="468"/>
      <c r="J74" s="468"/>
      <c r="K74" s="468"/>
    </row>
    <row r="75" spans="1:11" ht="12.75" customHeight="1" thickBot="1" x14ac:dyDescent="0.25">
      <c r="A75" s="1707" t="s">
        <v>548</v>
      </c>
      <c r="B75" s="1708"/>
      <c r="C75" s="1687">
        <f>SUM(C69:C74)</f>
        <v>5337</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1669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3049</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42</v>
      </c>
      <c r="D81" s="466"/>
      <c r="E81" s="468"/>
      <c r="F81" s="468"/>
      <c r="G81" s="468"/>
      <c r="H81" s="468"/>
      <c r="I81" s="468"/>
      <c r="J81" s="468"/>
      <c r="K81" s="468"/>
    </row>
    <row r="82" spans="1:11" ht="12.75" customHeight="1" thickBot="1" x14ac:dyDescent="0.25">
      <c r="A82" s="1707" t="s">
        <v>241</v>
      </c>
      <c r="B82" s="1708"/>
      <c r="C82" s="1706">
        <f>SUM(C77:C81)</f>
        <v>4760</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0</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13816</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16515</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3175</v>
      </c>
      <c r="D107" s="466"/>
      <c r="E107" s="466"/>
      <c r="F107" s="466"/>
      <c r="G107" s="466"/>
      <c r="H107" s="466"/>
      <c r="I107" s="466"/>
      <c r="J107" s="467"/>
      <c r="K107" s="466"/>
    </row>
    <row r="108" spans="1:12" ht="12.75" customHeight="1" thickBot="1" x14ac:dyDescent="0.25">
      <c r="A108" s="1707" t="s">
        <v>487</v>
      </c>
      <c r="B108" s="1711"/>
      <c r="C108" s="1706">
        <f>SUM(C95:C107)</f>
        <v>33506</v>
      </c>
      <c r="D108" s="1706">
        <f t="shared" ref="D108:K108" si="3">SUM(D95:D107)</f>
        <v>0</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804580</v>
      </c>
      <c r="D109" s="1714">
        <f t="shared" si="4"/>
        <v>76273</v>
      </c>
      <c r="E109" s="1714">
        <f t="shared" si="4"/>
        <v>48257</v>
      </c>
      <c r="F109" s="1714">
        <f t="shared" si="4"/>
        <v>37854</v>
      </c>
      <c r="G109" s="1714">
        <f t="shared" si="4"/>
        <v>55574</v>
      </c>
      <c r="H109" s="1714">
        <f t="shared" si="4"/>
        <v>0</v>
      </c>
      <c r="I109" s="1714">
        <f t="shared" si="4"/>
        <v>15762</v>
      </c>
      <c r="J109" s="1714">
        <f t="shared" si="4"/>
        <v>168626</v>
      </c>
      <c r="K109" s="1701">
        <f t="shared" si="4"/>
        <v>16896</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111578</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1936</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111578</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0</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246</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6792</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6792</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c r="D168" s="580"/>
      <c r="E168" s="580"/>
      <c r="F168" s="580"/>
      <c r="G168" s="581"/>
      <c r="H168" s="582"/>
      <c r="I168" s="581"/>
      <c r="J168" s="581"/>
      <c r="K168" s="582"/>
    </row>
    <row r="169" spans="1:11" ht="12.75" customHeight="1" thickTop="1" thickBot="1" x14ac:dyDescent="0.25">
      <c r="A169" s="2158" t="s">
        <v>398</v>
      </c>
      <c r="B169" s="2159"/>
      <c r="C169" s="1721">
        <f t="shared" ref="C169:K169" si="6">SUM(C132,C141,C145,C146:C150,C155,C156:C167,C168)</f>
        <v>246</v>
      </c>
      <c r="D169" s="1721">
        <f t="shared" si="6"/>
        <v>0</v>
      </c>
      <c r="E169" s="1721">
        <f t="shared" si="6"/>
        <v>0</v>
      </c>
      <c r="F169" s="1721">
        <f t="shared" si="6"/>
        <v>6792</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111824</v>
      </c>
      <c r="D170" s="1714">
        <f t="shared" si="7"/>
        <v>0</v>
      </c>
      <c r="E170" s="1714">
        <f t="shared" si="7"/>
        <v>0</v>
      </c>
      <c r="F170" s="1714">
        <f t="shared" si="7"/>
        <v>6792</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60" t="s">
        <v>1492</v>
      </c>
      <c r="B172" s="216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v>17092</v>
      </c>
      <c r="D174" s="466"/>
      <c r="E174" s="467"/>
      <c r="F174" s="466"/>
      <c r="G174" s="466"/>
      <c r="H174" s="467"/>
      <c r="I174" s="467"/>
      <c r="J174" s="467"/>
      <c r="K174" s="467"/>
    </row>
    <row r="175" spans="1:11" ht="13.5" thickBot="1" x14ac:dyDescent="0.25">
      <c r="A175" s="2164" t="s">
        <v>1665</v>
      </c>
      <c r="B175" s="2165"/>
      <c r="C175" s="1706">
        <f>SUM(C173:C174)</f>
        <v>17092</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8" t="s">
        <v>1664</v>
      </c>
      <c r="B176" s="216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6" t="s">
        <v>785</v>
      </c>
      <c r="B181" s="2167"/>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62" t="s">
        <v>1803</v>
      </c>
      <c r="B182" s="2163"/>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13946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13946</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9646</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9646</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11763</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11763</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0</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1488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1937</v>
      </c>
      <c r="B261" s="470">
        <v>4981</v>
      </c>
      <c r="C261" s="575"/>
      <c r="D261" s="576"/>
      <c r="E261" s="468"/>
      <c r="F261" s="576"/>
      <c r="G261" s="576"/>
      <c r="H261" s="468"/>
      <c r="I261" s="468"/>
      <c r="J261" s="468"/>
      <c r="K261" s="468"/>
    </row>
    <row r="262" spans="1:11" ht="12.75" customHeight="1" thickTop="1" thickBot="1" x14ac:dyDescent="0.25">
      <c r="A262" s="1930"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499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37342</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54434</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970838</v>
      </c>
      <c r="D268" s="1714">
        <f t="shared" si="12"/>
        <v>76273</v>
      </c>
      <c r="E268" s="1714">
        <f t="shared" si="12"/>
        <v>48257</v>
      </c>
      <c r="F268" s="1714">
        <f t="shared" si="12"/>
        <v>44646</v>
      </c>
      <c r="G268" s="1714">
        <f t="shared" si="12"/>
        <v>55574</v>
      </c>
      <c r="H268" s="1714">
        <f t="shared" si="12"/>
        <v>0</v>
      </c>
      <c r="I268" s="1714">
        <f t="shared" si="12"/>
        <v>15762</v>
      </c>
      <c r="J268" s="1714">
        <f t="shared" si="12"/>
        <v>168626</v>
      </c>
      <c r="K268" s="1701">
        <f t="shared" si="12"/>
        <v>16896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99" activePane="bottomLeft" state="frozen"/>
      <selection pane="bottomLeft" activeCell="N113" sqref="N11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6" t="s">
        <v>297</v>
      </c>
      <c r="B3" s="2177"/>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435480</v>
      </c>
      <c r="D5" s="466">
        <v>58335</v>
      </c>
      <c r="E5" s="466">
        <v>28233</v>
      </c>
      <c r="F5" s="466">
        <v>15949</v>
      </c>
      <c r="G5" s="466">
        <v>19117</v>
      </c>
      <c r="H5" s="466">
        <v>5046</v>
      </c>
      <c r="I5" s="467"/>
      <c r="J5" s="467"/>
      <c r="K5" s="1670">
        <f>SUM(C5:J5)</f>
        <v>562160</v>
      </c>
      <c r="L5" s="466">
        <v>623000</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c r="D7" s="467"/>
      <c r="E7" s="467"/>
      <c r="F7" s="467"/>
      <c r="G7" s="467"/>
      <c r="H7" s="467"/>
      <c r="I7" s="467"/>
      <c r="J7" s="467"/>
      <c r="K7" s="1670">
        <f t="shared" ref="K7:K32" si="0">SUM(C7:J7)</f>
        <v>0</v>
      </c>
      <c r="L7" s="466"/>
    </row>
    <row r="8" spans="1:14" x14ac:dyDescent="0.2">
      <c r="A8" s="1503" t="s">
        <v>164</v>
      </c>
      <c r="B8" s="614">
        <v>1200</v>
      </c>
      <c r="C8" s="466">
        <v>28484</v>
      </c>
      <c r="D8" s="466">
        <v>3809</v>
      </c>
      <c r="E8" s="466"/>
      <c r="F8" s="466"/>
      <c r="G8" s="466"/>
      <c r="H8" s="466"/>
      <c r="I8" s="467"/>
      <c r="J8" s="467"/>
      <c r="K8" s="1670">
        <f t="shared" si="0"/>
        <v>32293</v>
      </c>
      <c r="L8" s="466">
        <v>40400</v>
      </c>
    </row>
    <row r="9" spans="1:14" x14ac:dyDescent="0.2">
      <c r="A9" s="1503" t="s">
        <v>721</v>
      </c>
      <c r="B9" s="614" t="s">
        <v>968</v>
      </c>
      <c r="C9" s="467"/>
      <c r="D9" s="467"/>
      <c r="E9" s="467"/>
      <c r="F9" s="467"/>
      <c r="G9" s="467"/>
      <c r="H9" s="467"/>
      <c r="I9" s="467"/>
      <c r="J9" s="467"/>
      <c r="K9" s="1670">
        <f t="shared" si="0"/>
        <v>0</v>
      </c>
      <c r="L9" s="466"/>
    </row>
    <row r="10" spans="1:14" x14ac:dyDescent="0.2">
      <c r="A10" s="1503" t="s">
        <v>722</v>
      </c>
      <c r="B10" s="614">
        <v>1250</v>
      </c>
      <c r="C10" s="466">
        <v>2781</v>
      </c>
      <c r="D10" s="466"/>
      <c r="E10" s="466">
        <v>500</v>
      </c>
      <c r="F10" s="466"/>
      <c r="G10" s="466"/>
      <c r="H10" s="466"/>
      <c r="I10" s="467"/>
      <c r="J10" s="467"/>
      <c r="K10" s="1670">
        <f t="shared" si="0"/>
        <v>3281</v>
      </c>
      <c r="L10" s="466">
        <v>3200</v>
      </c>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c r="D13" s="466"/>
      <c r="E13" s="466"/>
      <c r="F13" s="466">
        <v>268</v>
      </c>
      <c r="G13" s="466"/>
      <c r="H13" s="466"/>
      <c r="I13" s="467"/>
      <c r="J13" s="467"/>
      <c r="K13" s="1670">
        <f t="shared" si="0"/>
        <v>268</v>
      </c>
      <c r="L13" s="466">
        <v>0</v>
      </c>
    </row>
    <row r="14" spans="1:14" x14ac:dyDescent="0.2">
      <c r="A14" s="1503" t="s">
        <v>963</v>
      </c>
      <c r="B14" s="614">
        <v>1500</v>
      </c>
      <c r="C14" s="466">
        <v>4450</v>
      </c>
      <c r="D14" s="466"/>
      <c r="E14" s="466"/>
      <c r="F14" s="466"/>
      <c r="G14" s="466"/>
      <c r="H14" s="466"/>
      <c r="I14" s="467"/>
      <c r="J14" s="467"/>
      <c r="K14" s="1670">
        <f t="shared" si="0"/>
        <v>4450</v>
      </c>
      <c r="L14" s="466">
        <v>0</v>
      </c>
    </row>
    <row r="15" spans="1:14" x14ac:dyDescent="0.2">
      <c r="A15" s="1503" t="s">
        <v>964</v>
      </c>
      <c r="B15" s="614">
        <v>1600</v>
      </c>
      <c r="C15" s="466"/>
      <c r="D15" s="466"/>
      <c r="E15" s="466"/>
      <c r="F15" s="466"/>
      <c r="G15" s="466"/>
      <c r="H15" s="466"/>
      <c r="I15" s="467"/>
      <c r="J15" s="467"/>
      <c r="K15" s="1670">
        <f t="shared" si="0"/>
        <v>0</v>
      </c>
      <c r="L15" s="466"/>
    </row>
    <row r="16" spans="1:14" x14ac:dyDescent="0.2">
      <c r="A16" s="1503" t="s">
        <v>987</v>
      </c>
      <c r="B16" s="614" t="s">
        <v>424</v>
      </c>
      <c r="C16" s="466"/>
      <c r="D16" s="466"/>
      <c r="E16" s="466"/>
      <c r="F16" s="466"/>
      <c r="G16" s="466"/>
      <c r="H16" s="466"/>
      <c r="I16" s="467"/>
      <c r="J16" s="467"/>
      <c r="K16" s="1670">
        <f t="shared" si="0"/>
        <v>0</v>
      </c>
      <c r="L16" s="466"/>
    </row>
    <row r="17" spans="1:12" x14ac:dyDescent="0.2">
      <c r="A17" s="1503" t="s">
        <v>724</v>
      </c>
      <c r="B17" s="614" t="s">
        <v>162</v>
      </c>
      <c r="C17" s="467"/>
      <c r="D17" s="467"/>
      <c r="E17" s="467"/>
      <c r="F17" s="467"/>
      <c r="G17" s="467"/>
      <c r="H17" s="467"/>
      <c r="I17" s="467"/>
      <c r="J17" s="467"/>
      <c r="K17" s="1670">
        <f t="shared" si="0"/>
        <v>0</v>
      </c>
      <c r="L17" s="466"/>
    </row>
    <row r="18" spans="1:12" x14ac:dyDescent="0.2">
      <c r="A18" s="1503" t="s">
        <v>1087</v>
      </c>
      <c r="B18" s="614">
        <v>1800</v>
      </c>
      <c r="C18" s="466"/>
      <c r="D18" s="466"/>
      <c r="E18" s="466"/>
      <c r="F18" s="466"/>
      <c r="G18" s="466"/>
      <c r="H18" s="466"/>
      <c r="I18" s="467"/>
      <c r="J18" s="467"/>
      <c r="K18" s="1670">
        <f t="shared" si="0"/>
        <v>0</v>
      </c>
      <c r="L18" s="466"/>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c r="I21" s="616"/>
      <c r="J21" s="477"/>
      <c r="K21" s="1670">
        <f t="shared" si="0"/>
        <v>0</v>
      </c>
      <c r="L21" s="471"/>
    </row>
    <row r="22" spans="1:12" x14ac:dyDescent="0.2">
      <c r="A22" s="1504" t="s">
        <v>740</v>
      </c>
      <c r="B22" s="602" t="s">
        <v>727</v>
      </c>
      <c r="C22" s="477"/>
      <c r="D22" s="477"/>
      <c r="E22" s="477"/>
      <c r="F22" s="477"/>
      <c r="G22" s="477"/>
      <c r="H22" s="474"/>
      <c r="I22" s="616"/>
      <c r="J22" s="477"/>
      <c r="K22" s="1670">
        <f t="shared" si="0"/>
        <v>0</v>
      </c>
      <c r="L22" s="471"/>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471195</v>
      </c>
      <c r="D33" s="1669">
        <f t="shared" ref="D33:L33" si="1">SUM(D5:D32)</f>
        <v>62144</v>
      </c>
      <c r="E33" s="1669">
        <f t="shared" si="1"/>
        <v>28733</v>
      </c>
      <c r="F33" s="1669">
        <f t="shared" si="1"/>
        <v>16217</v>
      </c>
      <c r="G33" s="1669">
        <f t="shared" si="1"/>
        <v>19117</v>
      </c>
      <c r="H33" s="1669">
        <f t="shared" si="1"/>
        <v>5046</v>
      </c>
      <c r="I33" s="1669">
        <f t="shared" si="1"/>
        <v>0</v>
      </c>
      <c r="J33" s="1669">
        <f t="shared" si="1"/>
        <v>0</v>
      </c>
      <c r="K33" s="1669">
        <f t="shared" si="1"/>
        <v>602452</v>
      </c>
      <c r="L33" s="1669">
        <f t="shared" si="1"/>
        <v>666600</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c r="D36" s="481"/>
      <c r="E36" s="481"/>
      <c r="F36" s="481"/>
      <c r="G36" s="481"/>
      <c r="H36" s="481"/>
      <c r="I36" s="467"/>
      <c r="J36" s="467"/>
      <c r="K36" s="1670">
        <f t="shared" ref="K36:K41" si="2">SUM(C36:J36)</f>
        <v>0</v>
      </c>
      <c r="L36" s="466"/>
    </row>
    <row r="37" spans="1:14" x14ac:dyDescent="0.2">
      <c r="A37" s="1503" t="s">
        <v>1090</v>
      </c>
      <c r="B37" s="614">
        <v>2120</v>
      </c>
      <c r="C37" s="466"/>
      <c r="D37" s="466"/>
      <c r="E37" s="466"/>
      <c r="F37" s="466"/>
      <c r="G37" s="466"/>
      <c r="H37" s="466"/>
      <c r="I37" s="467"/>
      <c r="J37" s="467"/>
      <c r="K37" s="1670">
        <f t="shared" si="2"/>
        <v>0</v>
      </c>
      <c r="L37" s="466"/>
    </row>
    <row r="38" spans="1:14" x14ac:dyDescent="0.2">
      <c r="A38" s="1503" t="s">
        <v>198</v>
      </c>
      <c r="B38" s="614">
        <v>2130</v>
      </c>
      <c r="C38" s="466"/>
      <c r="D38" s="466"/>
      <c r="E38" s="466"/>
      <c r="F38" s="466"/>
      <c r="G38" s="466"/>
      <c r="H38" s="466"/>
      <c r="I38" s="467"/>
      <c r="J38" s="467"/>
      <c r="K38" s="1670">
        <f t="shared" si="2"/>
        <v>0</v>
      </c>
      <c r="L38" s="466"/>
    </row>
    <row r="39" spans="1:14" x14ac:dyDescent="0.2">
      <c r="A39" s="1503" t="s">
        <v>199</v>
      </c>
      <c r="B39" s="614">
        <v>2140</v>
      </c>
      <c r="C39" s="466"/>
      <c r="D39" s="466"/>
      <c r="E39" s="466"/>
      <c r="F39" s="466"/>
      <c r="G39" s="466"/>
      <c r="H39" s="466"/>
      <c r="I39" s="467"/>
      <c r="J39" s="467"/>
      <c r="K39" s="1670">
        <f t="shared" si="2"/>
        <v>0</v>
      </c>
      <c r="L39" s="466"/>
    </row>
    <row r="40" spans="1:14" x14ac:dyDescent="0.2">
      <c r="A40" s="1503" t="s">
        <v>200</v>
      </c>
      <c r="B40" s="614">
        <v>2150</v>
      </c>
      <c r="C40" s="466"/>
      <c r="D40" s="466"/>
      <c r="E40" s="466"/>
      <c r="F40" s="466"/>
      <c r="G40" s="466"/>
      <c r="H40" s="466"/>
      <c r="I40" s="467"/>
      <c r="J40" s="467"/>
      <c r="K40" s="1670">
        <f t="shared" si="2"/>
        <v>0</v>
      </c>
      <c r="L40" s="466"/>
    </row>
    <row r="41" spans="1:14" x14ac:dyDescent="0.2">
      <c r="A41" s="1503" t="s">
        <v>1669</v>
      </c>
      <c r="B41" s="614">
        <v>2190</v>
      </c>
      <c r="C41" s="466"/>
      <c r="D41" s="466"/>
      <c r="E41" s="466"/>
      <c r="F41" s="466"/>
      <c r="G41" s="466"/>
      <c r="H41" s="466"/>
      <c r="I41" s="467"/>
      <c r="J41" s="467"/>
      <c r="K41" s="1670">
        <f t="shared" si="2"/>
        <v>0</v>
      </c>
      <c r="L41" s="466"/>
    </row>
    <row r="42" spans="1:14" ht="12.75" customHeight="1" thickBot="1" x14ac:dyDescent="0.25">
      <c r="A42" s="1667" t="s">
        <v>560</v>
      </c>
      <c r="B42" s="1668" t="s">
        <v>716</v>
      </c>
      <c r="C42" s="1669">
        <f>SUM(C36:C41)</f>
        <v>0</v>
      </c>
      <c r="D42" s="1669">
        <f t="shared" ref="D42:L42" si="3">SUM(D36:D41)</f>
        <v>0</v>
      </c>
      <c r="E42" s="1669">
        <f t="shared" si="3"/>
        <v>0</v>
      </c>
      <c r="F42" s="1669">
        <f t="shared" si="3"/>
        <v>0</v>
      </c>
      <c r="G42" s="1669">
        <f t="shared" si="3"/>
        <v>0</v>
      </c>
      <c r="H42" s="1669">
        <f t="shared" si="3"/>
        <v>0</v>
      </c>
      <c r="I42" s="1669">
        <f t="shared" si="3"/>
        <v>0</v>
      </c>
      <c r="J42" s="1669">
        <f t="shared" si="3"/>
        <v>0</v>
      </c>
      <c r="K42" s="1669">
        <f t="shared" si="3"/>
        <v>0</v>
      </c>
      <c r="L42" s="1669">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c r="D44" s="481"/>
      <c r="E44" s="481">
        <v>1055</v>
      </c>
      <c r="F44" s="481"/>
      <c r="G44" s="481"/>
      <c r="H44" s="481"/>
      <c r="I44" s="467"/>
      <c r="J44" s="467"/>
      <c r="K44" s="1671">
        <f>SUM(C44:J44)</f>
        <v>1055</v>
      </c>
      <c r="L44" s="481">
        <v>3000</v>
      </c>
    </row>
    <row r="45" spans="1:14" x14ac:dyDescent="0.2">
      <c r="A45" s="1503" t="s">
        <v>815</v>
      </c>
      <c r="B45" s="614">
        <v>2220</v>
      </c>
      <c r="C45" s="466"/>
      <c r="D45" s="466"/>
      <c r="E45" s="466"/>
      <c r="F45" s="466"/>
      <c r="G45" s="466"/>
      <c r="H45" s="466"/>
      <c r="I45" s="467"/>
      <c r="J45" s="467"/>
      <c r="K45" s="1671">
        <f>SUM(C45:J45)</f>
        <v>0</v>
      </c>
      <c r="L45" s="466"/>
    </row>
    <row r="46" spans="1:14" x14ac:dyDescent="0.2">
      <c r="A46" s="1503" t="s">
        <v>816</v>
      </c>
      <c r="B46" s="614">
        <v>2230</v>
      </c>
      <c r="C46" s="466"/>
      <c r="D46" s="466"/>
      <c r="E46" s="466"/>
      <c r="F46" s="466"/>
      <c r="G46" s="466"/>
      <c r="H46" s="466"/>
      <c r="I46" s="467"/>
      <c r="J46" s="467"/>
      <c r="K46" s="1671">
        <f>SUM(C46:J46)</f>
        <v>0</v>
      </c>
      <c r="L46" s="466"/>
    </row>
    <row r="47" spans="1:14" ht="12.75" customHeight="1" thickBot="1" x14ac:dyDescent="0.25">
      <c r="A47" s="1667" t="s">
        <v>561</v>
      </c>
      <c r="B47" s="1668" t="s">
        <v>32</v>
      </c>
      <c r="C47" s="1669">
        <f>SUM(C44:C46)</f>
        <v>0</v>
      </c>
      <c r="D47" s="1669">
        <f t="shared" ref="D47:K47" si="4">SUM(D44:D46)</f>
        <v>0</v>
      </c>
      <c r="E47" s="1669">
        <f t="shared" si="4"/>
        <v>1055</v>
      </c>
      <c r="F47" s="1669">
        <f t="shared" si="4"/>
        <v>0</v>
      </c>
      <c r="G47" s="1669">
        <f t="shared" si="4"/>
        <v>0</v>
      </c>
      <c r="H47" s="1669">
        <f t="shared" si="4"/>
        <v>0</v>
      </c>
      <c r="I47" s="1669">
        <f t="shared" si="4"/>
        <v>0</v>
      </c>
      <c r="J47" s="1669">
        <f t="shared" si="4"/>
        <v>0</v>
      </c>
      <c r="K47" s="1669">
        <f t="shared" si="4"/>
        <v>1055</v>
      </c>
      <c r="L47" s="1669">
        <f>SUM(L44:L46)</f>
        <v>3000</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c r="D49" s="481"/>
      <c r="E49" s="481">
        <v>474</v>
      </c>
      <c r="F49" s="481"/>
      <c r="G49" s="481"/>
      <c r="H49" s="481"/>
      <c r="I49" s="467"/>
      <c r="J49" s="467"/>
      <c r="K49" s="1671">
        <f>SUM(C49:J49)</f>
        <v>474</v>
      </c>
      <c r="L49" s="481">
        <v>25000</v>
      </c>
    </row>
    <row r="50" spans="1:14" x14ac:dyDescent="0.2">
      <c r="A50" s="1503" t="s">
        <v>818</v>
      </c>
      <c r="B50" s="614">
        <v>2320</v>
      </c>
      <c r="C50" s="466">
        <v>88586</v>
      </c>
      <c r="D50" s="466">
        <v>15146</v>
      </c>
      <c r="E50" s="466">
        <v>9283</v>
      </c>
      <c r="F50" s="466"/>
      <c r="G50" s="466"/>
      <c r="H50" s="466">
        <v>3982</v>
      </c>
      <c r="I50" s="467"/>
      <c r="J50" s="467"/>
      <c r="K50" s="1671">
        <f>SUM(C50:J50)</f>
        <v>116997</v>
      </c>
      <c r="L50" s="466">
        <v>102300</v>
      </c>
    </row>
    <row r="51" spans="1:14" x14ac:dyDescent="0.2">
      <c r="A51" s="1503" t="s">
        <v>42</v>
      </c>
      <c r="B51" s="614">
        <v>2330</v>
      </c>
      <c r="C51" s="466"/>
      <c r="D51" s="466"/>
      <c r="E51" s="466"/>
      <c r="F51" s="466"/>
      <c r="G51" s="466"/>
      <c r="H51" s="466"/>
      <c r="I51" s="467"/>
      <c r="J51" s="467"/>
      <c r="K51" s="1671">
        <f>SUM(C51:J51)</f>
        <v>0</v>
      </c>
      <c r="L51" s="466"/>
    </row>
    <row r="52" spans="1:14" ht="22.5" x14ac:dyDescent="0.2">
      <c r="A52" s="1504"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88586</v>
      </c>
      <c r="D53" s="1669">
        <f t="shared" ref="D53:L53" si="5">SUM(D49:D52)</f>
        <v>15146</v>
      </c>
      <c r="E53" s="1669">
        <f t="shared" si="5"/>
        <v>9757</v>
      </c>
      <c r="F53" s="1669">
        <f t="shared" si="5"/>
        <v>0</v>
      </c>
      <c r="G53" s="1669">
        <f t="shared" si="5"/>
        <v>0</v>
      </c>
      <c r="H53" s="1669">
        <f t="shared" si="5"/>
        <v>3982</v>
      </c>
      <c r="I53" s="1669">
        <f t="shared" si="5"/>
        <v>0</v>
      </c>
      <c r="J53" s="1669">
        <f t="shared" si="5"/>
        <v>0</v>
      </c>
      <c r="K53" s="1669">
        <f t="shared" si="5"/>
        <v>117471</v>
      </c>
      <c r="L53" s="1669">
        <f t="shared" si="5"/>
        <v>127300</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16802</v>
      </c>
      <c r="D55" s="481">
        <v>6679</v>
      </c>
      <c r="E55" s="481"/>
      <c r="F55" s="481"/>
      <c r="G55" s="481"/>
      <c r="H55" s="481"/>
      <c r="I55" s="467"/>
      <c r="J55" s="467"/>
      <c r="K55" s="1671">
        <f>SUM(C55:J55)</f>
        <v>23481</v>
      </c>
      <c r="L55" s="481">
        <v>57000</v>
      </c>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16802</v>
      </c>
      <c r="D57" s="1673">
        <f t="shared" ref="D57:K57" si="6">SUM(D55:D56)</f>
        <v>6679</v>
      </c>
      <c r="E57" s="1673">
        <f t="shared" si="6"/>
        <v>0</v>
      </c>
      <c r="F57" s="1673">
        <f t="shared" si="6"/>
        <v>0</v>
      </c>
      <c r="G57" s="1673">
        <f t="shared" si="6"/>
        <v>0</v>
      </c>
      <c r="H57" s="1673">
        <f t="shared" si="6"/>
        <v>0</v>
      </c>
      <c r="I57" s="1673">
        <f t="shared" si="6"/>
        <v>0</v>
      </c>
      <c r="J57" s="1673">
        <f t="shared" si="6"/>
        <v>0</v>
      </c>
      <c r="K57" s="1673">
        <f t="shared" si="6"/>
        <v>23481</v>
      </c>
      <c r="L57" s="1669">
        <f>SUM(L55:L56)</f>
        <v>57000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463</v>
      </c>
      <c r="B60" s="614">
        <v>2520</v>
      </c>
      <c r="C60" s="466"/>
      <c r="D60" s="466"/>
      <c r="E60" s="466">
        <v>18165</v>
      </c>
      <c r="F60" s="466"/>
      <c r="G60" s="466"/>
      <c r="H60" s="466"/>
      <c r="I60" s="467"/>
      <c r="J60" s="467"/>
      <c r="K60" s="1671">
        <f t="shared" si="7"/>
        <v>18165</v>
      </c>
      <c r="L60" s="466">
        <v>18000</v>
      </c>
      <c r="M60" s="609"/>
      <c r="N60" s="609"/>
    </row>
    <row r="61" spans="1:14" s="343" customFormat="1" x14ac:dyDescent="0.2">
      <c r="A61" s="1503" t="s">
        <v>197</v>
      </c>
      <c r="B61" s="614">
        <v>2540</v>
      </c>
      <c r="C61" s="466"/>
      <c r="D61" s="466"/>
      <c r="E61" s="466"/>
      <c r="F61" s="466"/>
      <c r="G61" s="466"/>
      <c r="H61" s="466"/>
      <c r="I61" s="467"/>
      <c r="J61" s="467"/>
      <c r="K61" s="1671">
        <f t="shared" si="7"/>
        <v>0</v>
      </c>
      <c r="L61" s="466"/>
      <c r="M61" s="609"/>
      <c r="N61" s="609"/>
    </row>
    <row r="62" spans="1:14" s="343" customFormat="1" x14ac:dyDescent="0.2">
      <c r="A62" s="1503" t="s">
        <v>953</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4469</v>
      </c>
      <c r="D63" s="466"/>
      <c r="E63" s="466"/>
      <c r="F63" s="466">
        <v>21118</v>
      </c>
      <c r="G63" s="466"/>
      <c r="H63" s="466"/>
      <c r="I63" s="467"/>
      <c r="J63" s="467"/>
      <c r="K63" s="1671">
        <f t="shared" si="7"/>
        <v>25587</v>
      </c>
      <c r="L63" s="466">
        <v>7000</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4469</v>
      </c>
      <c r="D65" s="1669">
        <f t="shared" ref="D65:L65" si="8">SUM(D59:D64)</f>
        <v>0</v>
      </c>
      <c r="E65" s="1669">
        <f t="shared" si="8"/>
        <v>18165</v>
      </c>
      <c r="F65" s="1669">
        <f t="shared" si="8"/>
        <v>21118</v>
      </c>
      <c r="G65" s="1669">
        <f t="shared" si="8"/>
        <v>0</v>
      </c>
      <c r="H65" s="1669">
        <f t="shared" si="8"/>
        <v>0</v>
      </c>
      <c r="I65" s="1669">
        <f t="shared" si="8"/>
        <v>0</v>
      </c>
      <c r="J65" s="1669">
        <f t="shared" si="8"/>
        <v>0</v>
      </c>
      <c r="K65" s="1669">
        <f t="shared" si="8"/>
        <v>43752</v>
      </c>
      <c r="L65" s="1669">
        <f t="shared" si="8"/>
        <v>25000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c r="D69" s="466"/>
      <c r="E69" s="466"/>
      <c r="F69" s="466"/>
      <c r="G69" s="466"/>
      <c r="H69" s="466"/>
      <c r="I69" s="467"/>
      <c r="J69" s="467"/>
      <c r="K69" s="1671">
        <f>SUM(C69:J69)</f>
        <v>0</v>
      </c>
      <c r="L69" s="466"/>
      <c r="M69" s="609"/>
      <c r="N69" s="609"/>
    </row>
    <row r="70" spans="1:14" s="343" customFormat="1" x14ac:dyDescent="0.2">
      <c r="A70" s="1503" t="s">
        <v>403</v>
      </c>
      <c r="B70" s="614">
        <v>2640</v>
      </c>
      <c r="C70" s="466"/>
      <c r="D70" s="466"/>
      <c r="E70" s="466"/>
      <c r="F70" s="466"/>
      <c r="G70" s="466"/>
      <c r="H70" s="466"/>
      <c r="I70" s="467"/>
      <c r="J70" s="467"/>
      <c r="K70" s="1671">
        <f>SUM(C70:J70)</f>
        <v>0</v>
      </c>
      <c r="L70" s="466"/>
      <c r="M70" s="609"/>
      <c r="N70" s="609"/>
    </row>
    <row r="71" spans="1:14" s="343" customFormat="1" x14ac:dyDescent="0.2">
      <c r="A71" s="1503"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980</v>
      </c>
      <c r="B73" s="632" t="s">
        <v>574</v>
      </c>
      <c r="C73" s="573"/>
      <c r="D73" s="573"/>
      <c r="E73" s="573"/>
      <c r="F73" s="573"/>
      <c r="G73" s="573"/>
      <c r="H73" s="573"/>
      <c r="I73" s="531"/>
      <c r="J73" s="531"/>
      <c r="K73" s="1669">
        <f>SUM(C73:J73)</f>
        <v>0</v>
      </c>
      <c r="L73" s="576"/>
      <c r="M73" s="609"/>
      <c r="N73" s="609"/>
    </row>
    <row r="74" spans="1:14" ht="12.75" customHeight="1" thickTop="1" thickBot="1" x14ac:dyDescent="0.25">
      <c r="A74" s="1667" t="s">
        <v>811</v>
      </c>
      <c r="B74" s="1675">
        <v>2000</v>
      </c>
      <c r="C74" s="1676">
        <f>SUM(C42,C47,C53,C57,C65,C72,C73)</f>
        <v>109857</v>
      </c>
      <c r="D74" s="1676">
        <f t="shared" ref="D74:K74" si="10">SUM(D42,D47,D53,D57,D65,D72,D73)</f>
        <v>21825</v>
      </c>
      <c r="E74" s="1676">
        <f t="shared" si="10"/>
        <v>28977</v>
      </c>
      <c r="F74" s="1676">
        <f t="shared" si="10"/>
        <v>21118</v>
      </c>
      <c r="G74" s="1676">
        <f t="shared" si="10"/>
        <v>0</v>
      </c>
      <c r="H74" s="1676">
        <f t="shared" si="10"/>
        <v>3982</v>
      </c>
      <c r="I74" s="1676">
        <f t="shared" si="10"/>
        <v>0</v>
      </c>
      <c r="J74" s="1676">
        <f t="shared" si="10"/>
        <v>0</v>
      </c>
      <c r="K74" s="1676">
        <f t="shared" si="10"/>
        <v>185759</v>
      </c>
      <c r="L74" s="1676">
        <f>SUM(L42,L47,L53,L57,L65,L72,L73)</f>
        <v>212300</v>
      </c>
    </row>
    <row r="75" spans="1:14" s="259" customFormat="1" ht="15.75" customHeight="1" thickTop="1" thickBot="1" x14ac:dyDescent="0.25">
      <c r="A75" s="1609" t="s">
        <v>47</v>
      </c>
      <c r="B75" s="1610" t="s">
        <v>575</v>
      </c>
      <c r="C75" s="573"/>
      <c r="D75" s="573"/>
      <c r="E75" s="573"/>
      <c r="F75" s="573"/>
      <c r="G75" s="573"/>
      <c r="H75" s="573"/>
      <c r="I75" s="531"/>
      <c r="J75" s="531"/>
      <c r="K75" s="1669">
        <f>SUM(C75:J75)</f>
        <v>0</v>
      </c>
      <c r="L75" s="576"/>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row>
    <row r="79" spans="1:14" x14ac:dyDescent="0.2">
      <c r="A79" s="1503" t="s">
        <v>304</v>
      </c>
      <c r="B79" s="614">
        <v>4120</v>
      </c>
      <c r="C79" s="616"/>
      <c r="D79" s="616"/>
      <c r="E79" s="466">
        <v>36359</v>
      </c>
      <c r="F79" s="616"/>
      <c r="G79" s="616"/>
      <c r="H79" s="466"/>
      <c r="I79" s="477"/>
      <c r="J79" s="477"/>
      <c r="K79" s="1670">
        <f t="shared" si="11"/>
        <v>36359</v>
      </c>
      <c r="L79" s="466">
        <v>25000</v>
      </c>
    </row>
    <row r="80" spans="1:14" x14ac:dyDescent="0.2">
      <c r="A80" s="1503" t="s">
        <v>305</v>
      </c>
      <c r="B80" s="614">
        <v>4130</v>
      </c>
      <c r="C80" s="616"/>
      <c r="D80" s="616"/>
      <c r="E80" s="466"/>
      <c r="F80" s="616"/>
      <c r="G80" s="616"/>
      <c r="H80" s="466"/>
      <c r="I80" s="477"/>
      <c r="J80" s="477"/>
      <c r="K80" s="1670">
        <f t="shared" si="11"/>
        <v>0</v>
      </c>
      <c r="L80" s="466"/>
    </row>
    <row r="81" spans="1:12" x14ac:dyDescent="0.2">
      <c r="A81" s="1503" t="s">
        <v>697</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v>44908</v>
      </c>
      <c r="F83" s="616"/>
      <c r="G83" s="616"/>
      <c r="H83" s="466"/>
      <c r="I83" s="477"/>
      <c r="J83" s="477"/>
      <c r="K83" s="1670">
        <f t="shared" si="11"/>
        <v>44908</v>
      </c>
      <c r="L83" s="466">
        <v>25000</v>
      </c>
    </row>
    <row r="84" spans="1:12" ht="13.5" thickBot="1" x14ac:dyDescent="0.25">
      <c r="A84" s="1667" t="s">
        <v>1485</v>
      </c>
      <c r="B84" s="1677">
        <v>4100</v>
      </c>
      <c r="C84" s="616"/>
      <c r="D84" s="616"/>
      <c r="E84" s="1669">
        <f>SUM(E78:E83)</f>
        <v>81267</v>
      </c>
      <c r="F84" s="616"/>
      <c r="G84" s="616"/>
      <c r="H84" s="1669">
        <f>SUM(H78:H83)</f>
        <v>0</v>
      </c>
      <c r="I84" s="477"/>
      <c r="J84" s="477"/>
      <c r="K84" s="1669">
        <f>SUM(K78:K83)</f>
        <v>81267</v>
      </c>
      <c r="L84" s="1669">
        <f>SUM(L78:L83)</f>
        <v>50000</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699</v>
      </c>
      <c r="B86" s="637">
        <v>4220</v>
      </c>
      <c r="C86" s="616"/>
      <c r="D86" s="616"/>
      <c r="E86" s="638"/>
      <c r="F86" s="616"/>
      <c r="G86" s="616"/>
      <c r="H86" s="467"/>
      <c r="I86" s="477"/>
      <c r="J86" s="477"/>
      <c r="K86" s="1676">
        <f t="shared" ref="K86:K98" si="12">H86</f>
        <v>0</v>
      </c>
      <c r="L86" s="530"/>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c r="I88" s="477"/>
      <c r="J88" s="477"/>
      <c r="K88" s="1676">
        <f t="shared" si="12"/>
        <v>0</v>
      </c>
      <c r="L88" s="530"/>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c r="I90" s="477"/>
      <c r="J90" s="477"/>
      <c r="K90" s="1676">
        <f t="shared" si="12"/>
        <v>0</v>
      </c>
      <c r="L90" s="530"/>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81267</v>
      </c>
      <c r="F102" s="616"/>
      <c r="G102" s="616"/>
      <c r="H102" s="1676">
        <f>SUM(H84,H92,H100,H101)</f>
        <v>0</v>
      </c>
      <c r="I102" s="477"/>
      <c r="J102" s="477"/>
      <c r="K102" s="1676">
        <f>SUM(K84,K92,K100,K101)</f>
        <v>81267</v>
      </c>
      <c r="L102" s="1676">
        <f>SUM(L84,L92,L100,L101)</f>
        <v>50000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581052</v>
      </c>
      <c r="D114" s="1669">
        <f t="shared" ref="D114:K114" si="13">SUM(D33,D74,D75,D102,D112,D113)</f>
        <v>83969</v>
      </c>
      <c r="E114" s="1669">
        <f t="shared" si="13"/>
        <v>138977</v>
      </c>
      <c r="F114" s="1669">
        <f t="shared" si="13"/>
        <v>37335</v>
      </c>
      <c r="G114" s="1669">
        <f t="shared" si="13"/>
        <v>19117</v>
      </c>
      <c r="H114" s="1669">
        <f>SUM(H33,H74,H75,H102,H112,H113)</f>
        <v>9028</v>
      </c>
      <c r="I114" s="1669">
        <f t="shared" si="13"/>
        <v>0</v>
      </c>
      <c r="J114" s="1669">
        <f t="shared" si="13"/>
        <v>0</v>
      </c>
      <c r="K114" s="1669">
        <f t="shared" si="13"/>
        <v>869478</v>
      </c>
      <c r="L114" s="1669">
        <f>SUM(L33,L74,L75,L102,L112,L113)</f>
        <v>928900</v>
      </c>
    </row>
    <row r="115" spans="1:14" ht="13.5" thickTop="1" x14ac:dyDescent="0.2">
      <c r="A115" s="2195" t="s">
        <v>996</v>
      </c>
      <c r="B115" s="2196"/>
      <c r="C115" s="618"/>
      <c r="D115" s="618"/>
      <c r="E115" s="618"/>
      <c r="F115" s="618"/>
      <c r="G115" s="618"/>
      <c r="H115" s="618"/>
      <c r="I115" s="618"/>
      <c r="J115" s="618"/>
      <c r="K115" s="1683">
        <f>'Revenues 9-14'!C268-'Expenditures 15-22'!K114</f>
        <v>101360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3" t="s">
        <v>296</v>
      </c>
      <c r="B117" s="2174"/>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v>26833</v>
      </c>
      <c r="D124" s="466">
        <v>64</v>
      </c>
      <c r="E124" s="466">
        <v>41332</v>
      </c>
      <c r="F124" s="466">
        <v>44986</v>
      </c>
      <c r="G124" s="466"/>
      <c r="H124" s="466"/>
      <c r="I124" s="467"/>
      <c r="J124" s="467"/>
      <c r="K124" s="1669">
        <f>SUM(C124:J124)</f>
        <v>113215</v>
      </c>
      <c r="L124" s="466">
        <v>78000</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26833</v>
      </c>
      <c r="D127" s="1669">
        <f t="shared" ref="D127:L127" si="14">SUM(D122:D126)</f>
        <v>64</v>
      </c>
      <c r="E127" s="1669">
        <f t="shared" si="14"/>
        <v>41332</v>
      </c>
      <c r="F127" s="1669">
        <f t="shared" si="14"/>
        <v>44986</v>
      </c>
      <c r="G127" s="1669">
        <f t="shared" si="14"/>
        <v>0</v>
      </c>
      <c r="H127" s="1669">
        <f t="shared" si="14"/>
        <v>0</v>
      </c>
      <c r="I127" s="1669">
        <f t="shared" si="14"/>
        <v>0</v>
      </c>
      <c r="J127" s="1669">
        <f t="shared" si="14"/>
        <v>0</v>
      </c>
      <c r="K127" s="1669">
        <f t="shared" si="14"/>
        <v>113215</v>
      </c>
      <c r="L127" s="1669">
        <f t="shared" si="14"/>
        <v>78000</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26833</v>
      </c>
      <c r="D129" s="1676">
        <f t="shared" ref="D129:L129" si="15">SUM(D120,D127,D128)</f>
        <v>64</v>
      </c>
      <c r="E129" s="1676">
        <f t="shared" si="15"/>
        <v>41332</v>
      </c>
      <c r="F129" s="1676">
        <f t="shared" si="15"/>
        <v>44986</v>
      </c>
      <c r="G129" s="1676">
        <f t="shared" si="15"/>
        <v>0</v>
      </c>
      <c r="H129" s="1676">
        <f t="shared" si="15"/>
        <v>0</v>
      </c>
      <c r="I129" s="1676">
        <f t="shared" si="15"/>
        <v>0</v>
      </c>
      <c r="J129" s="1676">
        <f t="shared" si="15"/>
        <v>0</v>
      </c>
      <c r="K129" s="1676">
        <f t="shared" si="15"/>
        <v>113215</v>
      </c>
      <c r="L129" s="1676">
        <f t="shared" si="15"/>
        <v>78000</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c r="F134" s="616"/>
      <c r="G134" s="616"/>
      <c r="H134" s="481"/>
      <c r="I134" s="477"/>
      <c r="J134" s="616"/>
      <c r="K134" s="1671">
        <f>SUM(E134,H134)</f>
        <v>0</v>
      </c>
      <c r="L134" s="481"/>
    </row>
    <row r="135" spans="1:14" x14ac:dyDescent="0.2">
      <c r="A135" s="1503" t="s">
        <v>697</v>
      </c>
      <c r="B135" s="614">
        <v>4140</v>
      </c>
      <c r="C135" s="616"/>
      <c r="D135" s="616"/>
      <c r="E135" s="467"/>
      <c r="F135" s="616"/>
      <c r="G135" s="616"/>
      <c r="H135" s="466"/>
      <c r="I135" s="477"/>
      <c r="J135" s="616"/>
      <c r="K135" s="1671">
        <f>SUM(E135,H135)</f>
        <v>0</v>
      </c>
      <c r="L135" s="466"/>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85" t="s">
        <v>620</v>
      </c>
      <c r="B151" s="2167"/>
      <c r="C151" s="1669">
        <f>SUM(C129,C130,C139,C149,C150)</f>
        <v>26833</v>
      </c>
      <c r="D151" s="1669">
        <f t="shared" ref="D151:K151" si="16">SUM(D129,D130,D139,D149,D150)</f>
        <v>64</v>
      </c>
      <c r="E151" s="1669">
        <f t="shared" si="16"/>
        <v>41332</v>
      </c>
      <c r="F151" s="1669">
        <f t="shared" si="16"/>
        <v>44986</v>
      </c>
      <c r="G151" s="1669">
        <f t="shared" si="16"/>
        <v>0</v>
      </c>
      <c r="H151" s="1669">
        <f t="shared" si="16"/>
        <v>0</v>
      </c>
      <c r="I151" s="1669">
        <f t="shared" si="16"/>
        <v>0</v>
      </c>
      <c r="J151" s="1669">
        <f t="shared" si="16"/>
        <v>0</v>
      </c>
      <c r="K151" s="1669">
        <f t="shared" si="16"/>
        <v>113215</v>
      </c>
      <c r="L151" s="1669">
        <f>SUM(L129,L130,L139,L149,L150)</f>
        <v>78000</v>
      </c>
    </row>
    <row r="152" spans="1:14" ht="12.75" customHeight="1" thickTop="1" x14ac:dyDescent="0.2">
      <c r="A152" s="2188" t="s">
        <v>1178</v>
      </c>
      <c r="B152" s="2189"/>
      <c r="C152" s="618"/>
      <c r="D152" s="618"/>
      <c r="E152" s="618"/>
      <c r="F152" s="618"/>
      <c r="G152" s="618"/>
      <c r="H152" s="618"/>
      <c r="I152" s="618"/>
      <c r="J152" s="616"/>
      <c r="K152" s="1683">
        <f>'Revenues 9-14'!D268-'Expenditures 15-22'!K151</f>
        <v>-36942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3" t="s">
        <v>621</v>
      </c>
      <c r="B154" s="2175"/>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23965</v>
      </c>
      <c r="I169" s="616"/>
      <c r="J169" s="616"/>
      <c r="K169" s="1670">
        <f>SUM(C169:H169)</f>
        <v>23965</v>
      </c>
      <c r="L169" s="656">
        <v>21210</v>
      </c>
    </row>
    <row r="170" spans="1:14" ht="33.75" customHeight="1" x14ac:dyDescent="0.2">
      <c r="A170" s="669" t="s">
        <v>1670</v>
      </c>
      <c r="B170" s="671" t="s">
        <v>31</v>
      </c>
      <c r="C170" s="616"/>
      <c r="D170" s="616"/>
      <c r="E170" s="616"/>
      <c r="F170" s="616"/>
      <c r="G170" s="616"/>
      <c r="H170" s="569">
        <v>33285</v>
      </c>
      <c r="I170" s="616"/>
      <c r="J170" s="616"/>
      <c r="K170" s="1670">
        <f>SUM(C170:J170)</f>
        <v>33285</v>
      </c>
      <c r="L170" s="569">
        <v>30790</v>
      </c>
    </row>
    <row r="171" spans="1:14" ht="15.75" customHeight="1" x14ac:dyDescent="0.2">
      <c r="A171" s="621" t="s">
        <v>766</v>
      </c>
      <c r="B171" s="672" t="s">
        <v>84</v>
      </c>
      <c r="C171" s="616"/>
      <c r="D171" s="616"/>
      <c r="E171" s="466"/>
      <c r="F171" s="616"/>
      <c r="G171" s="616"/>
      <c r="H171" s="569"/>
      <c r="I171" s="477"/>
      <c r="J171" s="616"/>
      <c r="K171" s="1670">
        <f>SUM(C171:J171)</f>
        <v>0</v>
      </c>
      <c r="L171" s="569"/>
    </row>
    <row r="172" spans="1:14" ht="12.75" customHeight="1" thickBot="1" x14ac:dyDescent="0.25">
      <c r="A172" s="1667" t="s">
        <v>638</v>
      </c>
      <c r="B172" s="1668" t="s">
        <v>492</v>
      </c>
      <c r="C172" s="616"/>
      <c r="D172" s="616"/>
      <c r="E172" s="1676">
        <f>SUM(E168,E169,E170,E171)</f>
        <v>0</v>
      </c>
      <c r="F172" s="616"/>
      <c r="G172" s="616"/>
      <c r="H172" s="1676">
        <f>SUM(H168,H169,H170,H171)</f>
        <v>57250</v>
      </c>
      <c r="I172" s="638"/>
      <c r="J172" s="616"/>
      <c r="K172" s="1676">
        <f>SUM(K168,K169,K170,K171)</f>
        <v>57250</v>
      </c>
      <c r="L172" s="1676">
        <f>SUM(L168,L169,L170,L171)</f>
        <v>52000</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57250</v>
      </c>
      <c r="I174" s="638"/>
      <c r="J174" s="616"/>
      <c r="K174" s="1676">
        <f>SUM(K160,K172,K173)</f>
        <v>57250</v>
      </c>
      <c r="L174" s="1676">
        <f>SUM(L160,L172,L173)</f>
        <v>52000</v>
      </c>
    </row>
    <row r="175" spans="1:14" ht="13.5" thickTop="1" x14ac:dyDescent="0.2">
      <c r="A175" s="2195" t="s">
        <v>996</v>
      </c>
      <c r="B175" s="2196"/>
      <c r="C175" s="616"/>
      <c r="D175" s="616"/>
      <c r="E175" s="616"/>
      <c r="F175" s="616"/>
      <c r="G175" s="616"/>
      <c r="H175" s="618"/>
      <c r="I175" s="616"/>
      <c r="J175" s="616"/>
      <c r="K175" s="1683">
        <f>'Revenues 9-14'!E268-'Expenditures 15-22'!K174</f>
        <v>-8993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14264</v>
      </c>
      <c r="D182" s="466">
        <v>66</v>
      </c>
      <c r="E182" s="466">
        <v>15685</v>
      </c>
      <c r="F182" s="466">
        <v>4056</v>
      </c>
      <c r="G182" s="466"/>
      <c r="H182" s="466"/>
      <c r="I182" s="467"/>
      <c r="J182" s="467"/>
      <c r="K182" s="1670">
        <f>SUM(C182:J182)</f>
        <v>34071</v>
      </c>
      <c r="L182" s="466">
        <v>34500</v>
      </c>
    </row>
    <row r="183" spans="1:14" ht="12.75" customHeight="1" thickBot="1" x14ac:dyDescent="0.25">
      <c r="A183" s="1508"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14264</v>
      </c>
      <c r="D184" s="1676">
        <f t="shared" ref="D184:J184" si="17">SUM(D180,D182,D183)</f>
        <v>66</v>
      </c>
      <c r="E184" s="1676">
        <f t="shared" si="17"/>
        <v>15685</v>
      </c>
      <c r="F184" s="1676">
        <f t="shared" si="17"/>
        <v>4056</v>
      </c>
      <c r="G184" s="1676">
        <f t="shared" si="17"/>
        <v>0</v>
      </c>
      <c r="H184" s="1676">
        <f t="shared" si="17"/>
        <v>0</v>
      </c>
      <c r="I184" s="1676">
        <f t="shared" si="17"/>
        <v>0</v>
      </c>
      <c r="J184" s="1676">
        <f t="shared" si="17"/>
        <v>0</v>
      </c>
      <c r="K184" s="1676">
        <f>SUM(K180,K182,K183)</f>
        <v>34071</v>
      </c>
      <c r="L184" s="1676">
        <f>SUM(L180, L182:L183)</f>
        <v>34500</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v>5871</v>
      </c>
      <c r="I193" s="477"/>
      <c r="J193" s="616"/>
      <c r="K193" s="1670">
        <f t="shared" si="18"/>
        <v>5871</v>
      </c>
      <c r="L193" s="466">
        <v>0</v>
      </c>
    </row>
    <row r="194" spans="1:14" ht="12.75" customHeight="1" thickBot="1" x14ac:dyDescent="0.25">
      <c r="A194" s="1667" t="s">
        <v>1140</v>
      </c>
      <c r="B194" s="1668" t="s">
        <v>559</v>
      </c>
      <c r="C194" s="616"/>
      <c r="D194" s="616"/>
      <c r="E194" s="1669">
        <f>SUM(E188:E193)</f>
        <v>0</v>
      </c>
      <c r="F194" s="616"/>
      <c r="G194" s="616"/>
      <c r="H194" s="1669">
        <f>SUM(H188:H193)</f>
        <v>5871</v>
      </c>
      <c r="I194" s="477"/>
      <c r="J194" s="616"/>
      <c r="K194" s="1669">
        <f>SUM(K188:K193)</f>
        <v>5871</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5871</v>
      </c>
      <c r="I196" s="477"/>
      <c r="J196" s="616"/>
      <c r="K196" s="1676">
        <f>SUM(K194,K195)</f>
        <v>5871</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14264</v>
      </c>
      <c r="D210" s="1669">
        <f>SUM(D184,D185)</f>
        <v>66</v>
      </c>
      <c r="E210" s="1669">
        <f>SUM(E184,E185,E196)</f>
        <v>15685</v>
      </c>
      <c r="F210" s="1669">
        <f>SUM(F184,F185)</f>
        <v>4056</v>
      </c>
      <c r="G210" s="1669">
        <f>SUM(G184,G185)</f>
        <v>0</v>
      </c>
      <c r="H210" s="1669">
        <f>SUM(H184,H185,H196,H208,H209)</f>
        <v>5871</v>
      </c>
      <c r="I210" s="1669">
        <f>SUM(I184,I185)</f>
        <v>0</v>
      </c>
      <c r="J210" s="1669">
        <f>SUM(J184,J185)</f>
        <v>0</v>
      </c>
      <c r="K210" s="1670">
        <f>SUM(K184,K185,K196,K208,K209)</f>
        <v>39942</v>
      </c>
      <c r="L210" s="1669">
        <f>SUM(L184,L185,L196,L208,L209)</f>
        <v>34500</v>
      </c>
    </row>
    <row r="211" spans="1:14" ht="13.5" thickTop="1" x14ac:dyDescent="0.2">
      <c r="A211" s="2195" t="s">
        <v>996</v>
      </c>
      <c r="B211" s="2196"/>
      <c r="C211" s="618"/>
      <c r="D211" s="618"/>
      <c r="E211" s="618"/>
      <c r="F211" s="618"/>
      <c r="G211" s="618"/>
      <c r="H211" s="618"/>
      <c r="I211" s="616"/>
      <c r="J211" s="616"/>
      <c r="K211" s="1683">
        <f>'Revenues 9-14'!F268-'Expenditures 15-22'!K210</f>
        <v>4704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0" t="s">
        <v>965</v>
      </c>
      <c r="B213" s="2191"/>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13586</v>
      </c>
      <c r="E215" s="616"/>
      <c r="F215" s="616"/>
      <c r="G215" s="616"/>
      <c r="H215" s="616"/>
      <c r="I215" s="616"/>
      <c r="J215" s="616"/>
      <c r="K215" s="1670">
        <f>D215</f>
        <v>13586</v>
      </c>
      <c r="L215" s="466">
        <v>32000</v>
      </c>
    </row>
    <row r="216" spans="1:14" x14ac:dyDescent="0.2">
      <c r="A216" s="1503" t="s">
        <v>163</v>
      </c>
      <c r="B216" s="614" t="s">
        <v>967</v>
      </c>
      <c r="C216" s="616"/>
      <c r="D216" s="467"/>
      <c r="E216" s="616"/>
      <c r="F216" s="616"/>
      <c r="G216" s="616"/>
      <c r="H216" s="616"/>
      <c r="I216" s="616"/>
      <c r="J216" s="616"/>
      <c r="K216" s="1670">
        <f t="shared" ref="K216:K228" si="19">D216</f>
        <v>0</v>
      </c>
      <c r="L216" s="466"/>
    </row>
    <row r="217" spans="1:14" x14ac:dyDescent="0.2">
      <c r="A217" s="1503" t="s">
        <v>164</v>
      </c>
      <c r="B217" s="614">
        <v>1200</v>
      </c>
      <c r="C217" s="616"/>
      <c r="D217" s="466">
        <v>557</v>
      </c>
      <c r="E217" s="616"/>
      <c r="F217" s="616"/>
      <c r="G217" s="616"/>
      <c r="H217" s="616"/>
      <c r="I217" s="616"/>
      <c r="J217" s="616"/>
      <c r="K217" s="1670">
        <f t="shared" si="19"/>
        <v>557</v>
      </c>
      <c r="L217" s="466">
        <v>0</v>
      </c>
    </row>
    <row r="218" spans="1:14" x14ac:dyDescent="0.2">
      <c r="A218" s="1503" t="s">
        <v>278</v>
      </c>
      <c r="B218" s="614" t="s">
        <v>968</v>
      </c>
      <c r="C218" s="616"/>
      <c r="D218" s="467"/>
      <c r="E218" s="616"/>
      <c r="F218" s="616"/>
      <c r="G218" s="616"/>
      <c r="H218" s="616"/>
      <c r="I218" s="616"/>
      <c r="J218" s="616"/>
      <c r="K218" s="1670">
        <f t="shared" si="19"/>
        <v>0</v>
      </c>
      <c r="L218" s="466"/>
    </row>
    <row r="219" spans="1:14" x14ac:dyDescent="0.2">
      <c r="A219" s="1503" t="s">
        <v>279</v>
      </c>
      <c r="B219" s="614">
        <v>1250</v>
      </c>
      <c r="C219" s="616"/>
      <c r="D219" s="466"/>
      <c r="E219" s="616"/>
      <c r="F219" s="616"/>
      <c r="G219" s="616"/>
      <c r="H219" s="616"/>
      <c r="I219" s="616"/>
      <c r="J219" s="616"/>
      <c r="K219" s="1670">
        <f t="shared" si="19"/>
        <v>0</v>
      </c>
      <c r="L219" s="466"/>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c r="E222" s="616"/>
      <c r="F222" s="616"/>
      <c r="G222" s="616"/>
      <c r="H222" s="616"/>
      <c r="I222" s="616"/>
      <c r="J222" s="616"/>
      <c r="K222" s="1670">
        <f t="shared" si="19"/>
        <v>0</v>
      </c>
      <c r="L222" s="466"/>
    </row>
    <row r="223" spans="1:14" x14ac:dyDescent="0.2">
      <c r="A223" s="1503" t="s">
        <v>963</v>
      </c>
      <c r="B223" s="614">
        <v>1500</v>
      </c>
      <c r="C223" s="616"/>
      <c r="D223" s="466"/>
      <c r="E223" s="616"/>
      <c r="F223" s="616"/>
      <c r="G223" s="616"/>
      <c r="H223" s="616"/>
      <c r="I223" s="616"/>
      <c r="J223" s="616"/>
      <c r="K223" s="1670">
        <f t="shared" si="19"/>
        <v>0</v>
      </c>
      <c r="L223" s="466"/>
    </row>
    <row r="224" spans="1:14" x14ac:dyDescent="0.2">
      <c r="A224" s="1503" t="s">
        <v>964</v>
      </c>
      <c r="B224" s="614">
        <v>1600</v>
      </c>
      <c r="C224" s="616"/>
      <c r="D224" s="466"/>
      <c r="E224" s="616"/>
      <c r="F224" s="616"/>
      <c r="G224" s="616"/>
      <c r="H224" s="616"/>
      <c r="I224" s="616"/>
      <c r="J224" s="616"/>
      <c r="K224" s="1670">
        <f t="shared" si="19"/>
        <v>0</v>
      </c>
      <c r="L224" s="466"/>
    </row>
    <row r="225" spans="1:12" x14ac:dyDescent="0.2">
      <c r="A225" s="1503" t="s">
        <v>987</v>
      </c>
      <c r="B225" s="614">
        <v>1650</v>
      </c>
      <c r="C225" s="616"/>
      <c r="D225" s="466"/>
      <c r="E225" s="616"/>
      <c r="F225" s="616"/>
      <c r="G225" s="616"/>
      <c r="H225" s="616"/>
      <c r="I225" s="616"/>
      <c r="J225" s="616"/>
      <c r="K225" s="1670">
        <f t="shared" si="19"/>
        <v>0</v>
      </c>
      <c r="L225" s="466"/>
    </row>
    <row r="226" spans="1:12" x14ac:dyDescent="0.2">
      <c r="A226" s="1503" t="s">
        <v>724</v>
      </c>
      <c r="B226" s="614" t="s">
        <v>162</v>
      </c>
      <c r="C226" s="616"/>
      <c r="D226" s="467"/>
      <c r="E226" s="616"/>
      <c r="F226" s="616"/>
      <c r="G226" s="616"/>
      <c r="H226" s="616"/>
      <c r="I226" s="616"/>
      <c r="J226" s="616"/>
      <c r="K226" s="1670">
        <f t="shared" si="19"/>
        <v>0</v>
      </c>
      <c r="L226" s="466"/>
    </row>
    <row r="227" spans="1:12" x14ac:dyDescent="0.2">
      <c r="A227" s="1503" t="s">
        <v>1087</v>
      </c>
      <c r="B227" s="614">
        <v>1800</v>
      </c>
      <c r="C227" s="616"/>
      <c r="D227" s="466"/>
      <c r="E227" s="616"/>
      <c r="F227" s="616"/>
      <c r="G227" s="616"/>
      <c r="H227" s="616"/>
      <c r="I227" s="616"/>
      <c r="J227" s="616"/>
      <c r="K227" s="1670">
        <f t="shared" si="19"/>
        <v>0</v>
      </c>
      <c r="L227" s="466"/>
    </row>
    <row r="228" spans="1:12" x14ac:dyDescent="0.2">
      <c r="A228" s="1503"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14143</v>
      </c>
      <c r="E229" s="616"/>
      <c r="F229" s="616"/>
      <c r="G229" s="616"/>
      <c r="H229" s="616"/>
      <c r="I229" s="616"/>
      <c r="J229" s="616"/>
      <c r="K229" s="1669">
        <f>SUM(K215:K228)</f>
        <v>14143</v>
      </c>
      <c r="L229" s="1669">
        <f>SUM(L215:L228)</f>
        <v>32000</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c r="E232" s="616"/>
      <c r="F232" s="616"/>
      <c r="G232" s="616"/>
      <c r="H232" s="616"/>
      <c r="I232" s="616"/>
      <c r="J232" s="616"/>
      <c r="K232" s="1670">
        <f t="shared" ref="K232:K237" si="20">D232</f>
        <v>0</v>
      </c>
      <c r="L232" s="466"/>
    </row>
    <row r="233" spans="1:12" x14ac:dyDescent="0.2">
      <c r="A233" s="1503" t="s">
        <v>1090</v>
      </c>
      <c r="B233" s="614">
        <v>2120</v>
      </c>
      <c r="C233" s="616"/>
      <c r="D233" s="466"/>
      <c r="E233" s="616"/>
      <c r="F233" s="616"/>
      <c r="G233" s="616"/>
      <c r="H233" s="616"/>
      <c r="I233" s="616"/>
      <c r="J233" s="616"/>
      <c r="K233" s="1670">
        <f t="shared" si="20"/>
        <v>0</v>
      </c>
      <c r="L233" s="466"/>
    </row>
    <row r="234" spans="1:12" x14ac:dyDescent="0.2">
      <c r="A234" s="1503" t="s">
        <v>198</v>
      </c>
      <c r="B234" s="614">
        <v>2130</v>
      </c>
      <c r="C234" s="616"/>
      <c r="D234" s="466"/>
      <c r="E234" s="616"/>
      <c r="F234" s="616"/>
      <c r="G234" s="616"/>
      <c r="H234" s="616"/>
      <c r="I234" s="616"/>
      <c r="J234" s="616"/>
      <c r="K234" s="1670">
        <f t="shared" si="20"/>
        <v>0</v>
      </c>
      <c r="L234" s="466"/>
    </row>
    <row r="235" spans="1:12" x14ac:dyDescent="0.2">
      <c r="A235" s="1503" t="s">
        <v>199</v>
      </c>
      <c r="B235" s="614">
        <v>2140</v>
      </c>
      <c r="C235" s="616"/>
      <c r="D235" s="466"/>
      <c r="E235" s="616"/>
      <c r="F235" s="616"/>
      <c r="G235" s="616"/>
      <c r="H235" s="616"/>
      <c r="I235" s="616"/>
      <c r="J235" s="616"/>
      <c r="K235" s="1670">
        <f t="shared" si="20"/>
        <v>0</v>
      </c>
      <c r="L235" s="466"/>
    </row>
    <row r="236" spans="1:12" x14ac:dyDescent="0.2">
      <c r="A236" s="1503" t="s">
        <v>200</v>
      </c>
      <c r="B236" s="614">
        <v>2150</v>
      </c>
      <c r="C236" s="616"/>
      <c r="D236" s="466"/>
      <c r="E236" s="616"/>
      <c r="F236" s="616"/>
      <c r="G236" s="616"/>
      <c r="H236" s="616"/>
      <c r="I236" s="616"/>
      <c r="J236" s="616"/>
      <c r="K236" s="1670">
        <f t="shared" si="20"/>
        <v>0</v>
      </c>
      <c r="L236" s="466"/>
    </row>
    <row r="237" spans="1:12" x14ac:dyDescent="0.2">
      <c r="A237" s="1503"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0</v>
      </c>
      <c r="E238" s="616"/>
      <c r="F238" s="616"/>
      <c r="G238" s="616"/>
      <c r="H238" s="616"/>
      <c r="I238" s="616"/>
      <c r="J238" s="616"/>
      <c r="K238" s="1669">
        <f>SUM(K232:K237)</f>
        <v>0</v>
      </c>
      <c r="L238" s="1669">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c r="E240" s="616"/>
      <c r="F240" s="616"/>
      <c r="G240" s="616"/>
      <c r="H240" s="616"/>
      <c r="I240" s="616"/>
      <c r="J240" s="616"/>
      <c r="K240" s="1671">
        <f>D240</f>
        <v>0</v>
      </c>
      <c r="L240" s="481"/>
    </row>
    <row r="241" spans="1:12" x14ac:dyDescent="0.2">
      <c r="A241" s="1503" t="s">
        <v>815</v>
      </c>
      <c r="B241" s="614">
        <v>2220</v>
      </c>
      <c r="C241" s="616"/>
      <c r="D241" s="466"/>
      <c r="E241" s="616"/>
      <c r="F241" s="616"/>
      <c r="G241" s="616"/>
      <c r="H241" s="616"/>
      <c r="I241" s="616"/>
      <c r="J241" s="616"/>
      <c r="K241" s="1671">
        <f>D241</f>
        <v>0</v>
      </c>
      <c r="L241" s="466"/>
    </row>
    <row r="242" spans="1:12" x14ac:dyDescent="0.2">
      <c r="A242" s="1503"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0</v>
      </c>
      <c r="E243" s="616"/>
      <c r="F243" s="616"/>
      <c r="G243" s="616"/>
      <c r="H243" s="616"/>
      <c r="I243" s="616"/>
      <c r="J243" s="616"/>
      <c r="K243" s="1669">
        <f>SUM(K240:K242)</f>
        <v>0</v>
      </c>
      <c r="L243" s="1669">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c r="E245" s="616"/>
      <c r="F245" s="616"/>
      <c r="G245" s="616"/>
      <c r="H245" s="616"/>
      <c r="I245" s="616"/>
      <c r="J245" s="616"/>
      <c r="K245" s="1671">
        <f>D245</f>
        <v>0</v>
      </c>
      <c r="L245" s="481"/>
    </row>
    <row r="246" spans="1:12" x14ac:dyDescent="0.2">
      <c r="A246" s="1503" t="s">
        <v>818</v>
      </c>
      <c r="B246" s="614">
        <v>2320</v>
      </c>
      <c r="C246" s="616"/>
      <c r="D246" s="466">
        <v>12085</v>
      </c>
      <c r="E246" s="616"/>
      <c r="F246" s="616"/>
      <c r="G246" s="616"/>
      <c r="H246" s="616"/>
      <c r="I246" s="616"/>
      <c r="J246" s="616"/>
      <c r="K246" s="1671">
        <f t="shared" ref="K246:K256" si="21">D246</f>
        <v>12085</v>
      </c>
      <c r="L246" s="466">
        <v>0</v>
      </c>
    </row>
    <row r="247" spans="1:12" x14ac:dyDescent="0.2">
      <c r="A247" s="1503" t="s">
        <v>819</v>
      </c>
      <c r="B247" s="614">
        <v>2330</v>
      </c>
      <c r="C247" s="616"/>
      <c r="D247" s="466"/>
      <c r="E247" s="616"/>
      <c r="F247" s="616"/>
      <c r="G247" s="616"/>
      <c r="H247" s="616"/>
      <c r="I247" s="616"/>
      <c r="J247" s="616"/>
      <c r="K247" s="1671">
        <f t="shared" si="21"/>
        <v>0</v>
      </c>
      <c r="L247" s="466"/>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1805</v>
      </c>
      <c r="B249" s="683" t="s">
        <v>282</v>
      </c>
      <c r="C249" s="616"/>
      <c r="D249" s="474"/>
      <c r="E249" s="616"/>
      <c r="F249" s="616"/>
      <c r="G249" s="616"/>
      <c r="H249" s="616"/>
      <c r="I249" s="616"/>
      <c r="J249" s="616"/>
      <c r="K249" s="1671">
        <f t="shared" si="21"/>
        <v>0</v>
      </c>
      <c r="L249" s="466"/>
    </row>
    <row r="250" spans="1:12" x14ac:dyDescent="0.2">
      <c r="A250" s="1504" t="s">
        <v>1806</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c r="E254" s="616"/>
      <c r="F254" s="616"/>
      <c r="G254" s="616"/>
      <c r="H254" s="616"/>
      <c r="I254" s="616"/>
      <c r="J254" s="616"/>
      <c r="K254" s="1671">
        <f t="shared" si="21"/>
        <v>0</v>
      </c>
      <c r="L254" s="466"/>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12085</v>
      </c>
      <c r="E257" s="616"/>
      <c r="F257" s="616"/>
      <c r="G257" s="616"/>
      <c r="H257" s="616"/>
      <c r="I257" s="616"/>
      <c r="J257" s="616"/>
      <c r="K257" s="1669">
        <f>SUM(K245:K256)</f>
        <v>12085</v>
      </c>
      <c r="L257" s="1669">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c r="E259" s="616"/>
      <c r="F259" s="616"/>
      <c r="G259" s="616"/>
      <c r="H259" s="616"/>
      <c r="I259" s="616"/>
      <c r="J259" s="616"/>
      <c r="K259" s="1671">
        <f>D259</f>
        <v>0</v>
      </c>
      <c r="L259" s="481"/>
    </row>
    <row r="260" spans="1:14" s="597" customFormat="1" x14ac:dyDescent="0.2">
      <c r="A260" s="1521"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0</v>
      </c>
      <c r="E261" s="616"/>
      <c r="F261" s="616"/>
      <c r="G261" s="616"/>
      <c r="H261" s="616"/>
      <c r="I261" s="616"/>
      <c r="J261" s="616"/>
      <c r="K261" s="1669">
        <f>SUM(K259:K260)</f>
        <v>0</v>
      </c>
      <c r="L261" s="1669">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row>
    <row r="264" spans="1:14" x14ac:dyDescent="0.2">
      <c r="A264" s="1503" t="s">
        <v>463</v>
      </c>
      <c r="B264" s="685">
        <v>2520</v>
      </c>
      <c r="C264" s="616"/>
      <c r="D264" s="466"/>
      <c r="E264" s="616"/>
      <c r="F264" s="616"/>
      <c r="G264" s="616"/>
      <c r="H264" s="616"/>
      <c r="I264" s="616"/>
      <c r="J264" s="616"/>
      <c r="K264" s="1671">
        <f t="shared" ref="K264:K269" si="22">D264</f>
        <v>0</v>
      </c>
      <c r="L264" s="466"/>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5364</v>
      </c>
      <c r="E266" s="616"/>
      <c r="F266" s="616"/>
      <c r="G266" s="616"/>
      <c r="H266" s="616"/>
      <c r="I266" s="616"/>
      <c r="J266" s="616"/>
      <c r="K266" s="1671">
        <f t="shared" si="22"/>
        <v>5364</v>
      </c>
      <c r="L266" s="466">
        <v>0</v>
      </c>
    </row>
    <row r="267" spans="1:14" x14ac:dyDescent="0.2">
      <c r="A267" s="1503" t="s">
        <v>953</v>
      </c>
      <c r="B267" s="614">
        <v>2550</v>
      </c>
      <c r="C267" s="616"/>
      <c r="D267" s="466">
        <v>3097</v>
      </c>
      <c r="E267" s="616"/>
      <c r="F267" s="616"/>
      <c r="G267" s="616"/>
      <c r="H267" s="616"/>
      <c r="I267" s="616"/>
      <c r="J267" s="616"/>
      <c r="K267" s="1671">
        <f t="shared" si="22"/>
        <v>3097</v>
      </c>
      <c r="L267" s="466">
        <v>0</v>
      </c>
    </row>
    <row r="268" spans="1:14" x14ac:dyDescent="0.2">
      <c r="A268" s="1503" t="s">
        <v>100</v>
      </c>
      <c r="B268" s="614">
        <v>2560</v>
      </c>
      <c r="C268" s="616"/>
      <c r="D268" s="466">
        <v>342</v>
      </c>
      <c r="E268" s="616"/>
      <c r="F268" s="616"/>
      <c r="G268" s="616"/>
      <c r="H268" s="616"/>
      <c r="I268" s="616"/>
      <c r="J268" s="616"/>
      <c r="K268" s="1671">
        <f t="shared" si="22"/>
        <v>342</v>
      </c>
      <c r="L268" s="466">
        <v>0</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8803</v>
      </c>
      <c r="E270" s="616"/>
      <c r="F270" s="616"/>
      <c r="G270" s="616"/>
      <c r="H270" s="616"/>
      <c r="I270" s="616"/>
      <c r="J270" s="616"/>
      <c r="K270" s="1669">
        <f>SUM(K263:K269)</f>
        <v>8803</v>
      </c>
      <c r="L270" s="1669">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c r="E274" s="616"/>
      <c r="F274" s="616"/>
      <c r="G274" s="616"/>
      <c r="H274" s="616"/>
      <c r="I274" s="616"/>
      <c r="J274" s="616"/>
      <c r="K274" s="1671">
        <f>D274</f>
        <v>0</v>
      </c>
      <c r="L274" s="466"/>
    </row>
    <row r="275" spans="1:12" x14ac:dyDescent="0.2">
      <c r="A275" s="1503" t="s">
        <v>403</v>
      </c>
      <c r="B275" s="614">
        <v>2640</v>
      </c>
      <c r="C275" s="616"/>
      <c r="D275" s="466"/>
      <c r="E275" s="616"/>
      <c r="F275" s="616"/>
      <c r="G275" s="616"/>
      <c r="H275" s="616"/>
      <c r="I275" s="616"/>
      <c r="J275" s="616"/>
      <c r="K275" s="1671">
        <f>D275</f>
        <v>0</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20888</v>
      </c>
      <c r="E279" s="616"/>
      <c r="F279" s="616"/>
      <c r="G279" s="616"/>
      <c r="H279" s="616"/>
      <c r="I279" s="616"/>
      <c r="J279" s="616"/>
      <c r="K279" s="1676">
        <f>SUM(K238,K243,K257,K261,K270,K277,K278)</f>
        <v>20888</v>
      </c>
      <c r="L279" s="1676">
        <f>SUM(L238,L243,L257,L261,L270,L277,L278)</f>
        <v>0</v>
      </c>
    </row>
    <row r="280" spans="1:12" ht="15.75" customHeight="1" thickTop="1" thickBot="1" x14ac:dyDescent="0.25">
      <c r="A280" s="1623" t="s">
        <v>875</v>
      </c>
      <c r="B280" s="1612">
        <v>3000</v>
      </c>
      <c r="C280" s="616"/>
      <c r="D280" s="576"/>
      <c r="E280" s="616"/>
      <c r="F280" s="616"/>
      <c r="G280" s="616"/>
      <c r="H280" s="616"/>
      <c r="I280" s="616"/>
      <c r="J280" s="616"/>
      <c r="K280" s="1678">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86" t="s">
        <v>505</v>
      </c>
      <c r="B295" s="2187"/>
      <c r="C295" s="616"/>
      <c r="D295" s="1669">
        <f>SUM(D229,D279,D280,D285)</f>
        <v>35031</v>
      </c>
      <c r="E295" s="616"/>
      <c r="F295" s="616"/>
      <c r="G295" s="616"/>
      <c r="H295" s="1669">
        <f>H293</f>
        <v>0</v>
      </c>
      <c r="I295" s="616"/>
      <c r="J295" s="616"/>
      <c r="K295" s="1669">
        <f>SUM(K229,K279,K280,K285,K293,K294)</f>
        <v>35031</v>
      </c>
      <c r="L295" s="1669">
        <f>SUM(L229,L279,L280,L285,L293,L294)</f>
        <v>32000</v>
      </c>
    </row>
    <row r="296" spans="1:14" ht="13.5" thickTop="1" x14ac:dyDescent="0.2">
      <c r="A296" s="2195" t="s">
        <v>996</v>
      </c>
      <c r="B296" s="2196"/>
      <c r="C296" s="616"/>
      <c r="D296" s="618"/>
      <c r="E296" s="616"/>
      <c r="F296" s="616"/>
      <c r="G296" s="616"/>
      <c r="H296" s="687"/>
      <c r="I296" s="616"/>
      <c r="J296" s="616"/>
      <c r="K296" s="1683">
        <f>'Revenues 9-14'!G268-'Expenditures 15-22'!K295</f>
        <v>20543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8" t="s">
        <v>143</v>
      </c>
      <c r="B298" s="2172"/>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c r="H301" s="466"/>
      <c r="I301" s="467"/>
      <c r="J301" s="467"/>
      <c r="K301" s="1670">
        <f>SUM(C301:J301)</f>
        <v>0</v>
      </c>
      <c r="L301" s="467"/>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83" t="s">
        <v>277</v>
      </c>
      <c r="B312" s="2184"/>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79" t="s">
        <v>996</v>
      </c>
      <c r="B313" s="2180"/>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2" t="s">
        <v>149</v>
      </c>
      <c r="B315" s="2193"/>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4" t="s">
        <v>898</v>
      </c>
      <c r="B317" s="2193"/>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1805</v>
      </c>
      <c r="B320" s="698" t="s">
        <v>282</v>
      </c>
      <c r="C320" s="467"/>
      <c r="D320" s="467"/>
      <c r="E320" s="467"/>
      <c r="F320" s="467"/>
      <c r="G320" s="467"/>
      <c r="H320" s="467"/>
      <c r="I320" s="467"/>
      <c r="J320" s="467"/>
      <c r="K320" s="1670">
        <f t="shared" ref="K320:K327" si="24">SUM(C320:J320)</f>
        <v>0</v>
      </c>
      <c r="L320" s="467"/>
      <c r="M320" s="665"/>
      <c r="N320" s="665"/>
    </row>
    <row r="321" spans="1:14" s="674" customFormat="1" x14ac:dyDescent="0.2">
      <c r="A321" s="1518" t="s">
        <v>300</v>
      </c>
      <c r="B321" s="697" t="s">
        <v>283</v>
      </c>
      <c r="C321" s="467"/>
      <c r="D321" s="467"/>
      <c r="E321" s="467">
        <v>1368</v>
      </c>
      <c r="F321" s="467"/>
      <c r="G321" s="467"/>
      <c r="H321" s="467"/>
      <c r="I321" s="467"/>
      <c r="J321" s="467"/>
      <c r="K321" s="1670">
        <f t="shared" si="24"/>
        <v>1368</v>
      </c>
      <c r="L321" s="467">
        <v>7400</v>
      </c>
      <c r="M321" s="665"/>
      <c r="N321" s="665"/>
    </row>
    <row r="322" spans="1:14" s="674" customFormat="1" x14ac:dyDescent="0.2">
      <c r="A322" s="1518" t="s">
        <v>238</v>
      </c>
      <c r="B322" s="697" t="s">
        <v>284</v>
      </c>
      <c r="C322" s="467"/>
      <c r="D322" s="467"/>
      <c r="E322" s="467">
        <v>3741</v>
      </c>
      <c r="F322" s="467"/>
      <c r="G322" s="467"/>
      <c r="H322" s="467"/>
      <c r="I322" s="467"/>
      <c r="J322" s="467"/>
      <c r="K322" s="1670">
        <f t="shared" si="24"/>
        <v>3741</v>
      </c>
      <c r="L322" s="467">
        <v>0</v>
      </c>
      <c r="M322" s="665"/>
      <c r="N322" s="665"/>
    </row>
    <row r="323" spans="1:14" s="674" customFormat="1" x14ac:dyDescent="0.2">
      <c r="A323" s="1518" t="s">
        <v>702</v>
      </c>
      <c r="B323" s="697" t="s">
        <v>285</v>
      </c>
      <c r="C323" s="467"/>
      <c r="D323" s="467"/>
      <c r="E323" s="467"/>
      <c r="F323" s="467"/>
      <c r="G323" s="467"/>
      <c r="H323" s="467"/>
      <c r="I323" s="467"/>
      <c r="J323" s="467"/>
      <c r="K323" s="1670">
        <f t="shared" si="24"/>
        <v>0</v>
      </c>
      <c r="L323" s="467"/>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v>123537</v>
      </c>
      <c r="D325" s="467">
        <v>1250</v>
      </c>
      <c r="E325" s="467"/>
      <c r="F325" s="467"/>
      <c r="G325" s="467"/>
      <c r="H325" s="467"/>
      <c r="I325" s="467"/>
      <c r="J325" s="467"/>
      <c r="K325" s="1670">
        <f t="shared" si="24"/>
        <v>124787</v>
      </c>
      <c r="L325" s="467">
        <v>132600</v>
      </c>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c r="F327" s="467"/>
      <c r="G327" s="467"/>
      <c r="H327" s="467"/>
      <c r="I327" s="467"/>
      <c r="J327" s="467"/>
      <c r="K327" s="1670">
        <f t="shared" si="24"/>
        <v>0</v>
      </c>
      <c r="L327" s="467">
        <v>10000</v>
      </c>
      <c r="M327" s="665"/>
      <c r="N327" s="665"/>
    </row>
    <row r="328" spans="1:14" s="674" customFormat="1" x14ac:dyDescent="0.2">
      <c r="A328" s="1519" t="s">
        <v>472</v>
      </c>
      <c r="B328" s="690" t="s">
        <v>1132</v>
      </c>
      <c r="C328" s="474"/>
      <c r="D328" s="474"/>
      <c r="E328" s="474">
        <v>15878</v>
      </c>
      <c r="F328" s="474"/>
      <c r="G328" s="474"/>
      <c r="H328" s="474"/>
      <c r="I328" s="474"/>
      <c r="J328" s="474"/>
      <c r="K328" s="1698">
        <f>SUM(C328:J328)</f>
        <v>15878</v>
      </c>
      <c r="L328" s="474">
        <v>20000</v>
      </c>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123537</v>
      </c>
      <c r="D330" s="1669">
        <f t="shared" ref="D330:J330" si="25">SUM(D319:D329)</f>
        <v>1250</v>
      </c>
      <c r="E330" s="1669">
        <f t="shared" si="25"/>
        <v>20987</v>
      </c>
      <c r="F330" s="1669">
        <f t="shared" si="25"/>
        <v>0</v>
      </c>
      <c r="G330" s="1669">
        <f t="shared" si="25"/>
        <v>0</v>
      </c>
      <c r="H330" s="1669">
        <f t="shared" si="25"/>
        <v>0</v>
      </c>
      <c r="I330" s="1669">
        <f t="shared" si="25"/>
        <v>0</v>
      </c>
      <c r="J330" s="1669">
        <f t="shared" si="25"/>
        <v>0</v>
      </c>
      <c r="K330" s="1669">
        <f>SUM(K319:K329)</f>
        <v>145774</v>
      </c>
      <c r="L330" s="1669">
        <f>SUM(L319:L329)</f>
        <v>170000</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123537</v>
      </c>
      <c r="D342" s="1669">
        <f>SUM(D330)</f>
        <v>1250</v>
      </c>
      <c r="E342" s="1669">
        <f>SUM(E330)</f>
        <v>20987</v>
      </c>
      <c r="F342" s="1669">
        <f>SUM(F330)</f>
        <v>0</v>
      </c>
      <c r="G342" s="1669">
        <f>SUM(G330)</f>
        <v>0</v>
      </c>
      <c r="H342" s="1669">
        <f>SUM(H330,H334,H340)</f>
        <v>0</v>
      </c>
      <c r="I342" s="1669">
        <f>SUM(I330)</f>
        <v>0</v>
      </c>
      <c r="J342" s="1669">
        <f>SUM(J330)</f>
        <v>0</v>
      </c>
      <c r="K342" s="1669">
        <f>SUM(K330,K334,K340)</f>
        <v>145774</v>
      </c>
      <c r="L342" s="1676">
        <f>SUM(L330,L340,L341)</f>
        <v>170000</v>
      </c>
    </row>
    <row r="343" spans="1:14" ht="12.75" customHeight="1" thickTop="1" x14ac:dyDescent="0.2">
      <c r="A343" s="2181" t="s">
        <v>996</v>
      </c>
      <c r="B343" s="2182"/>
      <c r="C343" s="616"/>
      <c r="D343" s="616"/>
      <c r="E343" s="616"/>
      <c r="F343" s="616"/>
      <c r="G343" s="616"/>
      <c r="H343" s="616"/>
      <c r="I343" s="616"/>
      <c r="J343" s="616"/>
      <c r="K343" s="1683">
        <f>'Revenues 9-14'!J268-'Expenditures 15-22'!K342</f>
        <v>22852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1" t="s">
        <v>966</v>
      </c>
      <c r="B345" s="2172"/>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row>
    <row r="349" spans="1:14" x14ac:dyDescent="0.2">
      <c r="A349" s="1503"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c r="I354" s="701"/>
      <c r="J354" s="616"/>
      <c r="K354" s="1698">
        <f>H354</f>
        <v>0</v>
      </c>
      <c r="L354" s="471"/>
    </row>
    <row r="355" spans="1:14" ht="12.75" customHeight="1" x14ac:dyDescent="0.2">
      <c r="A355" s="1512" t="s">
        <v>1854</v>
      </c>
      <c r="B355" s="690" t="s">
        <v>1847</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95" t="s">
        <v>996</v>
      </c>
      <c r="B368" s="2196"/>
      <c r="C368" s="654"/>
      <c r="D368" s="654"/>
      <c r="E368" s="626"/>
      <c r="F368" s="626"/>
      <c r="G368" s="626"/>
      <c r="H368" s="626"/>
      <c r="I368" s="626"/>
      <c r="J368" s="623"/>
      <c r="K368" s="1670">
        <f>'Revenues 9-14'!K268-'Expenditures 15-22'!K367</f>
        <v>16896</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6ce3111e-7420-4802-b50a-75d4e9a0b980"/>
    <ds:schemaRef ds:uri="http://schemas.microsoft.com/sharepoint/v3"/>
    <ds:schemaRef ds:uri="http://schemas.microsoft.com/office/infopath/2007/PartnerControls"/>
    <ds:schemaRef ds:uri="http://schemas.openxmlformats.org/package/2006/metadata/core-properties"/>
    <ds:schemaRef ds:uri="http://purl.org/dc/elements/1.1/"/>
    <ds:schemaRef ds:uri="http://purl.org/dc/dcmitype/"/>
    <ds:schemaRef ds:uri="http://purl.org/dc/terms/"/>
    <ds:schemaRef ds:uri="http://schemas.microsoft.com/office/2006/documentManagement/types"/>
    <ds:schemaRef ds:uri="d21dc803-237d-4c68-8692-8d731fd29118"/>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2019-09-24T18:54:38Z</cp:lastPrinted>
  <dcterms:created xsi:type="dcterms:W3CDTF">2003-10-29T19:06:34Z</dcterms:created>
  <dcterms:modified xsi:type="dcterms:W3CDTF">2019-12-02T18:53:19Z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