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0" windowWidth="1921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39" i="3" l="1"/>
  <c r="C9" i="4" l="1"/>
  <c r="I13" i="11" l="1"/>
  <c r="I12" i="11"/>
  <c r="G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71" i="36"/>
  <c r="D72" i="36"/>
  <c r="D79" i="36"/>
  <c r="B64" i="127"/>
  <c r="B65" i="127"/>
  <c r="D26" i="108"/>
  <c r="E26" i="108"/>
  <c r="F26" i="108"/>
  <c r="G26" i="108"/>
  <c r="D27" i="108"/>
  <c r="E27" i="108"/>
  <c r="F27" i="108"/>
  <c r="G27" i="108"/>
  <c r="F31" i="108"/>
  <c r="F36" i="108"/>
  <c r="F37" i="108"/>
  <c r="G28"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H28" i="118"/>
  <c r="H33" i="118"/>
  <c r="D22" i="37"/>
  <c r="J22" i="37"/>
  <c r="L22" i="37"/>
  <c r="B5752" i="106"/>
  <c r="D5752" i="106" s="1"/>
  <c r="D17" i="7"/>
  <c r="B4104" i="106" s="1"/>
  <c r="D4104" i="106" s="1"/>
  <c r="J367" i="29" l="1"/>
  <c r="B7245" i="106" s="1"/>
  <c r="D7245" i="106" s="1"/>
  <c r="B7235" i="106"/>
  <c r="D7235" i="106" s="1"/>
  <c r="D6103" i="106"/>
  <c r="B1308" i="106"/>
  <c r="D1308" i="106" s="1"/>
  <c r="E174" i="29"/>
  <c r="B1309" i="106" s="1"/>
  <c r="D1309" i="106" s="1"/>
  <c r="L5" i="11"/>
  <c r="B2056" i="106" s="1"/>
  <c r="D2056" i="106" s="1"/>
  <c r="F71" i="34"/>
  <c r="F34" i="34"/>
  <c r="H365" i="29"/>
  <c r="B7242" i="106" s="1"/>
  <c r="D7242" i="106" s="1"/>
  <c r="I24" i="12"/>
  <c r="F44" i="34"/>
  <c r="G14" i="4"/>
  <c r="B2609" i="106" s="1"/>
  <c r="D2609" i="106" s="1"/>
  <c r="G39" i="108"/>
  <c r="D31" i="36"/>
  <c r="B2836" i="106"/>
  <c r="D2836" i="106" s="1"/>
  <c r="B131" i="106"/>
  <c r="D131" i="106" s="1"/>
  <c r="N21" i="3"/>
  <c r="B282" i="106" s="1"/>
  <c r="D282" i="106" s="1"/>
  <c r="G15" i="145"/>
  <c r="D9" i="7"/>
  <c r="B1767" i="106" s="1"/>
  <c r="D1767" i="106" s="1"/>
  <c r="F14" i="4"/>
  <c r="B2597" i="106" s="1"/>
  <c r="D2597" i="106" s="1"/>
  <c r="D24" i="37"/>
  <c r="B4270" i="106" s="1"/>
  <c r="D4270" i="106" s="1"/>
  <c r="G38" i="108"/>
  <c r="F77" i="4"/>
  <c r="B3255" i="106" s="1"/>
  <c r="D3255" i="106" s="1"/>
  <c r="E38" i="108"/>
  <c r="B6995" i="106"/>
  <c r="D6995" i="106" s="1"/>
  <c r="J41" i="3"/>
  <c r="B1274" i="106"/>
  <c r="D1274" i="106" s="1"/>
  <c r="D11" i="37"/>
  <c r="H29" i="118"/>
  <c r="K28" i="118" s="1"/>
  <c r="O27" i="118" s="1"/>
  <c r="O29" i="118" s="1"/>
  <c r="G210" i="29"/>
  <c r="K184" i="29"/>
  <c r="F13" i="4" s="1"/>
  <c r="B2596" i="106" s="1"/>
  <c r="D2596" i="106" s="1"/>
  <c r="G29" i="108"/>
  <c r="E29" i="108"/>
  <c r="F28" i="108"/>
  <c r="E28" i="108"/>
  <c r="G30" i="108"/>
  <c r="E30" i="108"/>
  <c r="L15" i="11"/>
  <c r="B3459" i="106" s="1"/>
  <c r="D3459" i="106" s="1"/>
  <c r="L342" i="29"/>
  <c r="L13" i="11"/>
  <c r="B2060" i="106" s="1"/>
  <c r="D2060" i="106" s="1"/>
  <c r="D69" i="36"/>
  <c r="F19" i="7"/>
  <c r="B1807" i="106" s="1"/>
  <c r="D1807" i="106" s="1"/>
  <c r="C342" i="29"/>
  <c r="B7216" i="106" s="1"/>
  <c r="D7216" i="106" s="1"/>
  <c r="C129"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B1317" i="106"/>
  <c r="D1317" i="106" s="1"/>
  <c r="D7255" i="106"/>
  <c r="I7" i="4"/>
  <c r="B4444" i="106" s="1"/>
  <c r="D4444" i="106" s="1"/>
  <c r="D7253" i="106"/>
  <c r="I26" i="12"/>
  <c r="B7741" i="106" s="1"/>
  <c r="D7741" i="106" s="1"/>
  <c r="B1996" i="106"/>
  <c r="D1996" i="106" s="1"/>
  <c r="D7250" i="106"/>
  <c r="B1365" i="106"/>
  <c r="D1365" i="106" s="1"/>
  <c r="F65" i="34"/>
  <c r="B5527" i="106"/>
  <c r="D5527" i="106" s="1"/>
  <c r="L114" i="29"/>
  <c r="L16" i="11"/>
  <c r="B2061" i="106" s="1"/>
  <c r="D2061" i="106" s="1"/>
  <c r="K342" i="29"/>
  <c r="F13" i="34" s="1"/>
  <c r="C114" i="29"/>
  <c r="B757" i="106" s="1"/>
  <c r="D757" i="106" s="1"/>
  <c r="F174"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<sst xmlns="http://schemas.openxmlformats.org/spreadsheetml/2006/main" count="5072" uniqueCount="2097">
  <si>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</si>
  <si>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</si>
  <si>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</si>
  <si>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</si>
  <si>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</si>
  <si>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</si>
  <si>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</si>
  <si>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</si>
  <si>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</si>
  <si>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</si>
  <si>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</si>
  <si>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</si>
  <si>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</si>
  <si>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</si>
  <si>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</si>
  <si>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</si>
  <si>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</si>
  <si>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</si>
  <si>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</si>
  <si>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</si>
  <si>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</si>
  <si>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</si>
  <si>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</si>
  <si>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</si>
  <si>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</si>
  <si>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</si>
  <si>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</si>
  <si>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</si>
  <si>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</si>
  <si>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</si>
  <si>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</si>
  <si>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</si>
  <si>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</si>
  <si>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</si>
  <si>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</si>
  <si>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</si>
  <si>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</si>
  <si>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</si>
  <si>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</si>
  <si>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</si>
  <si>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</si>
  <si>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</si>
  <si>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</si>
  <si>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</si>
  <si>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</si>
  <si>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</si>
  <si>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</si>
  <si>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</si>
  <si>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</si>
  <si>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</si>
  <si>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</si>
  <si>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</si>
  <si>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</si>
  <si>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</si>
  <si>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</si>
  <si>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</si>
  <si>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</si>
  <si>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</si>
  <si>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</si>
  <si>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</si>
  <si>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</si>
  <si>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</si>
  <si>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</si>
  <si>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</si>
  <si>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</si>
  <si>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</si>
  <si>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</si>
  <si>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</si>
  <si>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</si>
  <si>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</si>
  <si>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</si>
  <si>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</si>
  <si>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</si>
  <si>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</si>
  <si>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</si>
  <si>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</si>
  <si>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</si>
  <si>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</si>
  <si>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</si>
  <si>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</si>
  <si>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</si>
  <si>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</si>
  <si>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</si>
  <si>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</si>
  <si>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</si>
  <si>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</si>
  <si>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</si>
  <si>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</si>
  <si>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</si>
  <si>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</si>
  <si>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</si>
  <si>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</si>
  <si>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</si>
  <si>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</si>
  <si>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</si>
  <si>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</si>
  <si>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</si>
  <si>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</si>
  <si>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</si>
  <si>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</si>
  <si>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</si>
  <si>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</si>
  <si>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</si>
  <si>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</si>
  <si>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</si>
  <si>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</si>
  <si>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</si>
  <si>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</si>
  <si>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</si>
  <si>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</si>
  <si>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</si>
  <si>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</si>
  <si>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</si>
  <si>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</si>
  <si>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</si>
  <si>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</si>
  <si>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</si>
  <si>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</si>
  <si>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</si>
  <si>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</si>
  <si>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</si>
  <si>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</si>
  <si>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</si>
  <si>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</si>
  <si>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</si>
  <si>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</si>
  <si>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</si>
  <si>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</si>
  <si>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</si>
  <si>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</si>
  <si>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</si>
  <si>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</si>
  <si>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</si>
  <si>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</si>
  <si>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</si>
  <si>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</si>
  <si>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</si>
  <si>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</si>
  <si>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</si>
  <si>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</si>
  <si>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</si>
  <si>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</si>
  <si>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</si>
  <si>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</si>
  <si>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</si>
  <si>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</si>
  <si>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</si>
  <si>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</si>
  <si>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</si>
  <si>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</si>
  <si>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</si>
  <si>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</si>
  <si>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</si>
  <si>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</si>
  <si>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</si>
  <si>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</si>
  <si>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</si>
  <si>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</si>
  <si>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</si>
  <si>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</si>
  <si>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</si>
  <si>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</si>
  <si>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</si>
  <si>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</si>
  <si>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</si>
  <si>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</si>
  <si>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</si>
  <si>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</si>
  <si>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</si>
  <si>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</si>
  <si>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</si>
  <si>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</si>
  <si>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</si>
  <si>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</si>
  <si>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</si>
  <si>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</si>
  <si>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</si>
  <si>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</si>
  <si>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</si>
  <si>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</si>
  <si>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</si>
  <si>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</si>
  <si>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</si>
  <si>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</si>
  <si>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</si>
  <si>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</si>
  <si>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</si>
  <si>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</si>
  <si>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</si>
  <si>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</si>
  <si>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</si>
  <si>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</si>
  <si>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</si>
  <si>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</si>
  <si>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</si>
  <si>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</si>
  <si>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</si>
  <si>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</si>
  <si>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</si>
  <si>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</si>
  <si>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</si>
  <si>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</si>
  <si>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</si>
  <si>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</si>
  <si>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</si>
  <si>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</si>
  <si>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</si>
  <si>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</si>
  <si>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</si>
  <si>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</si>
  <si>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</si>
  <si>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</si>
  <si>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</si>
  <si>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</si>
  <si>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</si>
  <si>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</si>
  <si>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</si>
  <si>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</si>
  <si>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</si>
  <si>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</si>
  <si>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</si>
  <si>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</si>
  <si>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</si>
  <si>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</si>
  <si>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</si>
  <si>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</si>
  <si>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</si>
  <si>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</si>
  <si>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</si>
  <si>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</si>
  <si>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</si>
  <si>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</si>
  <si>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</si>
  <si>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</si>
  <si>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</si>
  <si>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</si>
  <si>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</si>
  <si>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</si>
  <si>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</si>
  <si>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</si>
  <si>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</si>
  <si>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</si>
  <si>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</si>
  <si>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</si>
  <si>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</si>
  <si>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</si>
  <si>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</si>
  <si>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</si>
  <si>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</si>
  <si>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</si>
  <si>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</si>
  <si>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</si>
  <si>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</si>
  <si>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</si>
  <si>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</si>
  <si>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</si>
  <si>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</si>
  <si>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</si>
  <si>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</si>
  <si>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</si>
  <si>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</si>
  <si>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</si>
  <si>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</si>
  <si>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</si>
  <si>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</si>
  <si>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</si>
  <si>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</si>
  <si>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</si>
  <si>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</si>
  <si>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</si>
  <si>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</si>
  <si>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</si>
  <si>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</si>
  <si>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</si>
  <si>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</si>
  <si>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</si>
  <si>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</si>
  <si>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</si>
  <si>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</si>
  <si>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</si>
  <si>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</si>
  <si>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</si>
  <si>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</si>
  <si>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</si>
  <si>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</si>
  <si>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</si>
  <si>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</si>
  <si>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</si>
  <si>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</si>
  <si>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</si>
  <si>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</si>
  <si>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</si>
  <si>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</si>
  <si>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</si>
  <si>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</si>
  <si>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</si>
  <si>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</si>
  <si>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</si>
  <si>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</si>
  <si>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</si>
  <si>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</si>
  <si>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</si>
  <si>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</si>
  <si>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</si>
  <si>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</si>
  <si>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</si>
  <si>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</si>
  <si>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</si>
  <si>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</si>
  <si>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</si>
  <si>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</si>
  <si>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</si>
  <si>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</si>
  <si>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</si>
  <si>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</si>
  <si>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</si>
  <si>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</si>
  <si>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</si>
  <si>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</si>
  <si>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</si>
  <si>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</si>
  <si>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</si>
  <si>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</si>
  <si>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</si>
  <si>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</si>
  <si>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</si>
  <si>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</si>
  <si>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</si>
  <si>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</si>
  <si>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</si>
  <si>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</si>
  <si>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</si>
  <si>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</si>
  <si>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</si>
  <si>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</si>
  <si>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</si>
  <si>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</si>
  <si>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</si>
  <si>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</si>
  <si>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</si>
  <si>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</si>
  <si>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</si>
  <si>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</si>
  <si>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</si>
  <si>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</si>
  <si>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</si>
  <si>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</si>
  <si>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</si>
  <si>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</si>
  <si>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</si>
  <si>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</si>
  <si>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</si>
  <si>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</si>
  <si>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</si>
  <si>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</si>
  <si>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</si>
  <si>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</si>
  <si>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</si>
  <si>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</si>
  <si>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</si>
  <si>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</si>
  <si>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</si>
  <si>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</si>
  <si>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</si>
  <si>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</si>
  <si>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</si>
  <si>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</si>
  <si>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</si>
  <si>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</si>
  <si>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</si>
  <si>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</si>
  <si>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</si>
  <si>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</si>
  <si>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</si>
  <si>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</si>
  <si>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</si>
  <si>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</si>
  <si>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</si>
  <si>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</si>
  <si>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</si>
  <si>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</si>
  <si>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</si>
  <si>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</si>
  <si>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</si>
  <si>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</si>
  <si>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</si>
  <si>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</si>
  <si>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</si>
  <si>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</si>
  <si>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</si>
  <si>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</si>
  <si>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</si>
  <si>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</si>
  <si>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</si>
  <si>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</si>
  <si>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</si>
  <si>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</si>
  <si>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</si>
  <si>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</si>
  <si>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</si>
  <si>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</si>
  <si>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</si>
  <si>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</si>
  <si>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</si>
  <si>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</si>
  <si>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</si>
  <si>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</si>
  <si>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</si>
  <si>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</si>
  <si>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</si>
  <si>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</si>
  <si>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</si>
  <si>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</si>
  <si>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</si>
  <si>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</si>
  <si>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</si>
  <si>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</si>
  <si>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</si>
  <si>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</si>
  <si>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</si>
  <si>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</si>
  <si>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</si>
  <si>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</si>
  <si>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</si>
  <si>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</si>
  <si>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</si>
  <si>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</si>
  <si>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</si>
  <si>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</si>
  <si>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</si>
  <si>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</si>
  <si>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</si>
  <si>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</si>
  <si>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</si>
  <si>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</si>
  <si>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</si>
  <si>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</si>
  <si>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</si>
  <si>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</si>
  <si>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</si>
  <si>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</si>
  <si>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</si>
  <si>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</si>
  <si>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</si>
  <si>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</si>
  <si>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</si>
  <si>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</si>
  <si>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</si>
  <si>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</si>
  <si>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</si>
  <si>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</si>
  <si>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</si>
  <si>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</si>
  <si>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</si>
  <si>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</si>
  <si>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</si>
  <si>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</si>
  <si>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</si>
  <si>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</si>
  <si>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</si>
  <si>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</si>
  <si>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</si>
  <si>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</si>
  <si>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</si>
  <si>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</si>
  <si>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</si>
  <si>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</si>
  <si>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</si>
  <si>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</si>
  <si>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</si>
  <si>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</si>
  <si>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</si>
  <si>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</si>
  <si>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</si>
  <si>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</si>
  <si>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</si>
  <si>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</si>
  <si>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</si>
  <si>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</si>
  <si>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</si>
  <si>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</si>
  <si>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</si>
  <si>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</si>
  <si>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</si>
  <si>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</si>
  <si>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</si>
  <si>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</si>
  <si>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</si>
  <si>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</si>
  <si>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</si>
  <si>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</si>
  <si>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</si>
  <si>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</si>
  <si>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</si>
  <si>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</si>
  <si>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</si>
  <si>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</si>
  <si>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</si>
  <si>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</si>
  <si>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</si>
  <si>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</si>
  <si>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</si>
  <si>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</si>
  <si>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</si>
  <si>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</si>
  <si>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</si>
  <si>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</si>
  <si>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</si>
  <si>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</si>
  <si>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</si>
  <si>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</si>
  <si>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</si>
  <si>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</si>
  <si>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</si>
  <si>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</si>
  <si>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</si>
  <si>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</si>
  <si>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</si>
  <si>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</si>
  <si>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</si>
  <si>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</si>
  <si>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</si>
  <si>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</si>
  <si>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</si>
  <si>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</si>
  <si>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</si>
  <si>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</si>
  <si>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</si>
  <si>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</si>
  <si>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</si>
  <si>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</si>
  <si>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</si>
  <si>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</si>
  <si>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</si>
  <si>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</si>
  <si>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</si>
  <si>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</si>
  <si>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</si>
  <si>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</si>
  <si>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</si>
  <si>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</si>
  <si>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</si>
  <si>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</si>
  <si>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</si>
  <si>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</si>
  <si>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</si>
  <si>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</si>
  <si>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</si>
  <si>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</si>
  <si>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</si>
  <si>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</si>
  <si>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</si>
  <si>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</si>
  <si>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</si>
  <si>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</si>
  <si>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</si>
  <si>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</si>
  <si>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</si>
  <si>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</si>
  <si>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</si>
  <si>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</si>
  <si>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</si>
  <si>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</si>
  <si>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</si>
  <si>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</si>
  <si>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</si>
  <si>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</si>
  <si>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</si>
  <si>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</si>
  <si>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</si>
  <si>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</si>
  <si>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</si>
  <si>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</si>
  <si>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</si>
  <si>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</si>
  <si>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</si>
  <si>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</si>
  <si>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</si>
  <si>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</si>
  <si>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</si>
  <si>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</si>
  <si>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</si>
  <si>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</si>
  <si>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</si>
  <si>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</si>
  <si>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</si>
  <si>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</si>
  <si>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</si>
  <si>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</si>
  <si>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</si>
  <si>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</si>
  <si>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</si>
  <si>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</si>
  <si>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</si>
  <si>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</si>
  <si>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</si>
  <si>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</si>
  <si>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</si>
  <si>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</si>
  <si>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</si>
  <si>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</si>
  <si>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</si>
  <si>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</si>
  <si>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</si>
  <si>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</si>
  <si>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</si>
  <si>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</si>
  <si>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</si>
  <si>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</si>
  <si>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</si>
  <si>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</si>
  <si>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</si>
  <si>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</si>
  <si>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</si>
  <si>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</si>
  <si>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</si>
  <si>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</si>
  <si>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</si>
  <si>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</si>
  <si>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</si>
  <si>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</si>
  <si>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</si>
  <si>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</si>
  <si>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</si>
  <si>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</si>
  <si>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</si>
  <si>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</si>
  <si>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</si>
  <si>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</si>
  <si>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</si>
  <si>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</si>
  <si>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</si>
  <si>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</si>
  <si>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</si>
  <si>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</si>
  <si>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</si>
  <si>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</si>
  <si>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</si>
  <si>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</si>
  <si>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</si>
  <si>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</si>
  <si>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</si>
  <si>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</si>
  <si>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</si>
  <si>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</si>
  <si>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</si>
  <si>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</si>
  <si>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</si>
  <si>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</si>
  <si>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</si>
  <si>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</si>
  <si>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</si>
  <si>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</si>
  <si>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</si>
  <si>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</si>
  <si>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</si>
  <si>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</si>
  <si>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</si>
  <si>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</si>
  <si>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</si>
  <si>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</si>
  <si>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</si>
  <si>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</si>
  <si>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</si>
  <si>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</si>
  <si>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</si>
  <si>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</si>
  <si>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</si>
  <si>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</si>
  <si>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</si>
  <si>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</si>
  <si>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</si>
  <si>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</si>
  <si>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</si>
  <si>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</si>
  <si>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</si>
  <si>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</si>
  <si>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</si>
  <si>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</si>
  <si>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</si>
  <si>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</si>
  <si>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</si>
  <si>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</si>
  <si>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</si>
  <si>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</si>
  <si>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</si>
  <si>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</si>
  <si>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</si>
  <si>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</si>
  <si>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</si>
  <si>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</si>
  <si>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</si>
  <si>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</si>
  <si>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</si>
  <si>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</si>
  <si>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</si>
  <si>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</si>
  <si>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</si>
  <si>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</si>
  <si>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</si>
  <si>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</si>
  <si>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</si>
  <si>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</si>
  <si>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</si>
  <si>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</si>
  <si>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</si>
  <si>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</si>
  <si>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</si>
  <si>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</si>
  <si>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</si>
  <si>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</si>
  <si>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</si>
  <si>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</si>
  <si>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</si>
  <si>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</si>
  <si>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</si>
  <si>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</si>
  <si>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</si>
  <si>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</si>
  <si>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</si>
  <si>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</si>
  <si>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</si>
  <si>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</si>
  <si>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</si>
  <si>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</si>
  <si>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</si>
  <si>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</si>
  <si>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</si>
  <si>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</si>
  <si>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</si>
  <si>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</si>
  <si>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</si>
  <si>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</si>
  <si>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</si>
  <si>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</si>
  <si>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</si>
  <si>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</si>
  <si>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</si>
  <si>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</si>
  <si>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</si>
  <si>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</si>
  <si>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</si>
  <si>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</si>
  <si>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</si>
  <si>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</si>
  <si>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</si>
  <si>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</si>
  <si>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</si>
  <si>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</si>
  <si>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</si>
  <si>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</si>
  <si>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</si>
  <si>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</si>
  <si>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</si>
  <si>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</si>
  <si>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</si>
  <si>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</si>
  <si>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</si>
  <si>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</si>
  <si>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</si>
  <si>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</si>
  <si>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</si>
  <si>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</si>
  <si>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</si>
  <si>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</si>
  <si>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</si>
  <si>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</si>
  <si>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</si>
  <si>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</si>
  <si>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</si>
  <si>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</si>
  <si>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</si>
  <si>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</si>
  <si>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</si>
  <si>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</si>
  <si>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</si>
  <si>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</si>
  <si>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</si>
  <si>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</si>
  <si>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</si>
  <si>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</si>
  <si>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</si>
  <si>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</si>
  <si>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</si>
  <si>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</si>
  <si>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</si>
  <si>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</si>
  <si>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</si>
  <si>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</si>
  <si>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</si>
  <si>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</si>
  <si>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</si>
  <si>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</si>
  <si>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</si>
  <si>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</si>
  <si>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</si>
  <si>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</si>
  <si>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</si>
  <si>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</si>
  <si>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</si>
  <si>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</si>
  <si>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</si>
  <si>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</si>
  <si>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</si>
  <si>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</si>
  <si>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</si>
  <si>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</si>
  <si>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</si>
  <si>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</si>
  <si>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</si>
  <si>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</si>
  <si>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</si>
  <si>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</si>
  <si>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</si>
  <si>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</si>
  <si>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</si>
  <si>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</si>
  <si>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</si>
  <si>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</si>
  <si>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</si>
  <si>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</si>
  <si>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</si>
  <si>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</si>
  <si>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</si>
  <si>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</si>
  <si>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</si>
  <si>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</si>
  <si>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</si>
  <si>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</si>
  <si>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</si>
  <si>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</si>
  <si>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</si>
  <si>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</si>
  <si>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</si>
  <si>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</si>
  <si>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</si>
  <si>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</si>
  <si>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</si>
  <si>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</si>
  <si>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</si>
  <si>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</si>
  <si>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</si>
  <si>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</si>
  <si>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</si>
  <si>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</si>
  <si>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</si>
  <si>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</si>
  <si>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</si>
  <si>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</si>
  <si>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</si>
  <si>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</si>
  <si>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</si>
  <si>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</si>
  <si>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</si>
  <si>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</si>
  <si>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</si>
  <si>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</si>
  <si>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</si>
  <si>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</si>
  <si>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</si>
  <si>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</si>
  <si>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</si>
  <si>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</si>
  <si>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</si>
  <si>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</si>
  <si>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</si>
  <si>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</si>
  <si>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</si>
  <si>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</si>
  <si>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</si>
  <si>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</si>
  <si>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</si>
  <si>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</si>
  <si>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</si>
  <si>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</si>
  <si>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</si>
  <si>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</si>
  <si>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</si>
  <si>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</si>
  <si>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</si>
  <si>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</si>
  <si>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</si>
  <si>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</si>
  <si>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</si>
  <si>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</si>
  <si>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</si>
  <si>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</si>
  <si>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</si>
  <si>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</si>
  <si>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</si>
  <si>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</si>
  <si>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</si>
  <si>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</si>
  <si>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</si>
  <si>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</si>
  <si>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</si>
  <si>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</si>
  <si>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</si>
  <si>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</si>
  <si>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</si>
  <si>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</si>
  <si>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</si>
  <si>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</si>
  <si>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</si>
  <si>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</si>
  <si>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</si>
  <si>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</si>
  <si>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</si>
  <si>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</si>
  <si>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</si>
  <si>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</si>
  <si>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</si>
  <si>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</si>
  <si>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</si>
  <si>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</si>
  <si>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</si>
  <si>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</si>
  <si>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</si>
  <si>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</si>
  <si>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</si>
  <si>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</si>
  <si>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</si>
  <si>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</si>
  <si>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</si>
  <si>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</si>
  <si>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</si>
  <si>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</si>
  <si>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</si>
  <si>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</si>
  <si>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</si>
  <si>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</si>
  <si>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</si>
  <si>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</si>
  <si>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</si>
  <si>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</si>
  <si>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</si>
  <si>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</si>
  <si>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</si>
  <si>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</si>
  <si>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</si>
  <si>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</si>
  <si>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</si>
  <si>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</si>
  <si>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</si>
  <si>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</si>
  <si>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</si>
  <si>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</si>
  <si>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</si>
  <si>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</si>
  <si>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</si>
  <si>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</si>
  <si>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</si>
  <si>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</si>
  <si>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</si>
  <si>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</si>
  <si>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</si>
  <si>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</si>
  <si>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</si>
  <si>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</si>
  <si>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</si>
  <si>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</si>
  <si>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</si>
  <si>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</si>
  <si>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</si>
  <si>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</si>
  <si>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</si>
  <si>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</si>
  <si>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</si>
  <si>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</si>
  <si>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</si>
  <si>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</si>
  <si>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</si>
  <si>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</si>
  <si>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</si>
  <si>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</si>
  <si>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</si>
  <si>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</si>
  <si>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</si>
  <si>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</si>
  <si>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</si>
  <si>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</si>
  <si>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</si>
  <si>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</si>
  <si>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</si>
  <si>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</si>
  <si>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</si>
  <si>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</si>
  <si>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</si>
  <si>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</si>
  <si>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</si>
  <si>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</si>
  <si>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</si>
  <si>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</si>
  <si>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</si>
  <si>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</si>
  <si>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</si>
  <si>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</si>
  <si>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</si>
  <si>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</si>
  <si>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</si>
  <si>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</si>
  <si>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</si>
  <si>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</si>
  <si>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</si>
  <si>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</si>
  <si>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</si>
  <si>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</si>
  <si>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</si>
  <si>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</si>
  <si>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</si>
  <si>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</si>
  <si>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</si>
  <si>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</si>
  <si>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</si>
  <si>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</si>
  <si>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</si>
  <si>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</si>
  <si>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</si>
  <si>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</si>
  <si>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</si>
  <si>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</si>
  <si>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</si>
  <si>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</si>
  <si>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</si>
  <si>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</si>
  <si>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</si>
  <si>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</si>
  <si>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</si>
  <si>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</si>
  <si>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</si>
  <si>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</si>
  <si>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</si>
  <si>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</si>
  <si>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</si>
  <si>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</si>
  <si>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</si>
  <si>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</si>
  <si>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</si>
  <si>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</si>
  <si>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</si>
  <si>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</si>
  <si>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</si>
  <si>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</si>
  <si>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</si>
  <si>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</si>
  <si>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</si>
  <si>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</si>
  <si>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</si>
  <si>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</si>
  <si>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</si>
  <si>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</si>
  <si>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</si>
  <si>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</si>
  <si>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</si>
  <si>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</si>
  <si>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</si>
  <si>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</si>
  <si>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</si>
  <si>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</si>
  <si>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</si>
  <si>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</si>
  <si>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</si>
  <si>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</si>
  <si>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</si>
  <si>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</si>
  <si>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</si>
  <si>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</si>
  <si>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</si>
  <si>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</si>
  <si>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</si>
  <si>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</si>
  <si>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</si>
  <si>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</si>
  <si>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</si>
  <si>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</si>
  <si>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</si>
  <si>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</si>
  <si>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</si>
  <si>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</si>
  <si>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</si>
  <si>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</si>
  <si>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</si>
  <si>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</si>
  <si>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</si>
  <si>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</si>
  <si>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</si>
  <si>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</si>
  <si>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</si>
  <si>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</si>
  <si>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</si>
  <si>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</si>
  <si>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</si>
  <si>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</si>
  <si>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</si>
  <si>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</si>
  <si>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</si>
  <si>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</si>
  <si>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</si>
  <si>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</si>
  <si>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</si>
  <si>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</si>
  <si>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</si>
  <si>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</si>
  <si>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</si>
  <si>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</si>
  <si>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</si>
  <si>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</si>
  <si>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</si>
  <si>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</si>
  <si>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</si>
  <si>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</si>
  <si>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</si>
  <si>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</si>
  <si>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</si>
  <si>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</si>
  <si>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</si>
  <si>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</si>
  <si>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</si>
  <si>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</si>
  <si>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</si>
  <si>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</si>
  <si>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</si>
  <si>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</si>
  <si>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</si>
  <si>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</si>
  <si>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</si>
  <si>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</si>
  <si>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</si>
  <si>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</si>
  <si>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</si>
  <si>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</si>
  <si>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</si>
  <si>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</si>
  <si>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</si>
  <si>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</si>
  <si>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</si>
  <si>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</si>
  <si>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</si>
  <si>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</si>
  <si>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</si>
  <si>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</si>
  <si>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</si>
  <si>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</si>
  <si>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</si>
  <si>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</si>
  <si>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</si>
  <si>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</si>
  <si>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</si>
  <si>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</si>
  <si>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</si>
  <si>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</si>
  <si>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</si>
  <si>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</si>
  <si>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</si>
  <si>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</si>
  <si>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</si>
  <si>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</si>
  <si>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</si>
  <si>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</si>
  <si>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</si>
  <si>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</si>
  <si>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</si>
  <si>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</si>
  <si>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</si>
  <si>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</si>
  <si>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</si>
  <si>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</si>
  <si>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</si>
  <si>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</si>
  <si>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</si>
  <si>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</si>
  <si>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</si>
  <si>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</si>
  <si>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</si>
  <si>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</si>
  <si>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</si>
  <si>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</si>
  <si>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</si>
  <si>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</si>
  <si>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</si>
  <si>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</si>
  <si>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</si>
  <si>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</si>
  <si>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</si>
  <si>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</si>
  <si>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</si>
  <si>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</si>
  <si>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</si>
  <si>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</si>
  <si>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</si>
  <si>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</si>
  <si>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</si>
  <si>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</si>
  <si>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</si>
  <si>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</si>
  <si>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</si>
  <si>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</si>
  <si>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</si>
  <si>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</si>
  <si>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</si>
  <si>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</si>
  <si>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</si>
  <si>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</si>
  <si>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</si>
  <si>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</si>
  <si>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</si>
  <si>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</si>
  <si>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</si>
  <si>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</si>
  <si>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</si>
  <si>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</si>
  <si>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</si>
  <si>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</si>
  <si>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</si>
  <si>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</si>
  <si>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</si>
  <si>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</si>
  <si>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</si>
  <si>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</si>
  <si>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</si>
  <si>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</si>
  <si>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</si>
  <si>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</si>
  <si>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</si>
  <si>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</si>
  <si>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</si>
  <si>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</si>
  <si>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</si>
  <si>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</si>
  <si>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</si>
  <si>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</si>
  <si>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</si>
  <si>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</si>
  <si>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</si>
  <si>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</si>
  <si>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</si>
  <si>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</si>
  <si>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</si>
  <si>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</si>
  <si>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</si>
  <si>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</si>
  <si>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</si>
  <si>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</si>
  <si>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</si>
  <si>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</si>
  <si>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</si>
  <si>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</si>
  <si>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</si>
  <si>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</si>
  <si>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</si>
  <si>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</si>
  <si>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</si>
  <si>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</si>
  <si>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</si>
  <si>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</si>
  <si>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</si>
  <si>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</si>
  <si>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</si>
  <si>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</si>
  <si>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</si>
  <si>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</si>
  <si>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</si>
  <si>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</si>
  <si>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</si>
  <si>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</si>
  <si>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</si>
  <si>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</si>
  <si>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</si>
  <si>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</si>
  <si>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</si>
  <si>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</si>
  <si>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</si>
  <si>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</si>
  <si>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</si>
  <si>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</si>
  <si>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</si>
  <si>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</si>
  <si>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</si>
  <si>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</si>
  <si>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</si>
  <si>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</si>
  <si>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</si>
  <si>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</si>
  <si>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</si>
  <si>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</si>
  <si>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</si>
  <si>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</si>
  <si>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</si>
  <si>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</si>
  <si>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</si>
  <si>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</si>
  <si>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</si>
  <si>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</si>
  <si>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</si>
  <si>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</si>
  <si>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</si>
  <si>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</si>
  <si>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</si>
  <si>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</si>
  <si>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</si>
  <si>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</si>
  <si>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</si>
  <si>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</si>
  <si>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</si>
  <si>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</si>
  <si>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</si>
  <si>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</si>
  <si>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</si>
  <si>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</si>
  <si>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</si>
  <si>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</si>
  <si>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</si>
  <si>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</si>
  <si>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</si>
  <si>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</si>
  <si>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</si>
  <si>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</si>
  <si>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</si>
  <si>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</si>
  <si>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</si>
  <si>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</si>
  <si>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</si>
  <si>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</si>
  <si>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</si>
  <si>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</si>
  <si>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</si>
  <si>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</si>
  <si>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</si>
  <si>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</si>
  <si>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</si>
  <si>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</si>
  <si>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</si>
  <si>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</si>
  <si>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</si>
  <si>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</si>
  <si>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</si>
  <si>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</si>
  <si>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</si>
  <si>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</si>
  <si>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</si>
  <si>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</si>
  <si>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</si>
  <si>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</si>
  <si>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</si>
  <si>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</si>
  <si>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</si>
  <si>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</si>
  <si>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</si>
  <si>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</si>
  <si>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</si>
  <si>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</si>
  <si>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</si>
  <si>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</si>
  <si>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</si>
  <si>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</si>
  <si>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</si>
  <si>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</si>
  <si>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</si>
  <si>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</si>
  <si>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</si>
  <si>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</si>
  <si>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</si>
  <si>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</si>
  <si>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</si>
  <si>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</si>
  <si>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</si>
  <si>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</si>
  <si>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</si>
  <si>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</si>
  <si>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</si>
  <si>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</si>
  <si>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</si>
  <si>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</si>
  <si>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</si>
  <si>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</si>
  <si>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</si>
  <si>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</si>
  <si>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</si>
  <si>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</si>
  <si>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</si>
  <si>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</si>
  <si>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</si>
  <si>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</si>
  <si>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</si>
  <si>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</si>
  <si>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</si>
  <si>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</si>
  <si>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</si>
  <si>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</si>
  <si>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</si>
  <si>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</si>
  <si>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</si>
  <si>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</si>
  <si>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</si>
  <si>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</si>
  <si>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</si>
  <si>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</si>
  <si>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</si>
  <si>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</si>
  <si>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</si>
  <si>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</si>
  <si>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</si>
  <si>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</si>
  <si>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</si>
  <si>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</si>
  <si>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</si>
  <si>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</si>
  <si>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</si>
  <si>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</si>
  <si>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</si>
  <si>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</si>
  <si>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</si>
  <si>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</si>
  <si>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</si>
  <si>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</si>
  <si>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</si>
  <si>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</si>
  <si>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</si>
  <si>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</si>
  <si>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</si>
  <si>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</si>
  <si>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</si>
  <si>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</si>
  <si>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</si>
  <si>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</si>
  <si>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</si>
  <si>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</si>
  <si>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</si>
  <si>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</si>
  <si>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</si>
  <si>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</si>
  <si>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</si>
  <si>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</si>
  <si>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</si>
  <si>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</si>
  <si>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</si>
  <si>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</si>
  <si>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</si>
  <si>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</si>
  <si>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</si>
  <si>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</si>
  <si>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</si>
  <si>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</si>
  <si>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</si>
  <si>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</si>
  <si>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</si>
  <si>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</si>
  <si>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</si>
  <si>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</si>
  <si>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</si>
  <si>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</si>
  <si>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</si>
  <si>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</si>
  <si>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</si>
  <si>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</si>
  <si>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</si>
  <si>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</si>
  <si>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</si>
  <si>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</si>
  <si>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</si>
  <si>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</si>
  <si>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</si>
  <si>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</si>
  <si>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</si>
  <si>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</si>
  <si>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</si>
  <si>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</si>
  <si>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</si>
  <si>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</si>
  <si>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</si>
  <si>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</si>
  <si>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</si>
  <si>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</si>
  <si>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</si>
  <si>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</si>
  <si>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</si>
  <si>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</si>
  <si>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</si>
  <si>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</si>
  <si>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</si>
  <si>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</si>
  <si>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</si>
  <si>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</si>
  <si>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</si>
  <si>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</si>
  <si>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</si>
  <si>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</si>
  <si>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</si>
  <si>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</si>
  <si>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</si>
  <si>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</si>
  <si>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</si>
  <si>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</si>
  <si>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</si>
  <si>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</si>
  <si>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</si>
  <si>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</si>
  <si>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</si>
  <si>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</si>
  <si>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</si>
  <si>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</si>
  <si>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</si>
  <si>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</si>
  <si>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</si>
  <si>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</si>
  <si>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</si>
  <si>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</si>
  <si>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</si>
  <si>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</si>
  <si>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</si>
  <si>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</si>
  <si>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</si>
  <si>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</si>
  <si>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</si>
  <si>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</si>
  <si>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</si>
  <si>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</si>
  <si>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</si>
  <si>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</si>
  <si>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</si>
  <si>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</si>
  <si>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</si>
  <si>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</si>
  <si>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</si>
  <si>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</si>
  <si>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</si>
  <si>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</si>
  <si>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</si>
  <si>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</si>
  <si>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</si>
  <si>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</si>
  <si>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</si>
  <si>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</si>
  <si>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</si>
  <si>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</si>
  <si>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</si>
  <si>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</si>
  <si>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</si>
  <si>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</si>
  <si>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</si>
  <si>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</si>
  <si>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</si>
  <si>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</si>
  <si>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</si>
  <si>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</si>
  <si>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</si>
  <si>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</si>
  <si>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</si>
  <si>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</si>
  <si>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</si>
  <si>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</si>
  <si>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</si>
  <si>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</si>
  <si>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</si>
  <si>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</si>
  <si>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</si>
  <si>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</si>
  <si>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</si>
  <si>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</si>
  <si>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</si>
  <si>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</si>
  <si>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</si>
  <si>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</si>
  <si>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</si>
  <si>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</si>
  <si>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</si>
  <si>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</si>
  <si>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</si>
  <si>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</si>
  <si>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</si>
  <si>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</si>
  <si>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</si>
  <si>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</si>
  <si>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</si>
  <si>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</si>
  <si>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</si>
  <si>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</si>
  <si>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</si>
  <si>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</si>
  <si>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</si>
  <si>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</si>
  <si>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</si>
  <si>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</si>
  <si>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</si>
  <si>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</si>
  <si>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</si>
  <si>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</si>
  <si>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</si>
  <si>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</si>
  <si>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</si>
  <si>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</si>
  <si>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</si>
  <si>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</si>
  <si>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</si>
  <si>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</si>
  <si>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</si>
  <si>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</si>
  <si>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</si>
  <si>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</si>
  <si>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</si>
  <si>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</si>
  <si>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</si>
  <si>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</si>
  <si>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</si>
  <si>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</si>
  <si>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</si>
  <si>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</si>
  <si>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</si>
  <si>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</si>
  <si>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</si>
  <si>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</si>
  <si>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</si>
  <si>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</si>
  <si>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</si>
  <si>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</si>
  <si>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</si>
  <si>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</si>
  <si>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</si>
  <si>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</si>
  <si>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</si>
  <si>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</si>
  <si>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</si>
  <si>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</si>
  <si>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</si>
  <si>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</si>
  <si>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</si>
  <si>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</si>
  <si>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</si>
  <si>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</si>
  <si>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</si>
  <si>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</si>
  <si>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</si>
  <si>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</si>
  <si>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</si>
  <si>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</si>
  <si>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</si>
  <si>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</si>
  <si>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</si>
  <si>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</si>
  <si>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</si>
  <si>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</si>
  <si>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</si>
  <si>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</si>
  <si>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</si>
  <si>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</si>
  <si>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</si>
  <si>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</si>
  <si>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</si>
  <si>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</si>
  <si>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</si>
  <si>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</si>
  <si>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</si>
  <si>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</si>
  <si>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</si>
  <si>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</si>
  <si>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</si>
  <si>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</si>
  <si>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</si>
  <si>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</si>
  <si>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</si>
  <si>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</si>
  <si>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</si>
  <si>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</si>
  <si>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</si>
  <si>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</si>
  <si>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</si>
  <si>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</si>
  <si>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</si>
  <si>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</si>
  <si>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</si>
  <si>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</si>
  <si>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</si>
  <si>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</si>
  <si>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</si>
  <si>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</si>
  <si>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</si>
  <si>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</si>
  <si>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</si>
  <si>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</si>
  <si>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</si>
  <si>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</si>
  <si>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</si>
  <si>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</si>
  <si>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</si>
  <si>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</si>
  <si>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</si>
  <si>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</si>
  <si>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</si>
  <si>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</si>
  <si>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</si>
  <si>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</si>
  <si>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</si>
  <si>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</si>
  <si>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</si>
  <si>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</si>
  <si>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</si>
  <si>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</si>
  <si>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</si>
  <si>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</si>
  <si>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</si>
  <si>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</si>
  <si>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</si>
  <si>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</si>
  <si>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</si>
  <si>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</si>
  <si>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</si>
  <si>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</si>
  <si>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</si>
  <si>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</si>
  <si>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</si>
  <si>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</si>
  <si>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</si>
  <si>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</si>
  <si>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</si>
  <si>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</si>
  <si>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</si>
  <si>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</si>
  <si>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</si>
  <si>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</si>
  <si>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</si>
  <si>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</si>
  <si>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</si>
  <si>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</si>
  <si>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</si>
  <si>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</si>
  <si>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</si>
  <si>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</si>
  <si>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</si>
  <si>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</si>
  <si>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</si>
  <si>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</si>
  <si>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</si>
  <si>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</si>
  <si>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</si>
  <si>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</si>
  <si>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</si>
  <si>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</si>
  <si>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</si>
  <si>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</si>
  <si>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</si>
  <si>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</si>
  <si>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</si>
  <si>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</si>
  <si>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</si>
  <si>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</si>
  <si>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</si>
  <si>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</si>
  <si>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</si>
  <si>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</si>
  <si>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</si>
  <si>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</si>
  <si>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</si>
  <si>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</si>
  <si>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</si>
  <si>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</si>
  <si>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</si>
  <si>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</si>
  <si>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</si>
  <si>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</si>
  <si>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</si>
  <si>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</si>
  <si>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</si>
  <si>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</si>
  <si>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</si>
  <si>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</si>
  <si>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</si>
  <si>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</si>
  <si>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</si>
  <si>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</si>
  <si>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</si>
  <si>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</si>
  <si>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</si>
  <si>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</si>
  <si>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</si>
  <si>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</si>
  <si>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</si>
  <si>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</si>
  <si>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</si>
  <si>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</si>
  <si>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</si>
  <si>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</si>
  <si>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</si>
  <si>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</si>
  <si>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</si>
  <si>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</si>
  <si>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</si>
  <si>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</si>
  <si>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</si>
  <si>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</si>
  <si>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</si>
  <si>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</si>
  <si>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</si>
  <si>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</si>
  <si>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</si>
  <si>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</si>
  <si>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</si>
  <si>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</si>
  <si>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</si>
  <si>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</si>
  <si>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</si>
  <si>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</si>
  <si>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</si>
  <si>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</si>
  <si>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</si>
  <si>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</si>
  <si>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</si>
  <si>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</si>
  <si>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</si>
  <si>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</si>
  <si>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</si>
  <si>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</si>
  <si>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</si>
  <si>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</si>
  <si>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</si>
  <si>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</si>
  <si>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</si>
  <si>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</si>
  <si>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</si>
  <si>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</si>
  <si>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</si>
  <si>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</si>
  <si>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</si>
  <si>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</si>
  <si>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</si>
  <si>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</si>
  <si>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</si>
  <si>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</si>
  <si>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</si>
  <si>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</si>
  <si>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</si>
  <si>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</si>
  <si>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</si>
  <si>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</si>
  <si>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</si>
  <si>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</si>
  <si>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</si>
  <si>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</si>
  <si>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</si>
  <si>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</si>
  <si>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</si>
  <si>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</si>
  <si>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</si>
  <si>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</si>
  <si>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</si>
  <si>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</si>
  <si>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</si>
  <si>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</si>
  <si>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</si>
  <si>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</si>
  <si>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</si>
  <si>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</si>
  <si>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</si>
  <si>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</si>
  <si>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</si>
  <si>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</si>
  <si>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</si>
  <si>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</si>
  <si>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</si>
  <si>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</si>
  <si>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</si>
  <si>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</si>
  <si>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</si>
  <si>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</si>
  <si>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</si>
  <si>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</si>
  <si>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</si>
  <si>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</si>
  <si>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</si>
  <si>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</si>
  <si>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</si>
  <si>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</si>
  <si>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</si>
  <si>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</si>
  <si>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</si>
  <si>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</si>
  <si>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</si>
  <si>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</si>
  <si>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</si>
  <si>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</si>
  <si>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</si>
  <si>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</si>
  <si>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</si>
  <si>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</si>
  <si>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</si>
  <si>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</si>
  <si>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</si>
  <si>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</si>
  <si>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</si>
  <si>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</si>
  <si>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</si>
  <si>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</si>
  <si>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</si>
  <si>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</si>
  <si>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</si>
  <si>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</si>
  <si>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</si>
  <si>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</si>
  <si>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</si>
  <si>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</si>
  <si>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</si>
  <si>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</si>
  <si>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</si>
  <si>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</si>
  <si>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</si>
  <si>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</si>
  <si>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</si>
  <si>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</si>
  <si>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</si>
  <si>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</si>
  <si>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</si>
  <si>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</si>
  <si>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</si>
  <si>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</si>
  <si>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</si>
  <si>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</si>
  <si>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</si>
  <si>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</si>
  <si>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</si>
  <si>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</si>
  <si>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</si>
  <si>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</si>
  <si>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</si>
  <si>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</si>
  <si>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</si>
  <si>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</si>
  <si>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</si>
  <si>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</si>
  <si>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</si>
  <si>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</si>
  <si>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</si>
  <si>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</si>
  <si>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</si>
  <si>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</si>
  <si>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</si>
  <si>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</si>
  <si>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</si>
  <si>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</si>
  <si>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</si>
  <si>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</si>
  <si>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</si>
  <si>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</si>
  <si>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</si>
  <si>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</si>
  <si>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</si>
  <si>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</si>
  <si>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</si>
  <si>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</si>
  <si>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</si>
  <si>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</si>
  <si>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</si>
  <si>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</si>
  <si>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</si>
  <si>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</si>
  <si>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</si>
  <si>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</si>
  <si>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</si>
  <si>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</si>
  <si>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</si>
  <si>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</si>
  <si>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</si>
  <si>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</si>
  <si>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</si>
  <si>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</si>
  <si>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</si>
  <si>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</si>
  <si>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</si>
  <si>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</si>
  <si>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</si>
  <si>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</si>
  <si>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</si>
  <si>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</si>
  <si>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</si>
  <si>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</si>
  <si>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</si>
  <si>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</si>
  <si>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</si>
  <si>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</si>
  <si>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</si>
  <si>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</si>
  <si>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</si>
  <si>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</si>
  <si>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</si>
  <si>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</si>
  <si>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</si>
  <si>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</si>
  <si>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</si>
  <si>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</si>
  <si>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</si>
  <si>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</si>
  <si>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</si>
  <si>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</si>
  <si>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</si>
  <si>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</si>
  <si>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</si>
  <si>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</si>
  <si>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</si>
  <si>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</si>
  <si>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</si>
  <si>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</si>
  <si>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</si>
  <si>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</si>
  <si>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</si>
  <si>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</si>
  <si>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</si>
  <si>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</si>
  <si>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</si>
  <si>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</si>
  <si>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</si>
  <si>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</si>
  <si>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</si>
  <si>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</si>
  <si>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</si>
  <si>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</si>
  <si>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</si>
  <si>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</si>
  <si>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</si>
  <si>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</si>
  <si>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</si>
  <si>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</si>
  <si>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</si>
  <si>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</si>
  <si>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</si>
  <si>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</si>
  <si>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</si>
  <si>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</si>
  <si>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</si>
  <si>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</si>
  <si>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</si>
  <si>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</si>
  <si>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</si>
  <si>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</si>
  <si>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</si>
  <si>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</si>
  <si>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</si>
  <si>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</si>
  <si>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</si>
  <si>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</si>
  <si>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</si>
  <si>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</si>
  <si>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</si>
  <si>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</si>
  <si>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</si>
  <si>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</si>
  <si>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</si>
  <si>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</si>
  <si>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</si>
  <si>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</si>
  <si>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</si>
  <si>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</si>
  <si>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</si>
  <si>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</si>
  <si>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</si>
  <si>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</si>
  <si>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</si>
  <si>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</si>
  <si>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</si>
  <si>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</si>
  <si>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</si>
  <si>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</si>
  <si>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</si>
  <si>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</si>
  <si>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</si>
  <si>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</si>
  <si>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</si>
  <si>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</si>
  <si>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NEWKIRK &amp; ASSOCIATES, INC.</t>
  </si>
  <si>
    <t>WILLIAM J. NEWKIRK</t>
  </si>
  <si>
    <t>OGLE</t>
  </si>
  <si>
    <t>2 W. MAIN STREET</t>
  </si>
  <si>
    <t>100 FIRST STREET</t>
  </si>
  <si>
    <t>PLANO</t>
  </si>
  <si>
    <t>IL</t>
  </si>
  <si>
    <t>KINGS</t>
  </si>
  <si>
    <t>630-552-1040</t>
  </si>
  <si>
    <t>630-552-7399</t>
  </si>
  <si>
    <t>mlamb@kings144.org</t>
  </si>
  <si>
    <t>066-004656</t>
  </si>
  <si>
    <t>MATT LAMB</t>
  </si>
  <si>
    <t>815-562-7191</t>
  </si>
  <si>
    <t>815-562-5405</t>
  </si>
  <si>
    <t>SERIES 2011 BANK CAPITAL INT. BONDS</t>
  </si>
  <si>
    <t>ED-  Speech Pathology- Purchased Service</t>
  </si>
  <si>
    <t>10-2150-310</t>
  </si>
  <si>
    <t>Jeanine Holtsford</t>
  </si>
  <si>
    <t>Eswood School District</t>
  </si>
  <si>
    <t>ISDA</t>
  </si>
  <si>
    <t>Eswood School District, Rochelle Elem. Dist. 231</t>
  </si>
  <si>
    <t>Ogle County Educational Cooperative</t>
  </si>
  <si>
    <t>bnewkirk@newkirkcpas.com</t>
  </si>
  <si>
    <t>x</t>
  </si>
  <si>
    <t>Newkirk &amp; Associates, Inc.</t>
  </si>
  <si>
    <t>Account 1790, page 11, Fund 10, Line 81 - PE shirts, Band Rental, Art fees, and Yearbooks totaling $1,731</t>
  </si>
  <si>
    <t>Account 1993, Page 11, Fund 10, Line 106 - Reimbursement from Eswood CCSD for share staff insurance $3,061</t>
  </si>
  <si>
    <t>Account 1999, page 11, Fund 10, Line 107 - Pop machine revenue and P-Card rebates totalling $885</t>
  </si>
  <si>
    <t>Account 3999, Page 12, Fund 10, Line 168 - IL Library Grant - $750</t>
  </si>
  <si>
    <t>Account 4090, Page 12, Fund 10, Line 180 - REAP Grant - $31,520</t>
  </si>
  <si>
    <t>Kings Cons SD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</si>
</sst>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109538</xdr:colOff>
          <xdr:row>1</xdr:row>
          <xdr:rowOff>138113</xdr:rowOff>
        </xdr:from>
        <xdr:to>
          <xdr:col>1</xdr:col>
          <xdr:colOff>1023938</xdr:colOff>
          <xdr:row>6</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416719</xdr:colOff>
          <xdr:row>6</xdr:row>
          <xdr:rowOff>154782</xdr:rowOff>
        </xdr:from>
        <xdr:to>
          <xdr:col>1</xdr:col>
          <xdr:colOff>1331119</xdr:colOff>
          <xdr:row>11</xdr:row>
          <xdr:rowOff>111919</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5" t="s">
        <v>405</v>
      </c>
      <c r="J1" s="2016"/>
      <c r="K1" s="2016"/>
      <c r="L1" s="2016"/>
      <c r="M1" s="2016"/>
      <c r="N1" s="2016"/>
      <c r="O1" s="2016"/>
      <c r="P1" s="2016"/>
      <c r="Q1" s="2016"/>
      <c r="R1" s="2016"/>
      <c r="S1" s="2016"/>
    </row>
    <row r="2" spans="1:28" ht="12" customHeight="1" x14ac:dyDescent="0.2">
      <c r="A2" s="47" t="s">
        <v>1993</v>
      </c>
      <c r="D2" s="48"/>
      <c r="I2" s="2017" t="s">
        <v>979</v>
      </c>
      <c r="J2" s="2016"/>
      <c r="K2" s="2016"/>
      <c r="L2" s="2016"/>
      <c r="M2" s="2016"/>
      <c r="N2" s="2016"/>
      <c r="O2" s="2016"/>
      <c r="P2" s="2016"/>
      <c r="Q2" s="2016"/>
      <c r="R2" s="2016"/>
      <c r="S2" s="2016"/>
    </row>
    <row r="3" spans="1:28" ht="12" customHeight="1" x14ac:dyDescent="0.2">
      <c r="A3" s="155" t="s">
        <v>1945</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2064</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2064</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47071144003</v>
      </c>
      <c r="B13" s="1986"/>
      <c r="C13" s="1986"/>
      <c r="D13" s="1986"/>
      <c r="E13" s="1986"/>
      <c r="F13" s="1986"/>
      <c r="G13" s="1986"/>
      <c r="H13" s="1987"/>
      <c r="I13" s="31"/>
      <c r="J13" s="30"/>
      <c r="K13" s="28"/>
      <c r="L13" s="30"/>
      <c r="M13" s="30"/>
      <c r="N13" s="30"/>
      <c r="O13" s="30"/>
      <c r="P13" s="30"/>
      <c r="Q13" s="30"/>
      <c r="R13" s="30"/>
      <c r="S13" s="30"/>
      <c r="T13" s="1990" t="s">
        <v>2065</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2067</v>
      </c>
      <c r="B15" s="1988"/>
      <c r="C15" s="1988"/>
      <c r="D15" s="1988"/>
      <c r="E15" s="1988"/>
      <c r="F15" s="1988"/>
      <c r="G15" s="1988"/>
      <c r="H15" s="1989"/>
      <c r="T15" s="1951" t="s">
        <v>2066</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2096</v>
      </c>
      <c r="B17" s="2013"/>
      <c r="C17" s="2013"/>
      <c r="D17" s="2013"/>
      <c r="E17" s="2013"/>
      <c r="F17" s="2013"/>
      <c r="G17" s="2013"/>
      <c r="H17" s="2014"/>
      <c r="T17" s="2000" t="s">
        <v>2068</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2069</v>
      </c>
      <c r="B19" s="1984"/>
      <c r="C19" s="1984"/>
      <c r="D19" s="1984"/>
      <c r="E19" s="1984"/>
      <c r="F19" s="1984"/>
      <c r="G19" s="1984"/>
      <c r="H19" s="1982"/>
      <c r="I19" s="30"/>
      <c r="J19" s="99"/>
      <c r="K19" s="40"/>
      <c r="L19" s="38"/>
      <c r="M19" s="112" t="s">
        <v>315</v>
      </c>
      <c r="P19" s="27"/>
      <c r="Q19" s="27"/>
      <c r="R19" s="27"/>
      <c r="S19" s="31"/>
      <c r="T19" s="1983" t="s">
        <v>2070</v>
      </c>
      <c r="U19" s="1981"/>
      <c r="V19" s="1981"/>
      <c r="W19" s="1982"/>
      <c r="X19" s="1998" t="s">
        <v>2071</v>
      </c>
      <c r="Y19" s="1999"/>
      <c r="Z19" s="1996">
        <v>60545</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2072</v>
      </c>
      <c r="B21" s="1981"/>
      <c r="C21" s="1981"/>
      <c r="D21" s="1981"/>
      <c r="E21" s="1981"/>
      <c r="F21" s="1981"/>
      <c r="G21" s="1981"/>
      <c r="H21" s="1982"/>
      <c r="I21" s="2006" t="s">
        <v>678</v>
      </c>
      <c r="J21" s="1969"/>
      <c r="K21" s="1969"/>
      <c r="L21" s="1969"/>
      <c r="M21" s="1969"/>
      <c r="N21" s="1969"/>
      <c r="O21" s="1969"/>
      <c r="P21" s="1969"/>
      <c r="Q21" s="1969"/>
      <c r="R21" s="1969"/>
      <c r="S21" s="1970"/>
      <c r="T21" s="1948" t="s">
        <v>2073</v>
      </c>
      <c r="U21" s="1949"/>
      <c r="V21" s="1949"/>
      <c r="W21" s="1949"/>
      <c r="X21" s="1962" t="s">
        <v>2074</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2075</v>
      </c>
      <c r="B23" s="2004"/>
      <c r="C23" s="2004"/>
      <c r="D23" s="2004"/>
      <c r="E23" s="2004"/>
      <c r="F23" s="2004"/>
      <c r="G23" s="2004"/>
      <c r="H23" s="2005"/>
      <c r="T23" s="1943" t="s">
        <v>2076</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61068</v>
      </c>
      <c r="B25" s="1981"/>
      <c r="C25" s="1981"/>
      <c r="D25" s="1981"/>
      <c r="E25" s="1981"/>
      <c r="F25" s="1981"/>
      <c r="G25" s="1981"/>
      <c r="H25" s="1982"/>
      <c r="I25" s="113"/>
      <c r="J25" s="2047"/>
      <c r="K25" s="2047"/>
      <c r="L25" s="2047"/>
      <c r="M25" s="2047"/>
      <c r="N25" s="2047"/>
      <c r="O25" s="2047"/>
      <c r="P25" s="2047"/>
      <c r="Q25" s="2047"/>
      <c r="R25" s="2047"/>
      <c r="S25" s="2048"/>
      <c r="T25" s="1940" t="s">
        <v>2088</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2077</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2075</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2078</v>
      </c>
      <c r="B42" s="2030"/>
      <c r="C42" s="2031"/>
      <c r="D42" s="2044" t="s">
        <v>2079</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E4" sqref="E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645510</v>
      </c>
      <c r="C4" s="1524">
        <v>279972</v>
      </c>
      <c r="D4" s="1752">
        <f>B4-C4</f>
        <v>365538</v>
      </c>
      <c r="E4" s="1524">
        <v>798660</v>
      </c>
      <c r="F4" s="1752">
        <f>E4-C4</f>
        <v>518688</v>
      </c>
    </row>
    <row r="5" spans="1:6" ht="13.7" customHeight="1" x14ac:dyDescent="0.2">
      <c r="A5" s="715" t="s">
        <v>870</v>
      </c>
      <c r="B5" s="1750">
        <f>'Revenues 9-14'!D5</f>
        <v>52738</v>
      </c>
      <c r="C5" s="585">
        <v>22874</v>
      </c>
      <c r="D5" s="1753">
        <f t="shared" ref="D5:D18" si="0">B5-C5</f>
        <v>29864</v>
      </c>
      <c r="E5" s="585">
        <v>65250</v>
      </c>
      <c r="F5" s="1753">
        <f>E5-C5</f>
        <v>42376</v>
      </c>
    </row>
    <row r="6" spans="1:6" ht="13.7" customHeight="1" x14ac:dyDescent="0.2">
      <c r="A6" s="715" t="s">
        <v>411</v>
      </c>
      <c r="B6" s="1750">
        <f>'Revenues 9-14'!E5</f>
        <v>98570</v>
      </c>
      <c r="C6" s="585">
        <v>40520</v>
      </c>
      <c r="D6" s="1753">
        <f t="shared" si="0"/>
        <v>58050</v>
      </c>
      <c r="E6" s="585">
        <v>115587</v>
      </c>
      <c r="F6" s="1753">
        <f t="shared" ref="F6:F18" si="1">E6-C6</f>
        <v>75067</v>
      </c>
    </row>
    <row r="7" spans="1:6" ht="13.7" customHeight="1" x14ac:dyDescent="0.2">
      <c r="A7" s="715" t="s">
        <v>155</v>
      </c>
      <c r="B7" s="1750">
        <f>'Revenues 9-14'!F5</f>
        <v>25315</v>
      </c>
      <c r="C7" s="585">
        <v>10979</v>
      </c>
      <c r="D7" s="1753">
        <f t="shared" si="0"/>
        <v>14336</v>
      </c>
      <c r="E7" s="585">
        <v>31320</v>
      </c>
      <c r="F7" s="1753">
        <f t="shared" si="1"/>
        <v>20341</v>
      </c>
    </row>
    <row r="8" spans="1:6" ht="13.7" customHeight="1" x14ac:dyDescent="0.2">
      <c r="A8" s="715" t="s">
        <v>1179</v>
      </c>
      <c r="B8" s="1750">
        <f>'Revenues 9-14'!G5</f>
        <v>6957</v>
      </c>
      <c r="C8" s="585">
        <v>4557</v>
      </c>
      <c r="D8" s="1753">
        <f t="shared" si="0"/>
        <v>2400</v>
      </c>
      <c r="E8" s="585">
        <v>13000</v>
      </c>
      <c r="F8" s="1753">
        <f t="shared" si="1"/>
        <v>8443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10548</v>
      </c>
      <c r="C10" s="585">
        <v>4575</v>
      </c>
      <c r="D10" s="1753">
        <f t="shared" si="0"/>
        <v>5973</v>
      </c>
      <c r="E10" s="585">
        <v>13050</v>
      </c>
      <c r="F10" s="1753">
        <f t="shared" si="1"/>
        <v>8475</v>
      </c>
    </row>
    <row r="11" spans="1:6" x14ac:dyDescent="0.2">
      <c r="A11" s="715" t="s">
        <v>409</v>
      </c>
      <c r="B11" s="1750">
        <f>'Revenues 9-14'!J5</f>
        <v>92990</v>
      </c>
      <c r="C11" s="585">
        <v>37196</v>
      </c>
      <c r="D11" s="1753">
        <f t="shared" si="0"/>
        <v>55794</v>
      </c>
      <c r="E11" s="585">
        <v>106106</v>
      </c>
      <c r="F11" s="1753">
        <f t="shared" si="1"/>
        <v>68910</v>
      </c>
    </row>
    <row r="12" spans="1:6" ht="13.7" customHeight="1" x14ac:dyDescent="0.2">
      <c r="A12" s="715" t="s">
        <v>157</v>
      </c>
      <c r="B12" s="1750">
        <f>'Revenues 9-14'!K5</f>
        <v>10548</v>
      </c>
      <c r="C12" s="585">
        <v>4575</v>
      </c>
      <c r="D12" s="1753">
        <f t="shared" si="0"/>
        <v>5973</v>
      </c>
      <c r="E12" s="585">
        <v>13050</v>
      </c>
      <c r="F12" s="1753">
        <f t="shared" si="1"/>
        <v>8475</v>
      </c>
    </row>
    <row r="13" spans="1:6" ht="13.7" customHeight="1" x14ac:dyDescent="0.2">
      <c r="A13" s="715" t="s">
        <v>936</v>
      </c>
      <c r="B13" s="1750">
        <f>SUM('Revenues 9-14'!C6:D6)</f>
        <v>5774</v>
      </c>
      <c r="C13" s="585">
        <v>4575</v>
      </c>
      <c r="D13" s="1753">
        <f t="shared" si="0"/>
        <v>1199</v>
      </c>
      <c r="E13" s="585">
        <v>13050</v>
      </c>
      <c r="F13" s="1753">
        <f t="shared" si="1"/>
        <v>8475</v>
      </c>
    </row>
    <row r="14" spans="1:6" ht="13.7" customHeight="1" x14ac:dyDescent="0.2">
      <c r="A14" s="715" t="s">
        <v>410</v>
      </c>
      <c r="B14" s="1750">
        <f>SUM('Revenues 9-14'!C7:D7,'Revenues 9-14'!F7:H7)</f>
        <v>4219</v>
      </c>
      <c r="C14" s="585">
        <v>1830</v>
      </c>
      <c r="D14" s="1753">
        <f t="shared" si="0"/>
        <v>2389</v>
      </c>
      <c r="E14" s="585">
        <v>5220</v>
      </c>
      <c r="F14" s="1753">
        <f t="shared" si="1"/>
        <v>3390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16610</v>
      </c>
      <c r="C16" s="585">
        <v>7011</v>
      </c>
      <c r="D16" s="1753">
        <f t="shared" si="0"/>
        <v>9599</v>
      </c>
      <c r="E16" s="585">
        <v>20000</v>
      </c>
      <c r="F16" s="1753">
        <f t="shared" si="1"/>
        <v>12989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969779</v>
      </c>
      <c r="C19" s="1751">
        <f>SUM(C4:C18)</f>
        <v>418664</v>
      </c>
      <c r="D19" s="1751">
        <f>SUM(D4:D18)</f>
        <v>551115</v>
      </c>
      <c r="E19" s="1751">
        <f>SUM(E4:E18)</f>
        <v>1194293</v>
      </c>
      <c r="F19" s="1751">
        <f>SUM(F4:F18)</f>
        <v>775629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80" zoomScaleNormal="8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4" t="s">
        <v>1956</v>
      </c>
      <c r="D2" s="723" t="s">
        <v>1957</v>
      </c>
      <c r="E2" s="723" t="s">
        <v>1958</v>
      </c>
      <c r="F2" s="1884" t="s">
        <v>1959</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40725</v>
      </c>
      <c r="C31" s="734">
        <v>878588</v>
      </c>
      <c r="D31" s="735">
        <v>2</v>
      </c>
      <c r="E31" s="734">
        <v>480362</v>
      </c>
      <c r="F31" s="734"/>
      <c r="G31" s="734"/>
      <c r="H31" s="734">
        <v>246022</v>
      </c>
      <c r="I31" s="1756">
        <f>((E31+F31)-H31)+G31</f>
        <v>234340</v>
      </c>
      <c r="J31" s="734">
        <f>+I31-41384</f>
        <v>192956</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878588</v>
      </c>
      <c r="D49" s="745"/>
      <c r="E49" s="1756">
        <f t="shared" ref="E49:J49" si="2">SUM(E31:E48)</f>
        <v>480362</v>
      </c>
      <c r="F49" s="1756">
        <f t="shared" si="2"/>
        <v>0</v>
      </c>
      <c r="G49" s="1756">
        <f t="shared" si="2"/>
        <v>0</v>
      </c>
      <c r="H49" s="1756">
        <f t="shared" si="2"/>
        <v>246022</v>
      </c>
      <c r="I49" s="1756">
        <f t="shared" si="2"/>
        <v>234340</v>
      </c>
      <c r="J49" s="1756">
        <f t="shared" si="2"/>
        <v>192956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80" zoomScaleNormal="80" workbookViewId="0">
      <selection activeCell="U49" sqref="U49:U5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1964</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4219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4219</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4219</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4219</v>
      </c>
      <c r="I23" s="1758">
        <f>SUM(I14:I16,I21,I22)</f>
        <v>0</v>
      </c>
      <c r="J23" s="1758">
        <f>SUM(J14:J16,J21,J22)</f>
        <v>0</v>
      </c>
      <c r="K23" s="1758">
        <f>SUM(K14:K16,K21,K22)</f>
        <v>0</v>
      </c>
    </row>
    <row r="24" spans="1:11" ht="14.25" thickTop="1" thickBot="1" x14ac:dyDescent="0.25">
      <c r="A24" s="2234" t="s">
        <v>1965</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85" zoomScaleNormal="85" workbookViewId="0">
      <selection activeCell="L12" sqref="L12:L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2500</v>
      </c>
      <c r="D5" s="841"/>
      <c r="E5" s="841"/>
      <c r="F5" s="1760">
        <f>(C5+D5)-E5</f>
        <v>2500</v>
      </c>
      <c r="G5" s="837"/>
      <c r="H5" s="842"/>
      <c r="I5" s="842"/>
      <c r="J5" s="842"/>
      <c r="K5" s="793"/>
      <c r="L5" s="1769">
        <f>F5-K5</f>
        <v>2500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2264180</v>
      </c>
      <c r="D8" s="844"/>
      <c r="E8" s="844"/>
      <c r="F8" s="1760">
        <f>(C8+D8)-E8</f>
        <v>2264180</v>
      </c>
      <c r="G8" s="843">
        <v>50</v>
      </c>
      <c r="H8" s="765">
        <v>702833</v>
      </c>
      <c r="I8" s="765">
        <v>37972</v>
      </c>
      <c r="J8" s="765"/>
      <c r="K8" s="1769">
        <f>(H8+I8)-J8</f>
        <v>740805</v>
      </c>
      <c r="L8" s="1769">
        <f>F8-K8</f>
        <v>1523375</v>
      </c>
    </row>
    <row r="9" spans="1:14" ht="14.25" thickTop="1" thickBot="1" x14ac:dyDescent="0.25">
      <c r="A9" s="778" t="s">
        <v>1119</v>
      </c>
      <c r="B9" s="840">
        <v>232</v>
      </c>
      <c r="C9" s="765">
        <v>0</v>
      </c>
      <c r="D9" s="765"/>
      <c r="E9" s="765"/>
      <c r="F9" s="1760">
        <f>(C9+D9)-E9</f>
        <v>0</v>
      </c>
      <c r="G9" s="843">
        <v>20</v>
      </c>
      <c r="H9" s="765"/>
      <c r="I9" s="765"/>
      <c r="J9" s="765"/>
      <c r="K9" s="1769">
        <f>(H9+I9)-J9</f>
        <v>0</v>
      </c>
      <c r="L9" s="1769">
        <f>F9-K9</f>
        <v>0</v>
      </c>
    </row>
    <row r="10" spans="1:14" ht="24" thickTop="1" thickBot="1" x14ac:dyDescent="0.25">
      <c r="A10" s="845" t="s">
        <v>1120</v>
      </c>
      <c r="B10" s="840">
        <v>240</v>
      </c>
      <c r="C10" s="846">
        <v>209832</v>
      </c>
      <c r="D10" s="846"/>
      <c r="E10" s="846"/>
      <c r="F10" s="1764">
        <f>(C10+D10)-E10</f>
        <v>209832</v>
      </c>
      <c r="G10" s="843">
        <v>20</v>
      </c>
      <c r="H10" s="847">
        <v>91204</v>
      </c>
      <c r="I10" s="847">
        <v>10492</v>
      </c>
      <c r="J10" s="847"/>
      <c r="K10" s="1769">
        <f>(H10+I10)-J10</f>
        <v>101696</v>
      </c>
      <c r="L10" s="1769">
        <f>F10-K10</f>
        <v>108136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160595</v>
      </c>
      <c r="D12" s="844">
        <v>8204</v>
      </c>
      <c r="E12" s="844"/>
      <c r="F12" s="1760">
        <f>(C12+D12)-E12</f>
        <v>168799</v>
      </c>
      <c r="G12" s="843">
        <v>10</v>
      </c>
      <c r="H12" s="765">
        <v>116018</v>
      </c>
      <c r="I12" s="765">
        <f>130166-H12</f>
        <v>14148</v>
      </c>
      <c r="J12" s="765"/>
      <c r="K12" s="1769">
        <f>(H12+I12)-J12</f>
        <v>130166</v>
      </c>
      <c r="L12" s="1769">
        <f>F12-K12</f>
        <v>38633</v>
      </c>
    </row>
    <row r="13" spans="1:14" ht="14.25" thickTop="1" thickBot="1" x14ac:dyDescent="0.25">
      <c r="A13" s="848" t="s">
        <v>1122</v>
      </c>
      <c r="B13" s="840">
        <v>252</v>
      </c>
      <c r="C13" s="844">
        <v>253767</v>
      </c>
      <c r="D13" s="844"/>
      <c r="E13" s="844">
        <v>950</v>
      </c>
      <c r="F13" s="1760">
        <f>(C13+D13)-E13</f>
        <v>252817</v>
      </c>
      <c r="G13" s="843">
        <v>5</v>
      </c>
      <c r="H13" s="765">
        <v>191282</v>
      </c>
      <c r="I13" s="765">
        <f>217688-190332</f>
        <v>27356</v>
      </c>
      <c r="J13" s="765">
        <v>950</v>
      </c>
      <c r="K13" s="1769">
        <f>(H13+I13)-J13</f>
        <v>217688</v>
      </c>
      <c r="L13" s="1769">
        <f>F13-K13</f>
        <v>35129</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2890874</v>
      </c>
      <c r="D16" s="1760">
        <f>SUM(D3,D5:D6,D8:D10,D12:D15)</f>
        <v>8204</v>
      </c>
      <c r="E16" s="1760">
        <f>SUM(E3,E5:E6,E8:E10,E12:E15)</f>
        <v>950</v>
      </c>
      <c r="F16" s="1760">
        <f>SUM(F3,F5:F6,F8:F10,F12:F15)</f>
        <v>2898128</v>
      </c>
      <c r="G16" s="843"/>
      <c r="H16" s="1760">
        <f>SUM(H3,H6,H8:H10,H12:H14,)</f>
        <v>1101337</v>
      </c>
      <c r="I16" s="1760">
        <f>SUM(I3,I6,I8:I10,I12:I14,)</f>
        <v>89968</v>
      </c>
      <c r="J16" s="1760">
        <f>SUM(J3,J6,J8:J10,J12:J14,)</f>
        <v>950</v>
      </c>
      <c r="K16" s="1760">
        <f>(H16+I16)-J16</f>
        <v>1190355</v>
      </c>
      <c r="L16" s="1760">
        <f>F16-K16</f>
        <v>1707773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89968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Normal="100" workbookViewId="0">
      <pane ySplit="5" topLeftCell="A160"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958036</v>
      </c>
      <c r="G8" s="865"/>
    </row>
    <row r="9" spans="1:7" x14ac:dyDescent="0.2">
      <c r="A9" s="869" t="s">
        <v>460</v>
      </c>
      <c r="B9" s="870" t="s">
        <v>1877</v>
      </c>
      <c r="C9" s="871"/>
      <c r="D9" s="869" t="s">
        <v>501</v>
      </c>
      <c r="E9" s="868"/>
      <c r="F9" s="1909">
        <f>'Expenditures 15-22'!K151</f>
        <v>88402</v>
      </c>
      <c r="G9" s="872"/>
    </row>
    <row r="10" spans="1:7" x14ac:dyDescent="0.2">
      <c r="A10" s="869" t="s">
        <v>499</v>
      </c>
      <c r="B10" s="870" t="s">
        <v>1878</v>
      </c>
      <c r="C10" s="871"/>
      <c r="D10" s="869" t="s">
        <v>501</v>
      </c>
      <c r="E10" s="868"/>
      <c r="F10" s="1909">
        <f>'Expenditures 15-22'!K174</f>
        <v>270953</v>
      </c>
      <c r="G10" s="872"/>
    </row>
    <row r="11" spans="1:7" x14ac:dyDescent="0.2">
      <c r="A11" s="869" t="s">
        <v>461</v>
      </c>
      <c r="B11" s="870" t="s">
        <v>1879</v>
      </c>
      <c r="C11" s="871"/>
      <c r="D11" s="869" t="s">
        <v>501</v>
      </c>
      <c r="E11" s="868"/>
      <c r="F11" s="1909">
        <f>'Expenditures 15-22'!K210</f>
        <v>75857</v>
      </c>
      <c r="G11" s="872"/>
    </row>
    <row r="12" spans="1:7" x14ac:dyDescent="0.2">
      <c r="A12" s="869" t="s">
        <v>462</v>
      </c>
      <c r="B12" s="870" t="s">
        <v>1880</v>
      </c>
      <c r="C12" s="871"/>
      <c r="D12" s="869" t="s">
        <v>501</v>
      </c>
      <c r="E12" s="868"/>
      <c r="F12" s="1909">
        <f>'Expenditures 15-22'!K295</f>
        <v>27271</v>
      </c>
      <c r="G12" s="872"/>
    </row>
    <row r="13" spans="1:7" x14ac:dyDescent="0.2">
      <c r="A13" s="869" t="s">
        <v>106</v>
      </c>
      <c r="B13" s="870" t="s">
        <v>1881</v>
      </c>
      <c r="C13" s="871"/>
      <c r="D13" s="869" t="s">
        <v>501</v>
      </c>
      <c r="E13" s="868"/>
      <c r="F13" s="1909">
        <f>'Expenditures 15-22'!K342</f>
        <v>153351</v>
      </c>
      <c r="G13" s="873"/>
    </row>
    <row r="14" spans="1:7" ht="12" customHeight="1" thickBot="1" x14ac:dyDescent="0.25">
      <c r="A14" s="1770"/>
      <c r="B14" s="1771"/>
      <c r="C14" s="1772"/>
      <c r="D14" s="1773" t="s">
        <v>501</v>
      </c>
      <c r="E14" s="1774" t="s">
        <v>958</v>
      </c>
      <c r="F14" s="1775">
        <f>SUM(F8:F13)</f>
        <v>1573870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2501</v>
      </c>
      <c r="G52" s="865"/>
    </row>
    <row r="53" spans="1:7" x14ac:dyDescent="0.2">
      <c r="A53" s="869" t="s">
        <v>459</v>
      </c>
      <c r="B53" s="869" t="s">
        <v>1475</v>
      </c>
      <c r="C53" s="889">
        <f>'Expenditures 15-22'!B102</f>
        <v>4000</v>
      </c>
      <c r="D53" s="888" t="str">
        <f>'Expenditures 15-22'!A102</f>
        <v>Total Payments to Other Govt Units</v>
      </c>
      <c r="E53" s="868"/>
      <c r="F53" s="1913">
        <f>'Expenditures 15-22'!K102</f>
        <v>40373</v>
      </c>
      <c r="G53" s="865"/>
    </row>
    <row r="54" spans="1:7" x14ac:dyDescent="0.2">
      <c r="A54" s="869" t="s">
        <v>459</v>
      </c>
      <c r="B54" s="869" t="s">
        <v>1476</v>
      </c>
      <c r="C54" s="889" t="s">
        <v>982</v>
      </c>
      <c r="D54" s="885" t="s">
        <v>1095</v>
      </c>
      <c r="E54" s="868"/>
      <c r="F54" s="1913">
        <f>'Expenditures 15-22'!G114</f>
        <v>14129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2564</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246022</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305589</v>
      </c>
      <c r="G76" s="865"/>
    </row>
    <row r="77" spans="1:8" s="893" customFormat="1" ht="12" customHeight="1" thickTop="1" thickBot="1" x14ac:dyDescent="0.25">
      <c r="A77" s="1779"/>
      <c r="B77" s="1776"/>
      <c r="C77" s="1772"/>
      <c r="D77" s="1777" t="s">
        <v>1900</v>
      </c>
      <c r="E77" s="1774"/>
      <c r="F77" s="1780">
        <f>(F14-F76)</f>
        <v>1268281</v>
      </c>
      <c r="G77" s="869"/>
    </row>
    <row r="78" spans="1:8" s="893" customFormat="1" ht="12" customHeight="1" thickTop="1" x14ac:dyDescent="0.2">
      <c r="A78" s="1781"/>
      <c r="B78" s="1776"/>
      <c r="C78" s="1772"/>
      <c r="D78" s="1777" t="s">
        <v>2062</v>
      </c>
      <c r="E78" s="1774"/>
      <c r="F78" s="898">
        <v>83.06</v>
      </c>
      <c r="G78" s="899"/>
      <c r="H78" s="869"/>
    </row>
    <row r="79" spans="1:8" s="893" customFormat="1" ht="12" customHeight="1" thickBot="1" x14ac:dyDescent="0.25">
      <c r="A79" s="1782"/>
      <c r="B79" s="1776"/>
      <c r="C79" s="1772"/>
      <c r="D79" s="1777" t="s">
        <v>1901</v>
      </c>
      <c r="E79" s="1774" t="s">
        <v>958</v>
      </c>
      <c r="F79" s="1783">
        <f>IF(F78&gt;0,F77/F78," Complete Line 78")</f>
        <v>15269.455815073441</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12748</v>
      </c>
      <c r="G94" s="912"/>
    </row>
    <row r="95" spans="1:7" x14ac:dyDescent="0.2">
      <c r="A95" s="908" t="s">
        <v>140</v>
      </c>
      <c r="B95" s="908" t="s">
        <v>175</v>
      </c>
      <c r="C95" s="910">
        <v>1700</v>
      </c>
      <c r="D95" s="918" t="str">
        <f>'Revenues 9-14'!A82</f>
        <v>Total District/School Activity Income</v>
      </c>
      <c r="E95" s="906"/>
      <c r="F95" s="1789">
        <f>SUM('Revenues 9-14'!C82,'Revenues 9-14'!D82)</f>
        <v>3650</v>
      </c>
      <c r="G95" s="912"/>
    </row>
    <row r="96" spans="1:7" x14ac:dyDescent="0.2">
      <c r="A96" s="908" t="s">
        <v>459</v>
      </c>
      <c r="B96" s="908" t="s">
        <v>176</v>
      </c>
      <c r="C96" s="910">
        <f>'Revenues 9-14'!B84</f>
        <v>1811</v>
      </c>
      <c r="D96" s="911" t="str">
        <f>'Revenues 9-14'!A84</f>
        <v>Rentals - Regular Textbooks</v>
      </c>
      <c r="E96" s="906"/>
      <c r="F96" s="1789">
        <f>'Revenues 9-14'!C84</f>
        <v>3988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16710</v>
      </c>
      <c r="G103" s="912"/>
    </row>
    <row r="104" spans="1:7" x14ac:dyDescent="0.2">
      <c r="A104" s="908" t="s">
        <v>459</v>
      </c>
      <c r="B104" s="908" t="s">
        <v>808</v>
      </c>
      <c r="C104" s="910">
        <f>'Revenues 9-14'!B106</f>
        <v>1993</v>
      </c>
      <c r="D104" s="911" t="str">
        <f>'Revenues 9-14'!A106</f>
        <v>Other Local Fees (Describe &amp; Itemize)</v>
      </c>
      <c r="E104" s="906"/>
      <c r="F104" s="1789">
        <f>('Revenues 9-14'!C106)</f>
        <v>3061</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232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72628</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31520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1376</v>
      </c>
      <c r="G124" s="930"/>
    </row>
    <row r="125" spans="1:7" x14ac:dyDescent="0.2">
      <c r="A125" s="927" t="s">
        <v>664</v>
      </c>
      <c r="B125" s="927" t="s">
        <v>2023</v>
      </c>
      <c r="C125" s="932">
        <v>4200</v>
      </c>
      <c r="D125" s="929" t="str">
        <f>'Revenues 9-14'!A198</f>
        <v>Total Food Service</v>
      </c>
      <c r="E125" s="906"/>
      <c r="F125" s="1789">
        <f>SUM('Revenues 9-14'!C198,'Revenues 9-14'!G198)</f>
        <v>17410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47881</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8814</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4691</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3771</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5394</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16025.78</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250649.78</v>
      </c>
    </row>
    <row r="175" spans="1:7" ht="12" customHeight="1" x14ac:dyDescent="0.2">
      <c r="A175" s="1770"/>
      <c r="B175" s="1784"/>
      <c r="C175" s="1785"/>
      <c r="D175" s="1786" t="s">
        <v>2057</v>
      </c>
      <c r="E175" s="1787"/>
      <c r="F175" s="1789">
        <f>'PCTC-OEPP 27-28'!F77-F174</f>
        <v>1017631.22</v>
      </c>
    </row>
    <row r="176" spans="1:7" ht="12" customHeight="1" x14ac:dyDescent="0.2">
      <c r="A176" s="1770"/>
      <c r="B176" s="1784"/>
      <c r="C176" s="1785"/>
      <c r="D176" s="1786" t="s">
        <v>1817</v>
      </c>
      <c r="E176" s="1787"/>
      <c r="F176" s="1789">
        <f>'Cap Outlay Deprec 26'!I18</f>
        <v>89968</v>
      </c>
    </row>
    <row r="177" spans="1:7" ht="12" customHeight="1" x14ac:dyDescent="0.2">
      <c r="A177" s="1770"/>
      <c r="B177" s="1784"/>
      <c r="C177" s="1785"/>
      <c r="D177" s="1786" t="s">
        <v>2058</v>
      </c>
      <c r="E177" s="1787"/>
      <c r="F177" s="1789">
        <f>F175+F176</f>
        <v>1107599.22</v>
      </c>
    </row>
    <row r="178" spans="1:7" ht="12" customHeight="1" x14ac:dyDescent="0.2">
      <c r="A178" s="1770"/>
      <c r="B178" s="1790"/>
      <c r="C178" s="1785"/>
      <c r="D178" s="1786" t="str">
        <f>D78</f>
        <v>9 Month ADA from District Average Daily Attendance/Prior General State Aid Inquiry 2018-2019</v>
      </c>
      <c r="E178" s="1787"/>
      <c r="F178" s="1791">
        <f>'PCTC-OEPP 27-28'!F78</f>
        <v>83.06</v>
      </c>
      <c r="G178" s="930"/>
    </row>
    <row r="179" spans="1:7" ht="12" customHeight="1" thickBot="1" x14ac:dyDescent="0.25">
      <c r="A179" s="1770"/>
      <c r="B179" s="1790"/>
      <c r="C179" s="1785"/>
      <c r="D179" s="1786" t="s">
        <v>2059</v>
      </c>
      <c r="E179" s="1787" t="s">
        <v>1545</v>
      </c>
      <c r="F179" s="1792">
        <f>F177/F178</f>
        <v>13334.929207801588</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C113" sqref="C11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1938" t="s">
        <v>2082</v>
      </c>
      <c r="C17" s="1939" t="s">
        <v>2083</v>
      </c>
      <c r="D17" s="1844">
        <v>13585</v>
      </c>
      <c r="E17" s="1540">
        <f t="shared" ref="E17:E141" si="0">IF(D17&lt;=25000,D17,IF(D17&gt;25000,25000,0))</f>
        <v>13585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13585</v>
      </c>
      <c r="E141" s="1541">
        <f t="shared" si="0"/>
        <v>13585</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85" zoomScaleNormal="85" workbookViewId="0">
      <selection activeCell="E39" sqref="E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6" t="s">
        <v>1977</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656872</v>
      </c>
      <c r="F19" s="1799"/>
      <c r="G19" s="1801">
        <f>'Expenditures 15-22'!K33-SUM('Expenditures 15-22'!G33,'Expenditures 15-22'!I33)+'Expenditures 15-22'!D229</f>
        <v>656872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22065</v>
      </c>
      <c r="F21" s="1802"/>
      <c r="G21" s="1805">
        <f>'Expenditures 15-22'!K42-SUM('Expenditures 15-22'!G42,'Expenditures 15-22'!I42)+'Expenditures 15-22'!K120-SUM('Expenditures 15-22'!G120,'Expenditures 15-22'!I120)+'Expenditures 15-22'!K180-SUM('Expenditures 15-22'!G180,'Expenditures 15-22'!I180)+'Expenditures 15-22'!D238</f>
        <v>22065</v>
      </c>
      <c r="H21" s="987"/>
      <c r="I21" s="162"/>
    </row>
    <row r="22" spans="1:9" s="668" customFormat="1" ht="12" customHeight="1" x14ac:dyDescent="0.2">
      <c r="A22" s="994" t="s">
        <v>564</v>
      </c>
      <c r="B22" s="995"/>
      <c r="C22" s="993">
        <v>2200</v>
      </c>
      <c r="D22" s="1802"/>
      <c r="E22" s="1804">
        <f>'Expenditures 15-22'!K47-SUM('Expenditures 15-22'!G47,'Expenditures 15-22'!I47)+'Expenditures 15-22'!D243</f>
        <v>34659</v>
      </c>
      <c r="F22" s="1802"/>
      <c r="G22" s="1805">
        <f>'Expenditures 15-22'!K47-SUM('Expenditures 15-22'!G47,'Expenditures 15-22'!I47)+'Expenditures 15-22'!D243</f>
        <v>34659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250339</v>
      </c>
      <c r="F23" s="1802"/>
      <c r="G23" s="1804">
        <f>'Expenditures 15-22'!K53-SUM('Expenditures 15-22'!G53,'Expenditures 15-22'!I53)+'Expenditures 15-22'!D257+'Expenditures 15-22'!K330-SUM('Expenditures 15-22'!G330,'Expenditures 15-22'!I330)</f>
        <v>250339</v>
      </c>
      <c r="H23" s="987"/>
      <c r="I23" s="162"/>
    </row>
    <row r="24" spans="1:9" s="668" customFormat="1" ht="12" customHeight="1" x14ac:dyDescent="0.2">
      <c r="A24" s="994" t="s">
        <v>566</v>
      </c>
      <c r="B24" s="995"/>
      <c r="C24" s="993">
        <v>2400</v>
      </c>
      <c r="D24" s="1802"/>
      <c r="E24" s="1804">
        <f>'Expenditures 15-22'!K57-SUM('Expenditures 15-22'!G57,'Expenditures 15-22'!I57)+'Expenditures 15-22'!D261</f>
        <v>3318</v>
      </c>
      <c r="F24" s="1802"/>
      <c r="G24" s="1805">
        <f>'Expenditures 15-22'!K57-SUM('Expenditures 15-22'!G57,'Expenditures 15-22'!I57)+'Expenditures 15-22'!D261</f>
        <v>3318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67592</v>
      </c>
      <c r="E27" s="1804">
        <f>E8</f>
        <v>0</v>
      </c>
      <c r="F27" s="1804">
        <f>'Expenditures 15-22'!K60-SUM('Expenditures 15-22'!G60,'Expenditures 15-22'!I60)+'Expenditures 15-22'!D264-E8</f>
        <v>67592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92446</v>
      </c>
      <c r="F28" s="1806">
        <f>'Expenditures 15-22'!K61-SUM('Expenditures 15-22'!G61,'Expenditures 15-22'!I61)+'Expenditures 15-22'!K124-SUM('Expenditures 15-22'!G124,'Expenditures 15-22'!I124)+'Expenditures 15-22'!D266-E9</f>
        <v>92446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77872</v>
      </c>
      <c r="F29" s="1802"/>
      <c r="G29" s="1805">
        <f>'Expenditures 15-22'!K62-SUM('Expenditures 15-22'!G62,'Expenditures 15-22'!I62)+'Expenditures 15-22'!K125-SUM('Expenditures 15-22'!G125,'Expenditures 15-22'!I125)+'Expenditures 15-22'!K182-SUM('Expenditures 15-22'!G182,'Expenditures 15-22'!I182)+'Expenditures 15-22'!D267</f>
        <v>77872</v>
      </c>
      <c r="H29" s="985"/>
    </row>
    <row r="30" spans="1:9" ht="12" customHeight="1" x14ac:dyDescent="0.2">
      <c r="A30" s="994" t="s">
        <v>100</v>
      </c>
      <c r="B30" s="997"/>
      <c r="C30" s="993">
        <v>2560</v>
      </c>
      <c r="D30" s="1802"/>
      <c r="E30" s="1804">
        <f>'Expenditures 15-22'!K63-SUM('Expenditures 15-22'!G63,'Expenditures 15-22'!I63)+'Expenditures 15-22'!D268-E10</f>
        <v>31952</v>
      </c>
      <c r="F30" s="1802"/>
      <c r="G30" s="1804">
        <f>'Expenditures 15-22'!K63-SUM('Expenditures 15-22'!G63,'Expenditures 15-22'!I63)+'Expenditures 15-22'!D268-E10</f>
        <v>31952</v>
      </c>
    </row>
    <row r="31" spans="1:9" ht="12" customHeight="1" x14ac:dyDescent="0.2">
      <c r="A31" s="994" t="s">
        <v>101</v>
      </c>
      <c r="B31" s="997"/>
      <c r="C31" s="993">
        <v>2570</v>
      </c>
      <c r="D31" s="1804">
        <f>'Expenditures 15-22'!K64-SUM('Expenditures 15-22'!G64,'Expenditures 15-22'!I64)+'Expenditures 15-22'!D269-E12</f>
        <v>2579</v>
      </c>
      <c r="E31" s="1804">
        <f>E12</f>
        <v>0</v>
      </c>
      <c r="F31" s="1804">
        <f>'Expenditures 15-22'!K64-SUM('Expenditures 15-22'!G64,'Expenditures 15-22'!I64)+'Expenditures 15-22'!D269-E12</f>
        <v>2579</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3656</v>
      </c>
      <c r="E37" s="1804">
        <f>E14</f>
        <v>0</v>
      </c>
      <c r="F37" s="1804">
        <f>'Expenditures 15-22'!K71-SUM('Expenditures 15-22'!G71,'Expenditures 15-22'!I71)+'Expenditures 15-22'!D276-E14</f>
        <v>3656</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2501</v>
      </c>
      <c r="F39" s="1802"/>
      <c r="G39" s="1804">
        <f>'Expenditures 15-22'!K75-SUM('Expenditures 15-22'!G75,'Expenditures 15-22'!I75)+'Expenditures 15-22'!K130-SUM('Expenditures 15-22'!G130,'Expenditures 15-22'!I130)+'Expenditures 15-22'!K185-SUM('Expenditures 15-22'!G185,'Expenditures 15-22'!I185)+'Expenditures 15-22'!D280</f>
        <v>2501</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73827</v>
      </c>
      <c r="E41" s="1806">
        <f>SUM(E19:E40)</f>
        <v>1172024</v>
      </c>
      <c r="F41" s="1806">
        <f>SUM(F19:F39)</f>
        <v>166273</v>
      </c>
      <c r="G41" s="1806">
        <f>SUM(G19:G40)</f>
        <v>1079578</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73827</v>
      </c>
      <c r="F43" s="1807" t="s">
        <v>473</v>
      </c>
      <c r="G43" s="1808">
        <f>F41</f>
        <v>166273</v>
      </c>
    </row>
    <row r="44" spans="1:7" ht="12" customHeight="1" x14ac:dyDescent="0.2">
      <c r="A44" s="987"/>
      <c r="B44" s="162"/>
      <c r="C44" s="1001"/>
      <c r="D44" s="1807" t="s">
        <v>474</v>
      </c>
      <c r="E44" s="1808">
        <f>E41</f>
        <v>1172024</v>
      </c>
      <c r="F44" s="1807" t="s">
        <v>474</v>
      </c>
      <c r="G44" s="1808">
        <f>G41</f>
        <v>1079578</v>
      </c>
    </row>
    <row r="45" spans="1:7" ht="12" customHeight="1" x14ac:dyDescent="0.2">
      <c r="A45" s="987"/>
      <c r="B45" s="162"/>
      <c r="C45" s="162"/>
      <c r="D45" s="1809" t="s">
        <v>1006</v>
      </c>
      <c r="E45" s="1810">
        <f>(E43/E44)</f>
        <v>6.2991030900391112E-2</v>
      </c>
      <c r="F45" s="1809" t="s">
        <v>1006</v>
      </c>
      <c r="G45" s="1810">
        <f>(G43/G44)</f>
        <v>0.15401666206610359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23" activePane="bottomLeft" state="frozen"/>
      <selection activeCell="A47" sqref="A47"/>
      <selection pane="bottomLeft" activeCell="F27" sqref="F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Kings Cons SD 144</v>
      </c>
      <c r="D6" s="2296"/>
      <c r="E6" s="2296"/>
      <c r="F6" s="1852"/>
    </row>
    <row r="7" spans="1:10" ht="11.25" customHeight="1" thickBot="1" x14ac:dyDescent="0.3">
      <c r="A7" s="1850"/>
      <c r="B7" s="1851"/>
      <c r="C7" s="2297">
        <f>COVER!A13</f>
        <v>47071144003</v>
      </c>
      <c r="D7" s="2297"/>
      <c r="E7" s="229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c r="F14" s="1867" t="s">
        <v>2084</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c r="F19" s="1867" t="s">
        <v>2085</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2064</v>
      </c>
      <c r="D25" s="1865" t="s">
        <v>2064</v>
      </c>
      <c r="E25" s="1868"/>
      <c r="F25" s="1867" t="s">
        <v>2086</v>
      </c>
      <c r="H25" s="1878">
        <f t="shared" si="0"/>
        <v>5</v>
      </c>
      <c r="I25" s="1878">
        <f t="shared" si="1"/>
        <v>5</v>
      </c>
      <c r="J25" s="1878">
        <f t="shared" si="2"/>
        <v>0</v>
      </c>
    </row>
    <row r="26" spans="1:12" ht="12" customHeight="1" x14ac:dyDescent="0.2">
      <c r="A26" s="1863" t="s">
        <v>1534</v>
      </c>
      <c r="B26" s="1864"/>
      <c r="C26" s="1865" t="s">
        <v>2064</v>
      </c>
      <c r="D26" s="1865" t="s">
        <v>2064</v>
      </c>
      <c r="E26" s="1868"/>
      <c r="F26" s="1867" t="s">
        <v>2087</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80" zoomScaleNormal="8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Kings Cons SD 144</v>
      </c>
      <c r="J6" s="2317"/>
      <c r="Q6" s="1664"/>
    </row>
    <row r="7" spans="1:17" x14ac:dyDescent="0.2">
      <c r="A7" s="2318" t="s">
        <v>869</v>
      </c>
      <c r="B7" s="2319"/>
      <c r="C7" s="2319"/>
      <c r="D7" s="2319"/>
      <c r="E7" s="2320"/>
      <c r="F7" s="1017"/>
      <c r="G7" s="1009"/>
      <c r="H7" s="1016" t="s">
        <v>372</v>
      </c>
      <c r="I7" s="2321">
        <f>COVER!A13</f>
        <v>47071144003</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70114</v>
      </c>
      <c r="F12" s="1039"/>
      <c r="G12" s="1811">
        <f t="shared" ref="G12:G18" si="0">SUM(E12:F12)</f>
        <v>70114</v>
      </c>
      <c r="H12" s="1040">
        <v>69020</v>
      </c>
      <c r="I12" s="1039"/>
      <c r="J12" s="1811">
        <f t="shared" ref="J12:J18" si="1">SUM(H12:I12)</f>
        <v>69020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2579</v>
      </c>
      <c r="F16" s="1039"/>
      <c r="G16" s="1811">
        <f t="shared" si="0"/>
        <v>2579</v>
      </c>
      <c r="H16" s="1040">
        <v>6600</v>
      </c>
      <c r="I16" s="1039"/>
      <c r="J16" s="1811">
        <f t="shared" si="1"/>
        <v>6600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72693</v>
      </c>
      <c r="F19" s="1813">
        <f t="shared" si="2"/>
        <v>0</v>
      </c>
      <c r="G19" s="1813">
        <f t="shared" si="2"/>
        <v>72693</v>
      </c>
      <c r="H19" s="1813">
        <f t="shared" si="2"/>
        <v>75620</v>
      </c>
      <c r="I19" s="1813">
        <f t="shared" si="2"/>
        <v>0</v>
      </c>
      <c r="J19" s="1813">
        <f t="shared" si="2"/>
        <v>75620</v>
      </c>
    </row>
    <row r="20" spans="1:10" ht="13.5" thickTop="1" x14ac:dyDescent="0.2">
      <c r="A20" s="1035">
        <v>9</v>
      </c>
      <c r="B20" s="2328" t="s">
        <v>1981</v>
      </c>
      <c r="C20" s="2328"/>
      <c r="D20" s="2329"/>
      <c r="E20" s="1046"/>
      <c r="F20" s="1046"/>
      <c r="G20" s="1046"/>
      <c r="H20" s="1046"/>
      <c r="I20" s="1046"/>
      <c r="J20" s="1814">
        <f>IF(AND(G19&gt;0,J19&gt;0),(((J19-G19)/G19)),"Enter Budget Data")</f>
        <v>4.0265224987275257E-2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80" zoomScaleNormal="80" workbookViewId="0">
      <selection activeCell="B10" sqref="B10"/>
    </sheetView>
  </sheetViews>
  <sheetFormatPr defaultColWidth="9.140625" defaultRowHeight="12.75" x14ac:dyDescent="0.2"/>
  <cols>
    <col min="1" max="1" width="8.5703125" style="329" customWidth="1"/>
    <col min="2" max="2" width="10.425781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2091</v>
      </c>
    </row>
    <row r="6" spans="1:2" x14ac:dyDescent="0.2">
      <c r="A6" s="1068">
        <v>2</v>
      </c>
      <c r="B6" s="329" t="s">
        <v>2092</v>
      </c>
    </row>
    <row r="7" spans="1:2" x14ac:dyDescent="0.2">
      <c r="A7" s="1068">
        <v>3</v>
      </c>
      <c r="B7" s="329" t="s">
        <v>2093</v>
      </c>
    </row>
    <row r="8" spans="1:2" x14ac:dyDescent="0.2">
      <c r="A8" s="1068">
        <v>4</v>
      </c>
      <c r="B8" s="329" t="s">
        <v>2094</v>
      </c>
    </row>
    <row r="9" spans="1:2" x14ac:dyDescent="0.2">
      <c r="A9" s="1068">
        <v>5</v>
      </c>
      <c r="B9" s="329" t="s">
        <v>2095</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Kings Cons SD 144</v>
      </c>
    </row>
    <row r="65" spans="2:2" x14ac:dyDescent="0.2">
      <c r="B65" s="1070">
        <f>COVER!A13</f>
        <v>47071144003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80" zoomScaleNormal="8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114300</xdr:colOff>
                <xdr:row>1</xdr:row>
                <xdr:rowOff>133350</xdr:rowOff>
              </from>
              <to>
                <xdr:col>1</xdr:col>
                <xdr:colOff>1028700</xdr:colOff>
                <xdr:row>6</xdr:row>
                <xdr:rowOff>9525</xdr:rowOff>
              </to>
            </anchor>
          </objectPr>
        </oleObject>
      </mc:Choice>
      <mc:Fallback>
        <oleObject progId="AcroExch.Document.DC"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419100</xdr:colOff>
                <xdr:row>6</xdr:row>
                <xdr:rowOff>152400</xdr:rowOff>
              </from>
              <to>
                <xdr:col>1</xdr:col>
                <xdr:colOff>1333500</xdr:colOff>
                <xdr:row>11</xdr:row>
                <xdr:rowOff>114300</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80" zoomScaleNormal="8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946421</v>
      </c>
      <c r="C8" s="1815">
        <f>'Acct Summary 7-8'!D8</f>
        <v>86017</v>
      </c>
      <c r="D8" s="1815">
        <f>'Acct Summary 7-8'!F8</f>
        <v>101158</v>
      </c>
      <c r="E8" s="1815">
        <f>'Acct Summary 7-8'!I8</f>
        <v>13171</v>
      </c>
      <c r="F8" s="1815">
        <f>SUM(B8:E8)</f>
        <v>1146767</v>
      </c>
    </row>
    <row r="9" spans="1:8" s="1079" customFormat="1" ht="14.25" customHeight="1" thickBot="1" x14ac:dyDescent="0.25">
      <c r="A9" s="1078" t="s">
        <v>1369</v>
      </c>
      <c r="B9" s="1816">
        <f>'Acct Summary 7-8'!C17</f>
        <v>958036</v>
      </c>
      <c r="C9" s="1816">
        <f>'Acct Summary 7-8'!D17</f>
        <v>88402</v>
      </c>
      <c r="D9" s="1816">
        <f>'Acct Summary 7-8'!F17</f>
        <v>75857</v>
      </c>
      <c r="E9" s="1815"/>
      <c r="F9" s="1815">
        <f>SUM(B9:E9)</f>
        <v>1122295</v>
      </c>
    </row>
    <row r="10" spans="1:8" s="1079" customFormat="1" ht="14.25" thickTop="1" thickBot="1" x14ac:dyDescent="0.25">
      <c r="A10" s="1080" t="s">
        <v>1370</v>
      </c>
      <c r="B10" s="1817">
        <f>(B8-B9)</f>
        <v>-11615</v>
      </c>
      <c r="C10" s="1817">
        <f>(C8-C9)</f>
        <v>-2385</v>
      </c>
      <c r="D10" s="1817">
        <f>(D8-D9)</f>
        <v>25301</v>
      </c>
      <c r="E10" s="1816">
        <f>(E8-E9)</f>
        <v>13171</v>
      </c>
      <c r="F10" s="1818">
        <f>SUM(F8-F9)</f>
        <v>24472</v>
      </c>
    </row>
    <row r="11" spans="1:8" s="1079" customFormat="1" ht="14.25" thickTop="1" thickBot="1" x14ac:dyDescent="0.25">
      <c r="A11" s="1081" t="s">
        <v>1985</v>
      </c>
      <c r="B11" s="1819">
        <f>'Acct Summary 7-8'!C81</f>
        <v>317260</v>
      </c>
      <c r="C11" s="1819">
        <f>'Acct Summary 7-8'!D81</f>
        <v>81267</v>
      </c>
      <c r="D11" s="1819">
        <f>'Acct Summary 7-8'!F81</f>
        <v>243733</v>
      </c>
      <c r="E11" s="1819">
        <f>'Acct Summary 7-8'!I81</f>
        <v>116623</v>
      </c>
      <c r="F11" s="1820">
        <f>SUM(B11:E11)</f>
        <v>758883</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54" sqref="D5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47071144003</v>
      </c>
    </row>
    <row r="3" spans="1:2" x14ac:dyDescent="0.2">
      <c r="A3" t="s">
        <v>956</v>
      </c>
      <c r="B3" s="138" t="str">
        <f>COVER!A15</f>
        <v>OGLE</v>
      </c>
    </row>
    <row r="4" spans="1:2" x14ac:dyDescent="0.2">
      <c r="A4" t="s">
        <v>1007</v>
      </c>
      <c r="B4" s="138" t="str">
        <f>COVER!A17</f>
        <v>Kings Cons SD 144</v>
      </c>
    </row>
    <row r="5" spans="1:2" x14ac:dyDescent="0.2">
      <c r="A5" t="s">
        <v>704</v>
      </c>
      <c r="B5" s="138" t="str">
        <f>COVER!A38</f>
        <v>MATT LAMB</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WILLIAM J.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317260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305756</v>
      </c>
      <c r="D92" s="2" t="str">
        <f t="shared" si="0"/>
        <v>Error?</v>
      </c>
    </row>
    <row r="93" spans="1:4" x14ac:dyDescent="0.2">
      <c r="A93" s="5">
        <v>32</v>
      </c>
      <c r="B93" s="138">
        <f>'Assets-Liab 5-6'!C41</f>
        <v>317260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35000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81267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81267</v>
      </c>
      <c r="D123" s="2" t="str">
        <f t="shared" si="0"/>
        <v>Error?</v>
      </c>
    </row>
    <row r="124" spans="1:4" x14ac:dyDescent="0.2">
      <c r="A124" s="5">
        <v>63</v>
      </c>
      <c r="B124" s="138">
        <f>'Assets-Liab 5-6'!D41</f>
        <v>81267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41384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41384</v>
      </c>
      <c r="D140" s="2" t="str">
        <f t="shared" si="1"/>
        <v>Error?</v>
      </c>
    </row>
    <row r="141" spans="1:4" x14ac:dyDescent="0.2">
      <c r="A141" s="5">
        <v>80</v>
      </c>
      <c r="B141" s="138">
        <f>'Assets-Liab 5-6'!E41</f>
        <v>41384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243733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243733</v>
      </c>
      <c r="D170" s="2" t="str">
        <f t="shared" si="1"/>
        <v>Error?</v>
      </c>
    </row>
    <row r="171" spans="1:4" x14ac:dyDescent="0.2">
      <c r="A171" s="5">
        <v>110</v>
      </c>
      <c r="B171" s="138">
        <f>'Assets-Liab 5-6'!F41</f>
        <v>243733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61184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61184</v>
      </c>
      <c r="D189" s="2" t="str">
        <f t="shared" si="1"/>
        <v>Error?</v>
      </c>
    </row>
    <row r="190" spans="1:4" x14ac:dyDescent="0.2">
      <c r="A190" s="5">
        <v>129</v>
      </c>
      <c r="B190" s="138">
        <f>'Assets-Liab 5-6'!G41</f>
        <v>61184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1209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1209</v>
      </c>
      <c r="D212" s="2" t="str">
        <f t="shared" si="2"/>
        <v>Error?</v>
      </c>
    </row>
    <row r="213" spans="1:4" x14ac:dyDescent="0.2">
      <c r="A213" s="12">
        <v>152</v>
      </c>
      <c r="B213" s="138">
        <f>'Assets-Liab 5-6'!H41</f>
        <v>1209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2500</v>
      </c>
      <c r="D273" s="2" t="str">
        <f t="shared" si="3"/>
        <v>Error?</v>
      </c>
    </row>
    <row r="274" spans="1:4" x14ac:dyDescent="0.2">
      <c r="A274" s="5">
        <v>213</v>
      </c>
      <c r="B274" s="138">
        <f>'Assets-Liab 5-6'!M17</f>
        <v>1523375</v>
      </c>
      <c r="D274" s="2" t="str">
        <f t="shared" si="3"/>
        <v>Error?</v>
      </c>
    </row>
    <row r="275" spans="1:4" x14ac:dyDescent="0.2">
      <c r="A275" s="5">
        <v>214</v>
      </c>
      <c r="B275" s="138">
        <f>'Assets-Liab 5-6'!M18</f>
        <v>108136</v>
      </c>
      <c r="D275" s="2" t="str">
        <f t="shared" si="3"/>
        <v>Error?</v>
      </c>
    </row>
    <row r="276" spans="1:4" x14ac:dyDescent="0.2">
      <c r="A276" s="5">
        <v>215</v>
      </c>
      <c r="B276" s="138">
        <f>'Assets-Liab 5-6'!M19</f>
        <v>73762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1707773</v>
      </c>
      <c r="C279" s="2" t="s">
        <v>573</v>
      </c>
      <c r="D279" s="2" t="str">
        <f t="shared" si="3"/>
        <v>Error?</v>
      </c>
    </row>
    <row r="280" spans="1:4" x14ac:dyDescent="0.2">
      <c r="A280" s="5">
        <v>219</v>
      </c>
      <c r="B280" s="138">
        <f>'Assets-Liab 5-6'!M40</f>
        <v>1707773</v>
      </c>
      <c r="D280" s="2" t="str">
        <f t="shared" si="3"/>
        <v>Error?</v>
      </c>
    </row>
    <row r="281" spans="1:4" x14ac:dyDescent="0.2">
      <c r="A281" s="5">
        <v>220</v>
      </c>
      <c r="B281" s="138">
        <f>'Assets-Liab 5-6'!M41</f>
        <v>1707773</v>
      </c>
      <c r="C281" s="2" t="s">
        <v>573</v>
      </c>
      <c r="D281" s="2" t="str">
        <f t="shared" si="3"/>
        <v>Error?</v>
      </c>
    </row>
    <row r="282" spans="1:4" x14ac:dyDescent="0.2">
      <c r="A282" s="5">
        <v>221</v>
      </c>
      <c r="B282" s="138">
        <f>'Assets-Liab 5-6'!N21</f>
        <v>41384</v>
      </c>
      <c r="D282" s="2" t="str">
        <f t="shared" si="3"/>
        <v>Error?</v>
      </c>
    </row>
    <row r="283" spans="1:4" x14ac:dyDescent="0.2">
      <c r="A283" s="5">
        <v>222</v>
      </c>
      <c r="B283" s="138">
        <f>'Assets-Liab 5-6'!N22</f>
        <v>192956</v>
      </c>
      <c r="D283" s="2" t="str">
        <f t="shared" si="3"/>
        <v>Error?</v>
      </c>
    </row>
    <row r="284" spans="1:4" x14ac:dyDescent="0.2">
      <c r="A284" s="5">
        <v>223</v>
      </c>
      <c r="B284" s="138">
        <f>'Assets-Liab 5-6'!N23</f>
        <v>234340</v>
      </c>
      <c r="C284" s="2" t="s">
        <v>573</v>
      </c>
      <c r="D284" s="2" t="str">
        <f t="shared" si="3"/>
        <v>Error?</v>
      </c>
    </row>
    <row r="285" spans="1:4" x14ac:dyDescent="0.2">
      <c r="A285" s="5">
        <v>224</v>
      </c>
      <c r="B285" s="138">
        <f>'Assets-Liab 5-6'!N36</f>
        <v>234340</v>
      </c>
      <c r="D285" s="2" t="str">
        <f t="shared" si="3"/>
        <v>Error?</v>
      </c>
    </row>
    <row r="286" spans="1:4" x14ac:dyDescent="0.2">
      <c r="A286" s="10">
        <v>225</v>
      </c>
      <c r="D286" s="2" t="str">
        <f t="shared" si="3"/>
        <v>OK</v>
      </c>
    </row>
    <row r="287" spans="1:4" x14ac:dyDescent="0.2">
      <c r="A287" s="5">
        <v>226</v>
      </c>
      <c r="B287" s="138">
        <f>'Assets-Liab 5-6'!N37</f>
        <v>234340</v>
      </c>
      <c r="C287" s="2" t="s">
        <v>573</v>
      </c>
      <c r="D287" s="2" t="str">
        <f t="shared" si="3"/>
        <v>Error?</v>
      </c>
    </row>
    <row r="288" spans="1:4" x14ac:dyDescent="0.2">
      <c r="A288" s="5">
        <v>227</v>
      </c>
      <c r="B288" s="138">
        <f>'Assets-Liab 5-6'!N41</f>
        <v>234340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384414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479978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23108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23108</v>
      </c>
      <c r="C731" s="2" t="s">
        <v>573</v>
      </c>
      <c r="D731" s="2" t="str">
        <f t="shared" si="10"/>
        <v>Error?</v>
      </c>
    </row>
    <row r="732" spans="1:4" x14ac:dyDescent="0.2">
      <c r="A732" s="5">
        <v>671</v>
      </c>
      <c r="B732" s="138">
        <f>'Expenditures 15-22'!C49</f>
        <v>1100</v>
      </c>
      <c r="D732" s="2" t="str">
        <f t="shared" si="10"/>
        <v>Error?</v>
      </c>
    </row>
    <row r="733" spans="1:4" x14ac:dyDescent="0.2">
      <c r="A733" s="5">
        <v>672</v>
      </c>
      <c r="B733" s="138">
        <f>'Expenditures 15-22'!C50</f>
        <v>47600</v>
      </c>
      <c r="D733" s="2" t="str">
        <f t="shared" si="10"/>
        <v>Error?</v>
      </c>
    </row>
    <row r="734" spans="1:4" x14ac:dyDescent="0.2">
      <c r="A734" s="5">
        <v>673</v>
      </c>
      <c r="B734" s="138">
        <f>'Expenditures 15-22'!C53</f>
        <v>48700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38265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15063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53328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3438</v>
      </c>
      <c r="D751" s="2" t="str">
        <f t="shared" si="10"/>
        <v>Error?</v>
      </c>
    </row>
    <row r="752" spans="1:4" x14ac:dyDescent="0.2">
      <c r="A752" s="10">
        <v>691</v>
      </c>
      <c r="D752" s="2" t="str">
        <f t="shared" si="10"/>
        <v>OK</v>
      </c>
    </row>
    <row r="753" spans="1:4" x14ac:dyDescent="0.2">
      <c r="A753" s="5">
        <v>692</v>
      </c>
      <c r="B753" s="138">
        <f>'Expenditures 15-22'!C72</f>
        <v>3438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128574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608552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107028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132696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3397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3397</v>
      </c>
      <c r="C789" s="2" t="s">
        <v>573</v>
      </c>
      <c r="D789" s="2" t="str">
        <f t="shared" si="11"/>
        <v>Error?</v>
      </c>
    </row>
    <row r="790" spans="1:4" x14ac:dyDescent="0.2">
      <c r="A790" s="5">
        <v>729</v>
      </c>
      <c r="B790" s="138">
        <f>'Expenditures 15-22'!D49</f>
        <v>49</v>
      </c>
      <c r="D790" s="2" t="str">
        <f t="shared" si="11"/>
        <v>Error?</v>
      </c>
    </row>
    <row r="791" spans="1:4" x14ac:dyDescent="0.2">
      <c r="A791" s="5">
        <v>730</v>
      </c>
      <c r="B791" s="138">
        <f>'Expenditures 15-22'!D50</f>
        <v>22310</v>
      </c>
      <c r="D791" s="2" t="str">
        <f t="shared" si="11"/>
        <v>Error?</v>
      </c>
    </row>
    <row r="792" spans="1:4" x14ac:dyDescent="0.2">
      <c r="A792" s="5">
        <v>731</v>
      </c>
      <c r="B792" s="138">
        <f>'Expenditures 15-22'!D53</f>
        <v>22359</v>
      </c>
      <c r="C792" s="2" t="s">
        <v>573</v>
      </c>
      <c r="D792" s="2" t="str">
        <f t="shared" si="11"/>
        <v>Error?</v>
      </c>
    </row>
    <row r="793" spans="1:4" x14ac:dyDescent="0.2">
      <c r="A793" s="5">
        <v>732</v>
      </c>
      <c r="B793" s="138">
        <f>'Expenditures 15-22'!D55</f>
        <v>3168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3168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23639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24173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53097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185793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11131</v>
      </c>
      <c r="D833" s="2" t="str">
        <f t="shared" si="12"/>
        <v>Error?</v>
      </c>
    </row>
    <row r="834" spans="1:4" x14ac:dyDescent="0.2">
      <c r="A834" s="5">
        <v>773</v>
      </c>
      <c r="B834" s="138">
        <f>'Expenditures 15-22'!E14</f>
        <v>5650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17271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6300</v>
      </c>
      <c r="D838" s="2" t="str">
        <f t="shared" si="12"/>
        <v>Error?</v>
      </c>
    </row>
    <row r="839" spans="1:4" x14ac:dyDescent="0.2">
      <c r="A839" s="5">
        <v>778</v>
      </c>
      <c r="B839" s="138">
        <f>'Expenditures 15-22'!E38</f>
        <v>311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13585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20196</v>
      </c>
      <c r="C843" s="2" t="s">
        <v>573</v>
      </c>
      <c r="D843" s="2" t="str">
        <f t="shared" si="12"/>
        <v>Error?</v>
      </c>
    </row>
    <row r="844" spans="1:4" x14ac:dyDescent="0.2">
      <c r="A844" s="5">
        <v>783</v>
      </c>
      <c r="B844" s="138">
        <f>'Expenditures 15-22'!E44</f>
        <v>3642</v>
      </c>
      <c r="D844" s="2" t="str">
        <f t="shared" si="12"/>
        <v>Error?</v>
      </c>
    </row>
    <row r="845" spans="1:4" x14ac:dyDescent="0.2">
      <c r="A845" s="5">
        <v>784</v>
      </c>
      <c r="B845" s="138">
        <f>'Expenditures 15-22'!E45</f>
        <v>900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4542</v>
      </c>
      <c r="C847" s="2" t="s">
        <v>573</v>
      </c>
      <c r="D847" s="2" t="str">
        <f t="shared" si="12"/>
        <v>Error?</v>
      </c>
    </row>
    <row r="848" spans="1:4" x14ac:dyDescent="0.2">
      <c r="A848" s="5">
        <v>787</v>
      </c>
      <c r="B848" s="138">
        <f>'Expenditures 15-22'!E49</f>
        <v>7523</v>
      </c>
      <c r="D848" s="2" t="str">
        <f t="shared" si="12"/>
        <v>Error?</v>
      </c>
    </row>
    <row r="849" spans="1:4" x14ac:dyDescent="0.2">
      <c r="A849" s="5">
        <v>788</v>
      </c>
      <c r="B849" s="138">
        <f>'Expenditures 15-22'!E50</f>
        <v>0</v>
      </c>
      <c r="D849" s="2" t="str">
        <f t="shared" si="12"/>
        <v>Error?</v>
      </c>
    </row>
    <row r="850" spans="1:4" x14ac:dyDescent="0.2">
      <c r="A850" s="5">
        <v>789</v>
      </c>
      <c r="B850" s="138">
        <f>'Expenditures 15-22'!E53</f>
        <v>7523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407</v>
      </c>
      <c r="D858" s="2" t="str">
        <f t="shared" si="12"/>
        <v>Error?</v>
      </c>
    </row>
    <row r="859" spans="1:4" x14ac:dyDescent="0.2">
      <c r="A859" s="5">
        <v>798</v>
      </c>
      <c r="B859" s="138">
        <f>'Expenditures 15-22'!E64</f>
        <v>2579</v>
      </c>
      <c r="D859" s="2" t="str">
        <f t="shared" si="12"/>
        <v>Error?</v>
      </c>
    </row>
    <row r="860" spans="1:4" x14ac:dyDescent="0.2">
      <c r="A860" s="10">
        <v>799</v>
      </c>
      <c r="D860" s="2" t="str">
        <f t="shared" si="12"/>
        <v>OK</v>
      </c>
    </row>
    <row r="861" spans="1:4" x14ac:dyDescent="0.2">
      <c r="A861" s="5">
        <v>800</v>
      </c>
      <c r="B861" s="138">
        <f>'Expenditures 15-22'!E65</f>
        <v>2986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35247</v>
      </c>
      <c r="C871" s="2" t="s">
        <v>573</v>
      </c>
      <c r="D871" s="2" t="str">
        <f t="shared" si="12"/>
        <v>Error?</v>
      </c>
    </row>
    <row r="872" spans="1:4" x14ac:dyDescent="0.2">
      <c r="A872" s="5">
        <v>811</v>
      </c>
      <c r="B872" s="138">
        <f>'Expenditures 15-22'!E75</f>
        <v>2471</v>
      </c>
      <c r="D872" s="2" t="str">
        <f t="shared" si="12"/>
        <v>Error?</v>
      </c>
    </row>
    <row r="873" spans="1:4" x14ac:dyDescent="0.2">
      <c r="A873" s="5">
        <v>812</v>
      </c>
      <c r="B873" s="138">
        <f>'Expenditures 15-22'!E114</f>
        <v>95362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14197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3678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18334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1862</v>
      </c>
      <c r="D896" s="2" t="str">
        <f t="shared" si="13"/>
        <v>Error?</v>
      </c>
    </row>
    <row r="897" spans="1:4" x14ac:dyDescent="0.2">
      <c r="A897" s="5">
        <v>836</v>
      </c>
      <c r="B897" s="138">
        <f>'Expenditures 15-22'!F38</f>
        <v>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1869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2518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2518</v>
      </c>
      <c r="C905" s="2" t="s">
        <v>573</v>
      </c>
      <c r="D905" s="2" t="str">
        <f t="shared" si="13"/>
        <v>Error?</v>
      </c>
    </row>
    <row r="906" spans="1:4" x14ac:dyDescent="0.2">
      <c r="A906" s="5">
        <v>845</v>
      </c>
      <c r="B906" s="138">
        <f>'Expenditures 15-22'!F49</f>
        <v>27</v>
      </c>
      <c r="D906" s="2" t="str">
        <f t="shared" si="13"/>
        <v>Error?</v>
      </c>
    </row>
    <row r="907" spans="1:4" x14ac:dyDescent="0.2">
      <c r="A907" s="5">
        <v>846</v>
      </c>
      <c r="B907" s="138">
        <f>'Expenditures 15-22'!F50</f>
        <v>185</v>
      </c>
      <c r="D907" s="2" t="str">
        <f t="shared" si="13"/>
        <v>Error?</v>
      </c>
    </row>
    <row r="908" spans="1:4" x14ac:dyDescent="0.2">
      <c r="A908" s="5">
        <v>847</v>
      </c>
      <c r="B908" s="138">
        <f>'Expenditures 15-22'!F53</f>
        <v>212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12481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12481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17080</v>
      </c>
      <c r="C929" s="2" t="s">
        <v>573</v>
      </c>
      <c r="D929" s="2" t="str">
        <f t="shared" si="13"/>
        <v>Error?</v>
      </c>
    </row>
    <row r="930" spans="1:4" x14ac:dyDescent="0.2">
      <c r="A930" s="5">
        <v>869</v>
      </c>
      <c r="B930" s="138">
        <f>'Expenditures 15-22'!F75</f>
        <v>30</v>
      </c>
      <c r="D930" s="2" t="str">
        <f t="shared" si="13"/>
        <v>Error?</v>
      </c>
    </row>
    <row r="931" spans="1:4" x14ac:dyDescent="0.2">
      <c r="A931" s="5">
        <v>870</v>
      </c>
      <c r="B931" s="138">
        <f>'Expenditures 15-22'!F114</f>
        <v>35444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14129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14129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14129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770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734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734</v>
      </c>
      <c r="C1021" s="2" t="s">
        <v>573</v>
      </c>
      <c r="D1021" s="2" t="str">
        <f t="shared" si="14"/>
        <v>Error?</v>
      </c>
    </row>
    <row r="1022" spans="1:4" x14ac:dyDescent="0.2">
      <c r="A1022" s="5">
        <v>961</v>
      </c>
      <c r="B1022" s="138">
        <f>'Expenditures 15-22'!H49</f>
        <v>16296</v>
      </c>
      <c r="D1022" s="2" t="str">
        <f t="shared" si="14"/>
        <v>Error?</v>
      </c>
    </row>
    <row r="1023" spans="1:4" x14ac:dyDescent="0.2">
      <c r="A1023" s="5">
        <v>962</v>
      </c>
      <c r="B1023" s="138">
        <f>'Expenditures 15-22'!H50</f>
        <v>19</v>
      </c>
      <c r="D1023" s="2" t="str">
        <f t="shared" ref="D1023:D1086" si="15">IF(ISBLANK(B1023),"OK",IF(A1023-B1023=0,"OK","Error?"))</f>
        <v>Error?</v>
      </c>
    </row>
    <row r="1024" spans="1:4" x14ac:dyDescent="0.2">
      <c r="A1024" s="5">
        <v>963</v>
      </c>
      <c r="B1024" s="138">
        <f>'Expenditures 15-22'!H53</f>
        <v>16315</v>
      </c>
      <c r="C1024" s="2" t="s">
        <v>573</v>
      </c>
      <c r="D1024" s="2" t="str">
        <f t="shared" si="15"/>
        <v>Error?</v>
      </c>
    </row>
    <row r="1025" spans="1:4" x14ac:dyDescent="0.2">
      <c r="A1025" s="5">
        <v>964</v>
      </c>
      <c r="B1025" s="138">
        <f>'Expenditures 15-22'!H55</f>
        <v>150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787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787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17986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18756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506899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28938</v>
      </c>
      <c r="C1105" s="2" t="s">
        <v>573</v>
      </c>
      <c r="D1105" s="2" t="str">
        <f t="shared" si="16"/>
        <v>Error?</v>
      </c>
    </row>
    <row r="1106" spans="1:4" x14ac:dyDescent="0.2">
      <c r="A1106" s="5">
        <v>1045</v>
      </c>
      <c r="B1106" s="138">
        <f>'Expenditures 15-22'!K14</f>
        <v>8583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663178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8162</v>
      </c>
      <c r="C1110" s="2" t="s">
        <v>573</v>
      </c>
      <c r="D1110" s="2" t="str">
        <f t="shared" si="16"/>
        <v>Error?</v>
      </c>
    </row>
    <row r="1111" spans="1:4" x14ac:dyDescent="0.2">
      <c r="A1111" s="5">
        <v>1050</v>
      </c>
      <c r="B1111" s="138">
        <f>'Expenditures 15-22'!K38</f>
        <v>318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13585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22065</v>
      </c>
      <c r="C1115" s="2" t="s">
        <v>573</v>
      </c>
      <c r="D1115" s="2" t="str">
        <f t="shared" si="16"/>
        <v>Error?</v>
      </c>
    </row>
    <row r="1116" spans="1:4" x14ac:dyDescent="0.2">
      <c r="A1116" s="5">
        <v>1055</v>
      </c>
      <c r="B1116" s="138">
        <f>'Expenditures 15-22'!K44</f>
        <v>3642</v>
      </c>
      <c r="C1116" s="2" t="s">
        <v>573</v>
      </c>
      <c r="D1116" s="2" t="str">
        <f t="shared" si="16"/>
        <v>Error?</v>
      </c>
    </row>
    <row r="1117" spans="1:4" x14ac:dyDescent="0.2">
      <c r="A1117" s="5">
        <v>1056</v>
      </c>
      <c r="B1117" s="138">
        <f>'Expenditures 15-22'!K45</f>
        <v>30657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34299</v>
      </c>
      <c r="C1119" s="2" t="s">
        <v>573</v>
      </c>
      <c r="D1119" s="2" t="str">
        <f t="shared" si="16"/>
        <v>Error?</v>
      </c>
    </row>
    <row r="1120" spans="1:4" x14ac:dyDescent="0.2">
      <c r="A1120" s="5">
        <v>1059</v>
      </c>
      <c r="B1120" s="138">
        <f>'Expenditures 15-22'!K49</f>
        <v>24995</v>
      </c>
      <c r="C1120" s="2" t="s">
        <v>573</v>
      </c>
      <c r="D1120" s="2" t="str">
        <f t="shared" si="16"/>
        <v>Error?</v>
      </c>
    </row>
    <row r="1121" spans="1:4" x14ac:dyDescent="0.2">
      <c r="A1121" s="5">
        <v>1060</v>
      </c>
      <c r="B1121" s="138">
        <f>'Expenditures 15-22'!K50</f>
        <v>70114</v>
      </c>
      <c r="C1121" s="2" t="s">
        <v>573</v>
      </c>
      <c r="D1121" s="2" t="str">
        <f t="shared" si="16"/>
        <v>Error?</v>
      </c>
    </row>
    <row r="1122" spans="1:4" x14ac:dyDescent="0.2">
      <c r="A1122" s="5">
        <v>1061</v>
      </c>
      <c r="B1122" s="138">
        <f>'Expenditures 15-22'!K53</f>
        <v>95109</v>
      </c>
      <c r="C1122" s="2" t="s">
        <v>573</v>
      </c>
      <c r="D1122" s="2" t="str">
        <f t="shared" si="16"/>
        <v>Error?</v>
      </c>
    </row>
    <row r="1123" spans="1:4" x14ac:dyDescent="0.2">
      <c r="A1123" s="5">
        <v>1062</v>
      </c>
      <c r="B1123" s="138">
        <f>'Expenditures 15-22'!K55</f>
        <v>3318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3318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61904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29272</v>
      </c>
      <c r="C1130" s="2" t="s">
        <v>573</v>
      </c>
      <c r="D1130" s="2" t="str">
        <f t="shared" si="16"/>
        <v>Error?</v>
      </c>
    </row>
    <row r="1131" spans="1:4" x14ac:dyDescent="0.2">
      <c r="A1131" s="5">
        <v>1070</v>
      </c>
      <c r="B1131" s="138">
        <f>'Expenditures 15-22'!K64</f>
        <v>2579</v>
      </c>
      <c r="C1131" s="2" t="s">
        <v>573</v>
      </c>
      <c r="D1131" s="2" t="str">
        <f t="shared" si="16"/>
        <v>Error?</v>
      </c>
    </row>
    <row r="1132" spans="1:4" x14ac:dyDescent="0.2">
      <c r="A1132" s="10">
        <v>1071</v>
      </c>
      <c r="D1132" s="2" t="str">
        <f t="shared" si="16"/>
        <v>OK</v>
      </c>
    </row>
    <row r="1133" spans="1:4" x14ac:dyDescent="0.2">
      <c r="A1133" s="5">
        <v>1072</v>
      </c>
      <c r="B1133" s="138">
        <f>'Expenditures 15-22'!K65</f>
        <v>93755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3438</v>
      </c>
      <c r="C1139" s="2" t="s">
        <v>573</v>
      </c>
      <c r="D1139" s="2" t="str">
        <f t="shared" si="16"/>
        <v>Error?</v>
      </c>
    </row>
    <row r="1140" spans="1:4" x14ac:dyDescent="0.2">
      <c r="A1140" s="10">
        <v>1079</v>
      </c>
      <c r="D1140" s="2" t="str">
        <f t="shared" si="16"/>
        <v>OK</v>
      </c>
    </row>
    <row r="1141" spans="1:4" x14ac:dyDescent="0.2">
      <c r="A1141" s="5">
        <v>1080</v>
      </c>
      <c r="B1141" s="138">
        <f>'Expenditures 15-22'!K72</f>
        <v>3438</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251984</v>
      </c>
      <c r="C1143" s="2" t="s">
        <v>573</v>
      </c>
      <c r="D1143" s="2" t="str">
        <f t="shared" si="16"/>
        <v>Error?</v>
      </c>
    </row>
    <row r="1144" spans="1:4" x14ac:dyDescent="0.2">
      <c r="A1144" s="5">
        <v>1083</v>
      </c>
      <c r="B1144" s="138">
        <f>'Expenditures 15-22'!K75</f>
        <v>2501</v>
      </c>
      <c r="C1144" s="2" t="s">
        <v>573</v>
      </c>
      <c r="D1144" s="2" t="str">
        <f t="shared" si="16"/>
        <v>Error?</v>
      </c>
    </row>
    <row r="1145" spans="1:4" x14ac:dyDescent="0.2">
      <c r="A1145" s="5">
        <v>1084</v>
      </c>
      <c r="B1145" s="138">
        <f>'Expenditures 15-22'!K102</f>
        <v>40373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958036</v>
      </c>
      <c r="C1152" s="2" t="s">
        <v>573</v>
      </c>
      <c r="D1152" s="2" t="str">
        <f t="shared" si="17"/>
        <v>Error?</v>
      </c>
    </row>
    <row r="1153" spans="1:4" x14ac:dyDescent="0.2">
      <c r="A1153" s="5">
        <v>1092</v>
      </c>
      <c r="B1153" s="138">
        <f>'Expenditures 15-22'!K115</f>
        <v>-11615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19176</v>
      </c>
      <c r="D1221" s="2" t="str">
        <f t="shared" si="18"/>
        <v>Error?</v>
      </c>
    </row>
    <row r="1222" spans="1:4" x14ac:dyDescent="0.2">
      <c r="A1222" s="10">
        <v>1161</v>
      </c>
      <c r="D1222" s="2" t="str">
        <f t="shared" si="18"/>
        <v>OK</v>
      </c>
    </row>
    <row r="1223" spans="1:4" x14ac:dyDescent="0.2">
      <c r="A1223" s="5">
        <v>1162</v>
      </c>
      <c r="B1223" s="138">
        <f>'Expenditures 15-22'!C127</f>
        <v>19176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19176</v>
      </c>
      <c r="C1225" s="2" t="s">
        <v>573</v>
      </c>
      <c r="D1225" s="2" t="str">
        <f t="shared" si="18"/>
        <v>Error?</v>
      </c>
    </row>
    <row r="1226" spans="1:4" x14ac:dyDescent="0.2">
      <c r="A1226" s="5">
        <v>1165</v>
      </c>
      <c r="B1226" s="138">
        <f>'Expenditures 15-22'!C151</f>
        <v>19176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1377</v>
      </c>
      <c r="D1229" s="2" t="str">
        <f t="shared" si="18"/>
        <v>Error?</v>
      </c>
    </row>
    <row r="1230" spans="1:4" x14ac:dyDescent="0.2">
      <c r="A1230" s="10">
        <v>1169</v>
      </c>
      <c r="D1230" s="2" t="str">
        <f t="shared" si="18"/>
        <v>OK</v>
      </c>
    </row>
    <row r="1231" spans="1:4" x14ac:dyDescent="0.2">
      <c r="A1231" s="5">
        <v>1170</v>
      </c>
      <c r="B1231" s="138">
        <f>'Expenditures 15-22'!D127</f>
        <v>1377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1377</v>
      </c>
      <c r="C1233" s="2" t="s">
        <v>573</v>
      </c>
      <c r="D1233" s="2" t="str">
        <f t="shared" si="18"/>
        <v>Error?</v>
      </c>
    </row>
    <row r="1234" spans="1:4" x14ac:dyDescent="0.2">
      <c r="A1234" s="5">
        <v>1173</v>
      </c>
      <c r="B1234" s="138">
        <f>'Expenditures 15-22'!D151</f>
        <v>1377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28757</v>
      </c>
      <c r="D1237" s="2" t="str">
        <f t="shared" si="18"/>
        <v>Error?</v>
      </c>
    </row>
    <row r="1238" spans="1:4" x14ac:dyDescent="0.2">
      <c r="A1238" s="10">
        <v>1177</v>
      </c>
      <c r="D1238" s="2" t="str">
        <f t="shared" si="18"/>
        <v>OK</v>
      </c>
    </row>
    <row r="1239" spans="1:4" x14ac:dyDescent="0.2">
      <c r="A1239" s="5">
        <v>1178</v>
      </c>
      <c r="B1239" s="138">
        <f>'Expenditures 15-22'!E127</f>
        <v>28757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28757</v>
      </c>
      <c r="C1241" s="2" t="s">
        <v>573</v>
      </c>
      <c r="D1241" s="2" t="str">
        <f t="shared" si="18"/>
        <v>Error?</v>
      </c>
    </row>
    <row r="1242" spans="1:4" x14ac:dyDescent="0.2">
      <c r="A1242" s="5">
        <v>1181</v>
      </c>
      <c r="B1242" s="138">
        <f>'Expenditures 15-22'!E151</f>
        <v>28757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36528</v>
      </c>
      <c r="D1245" s="2" t="str">
        <f t="shared" si="18"/>
        <v>Error?</v>
      </c>
    </row>
    <row r="1246" spans="1:4" x14ac:dyDescent="0.2">
      <c r="A1246" s="10">
        <v>1185</v>
      </c>
      <c r="D1246" s="2" t="str">
        <f t="shared" si="18"/>
        <v>OK</v>
      </c>
    </row>
    <row r="1247" spans="1:4" x14ac:dyDescent="0.2">
      <c r="A1247" s="5">
        <v>1186</v>
      </c>
      <c r="B1247" s="138">
        <f>'Expenditures 15-22'!F127</f>
        <v>36528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36528</v>
      </c>
      <c r="C1249" s="2" t="s">
        <v>573</v>
      </c>
      <c r="D1249" s="2" t="str">
        <f t="shared" si="18"/>
        <v>Error?</v>
      </c>
    </row>
    <row r="1250" spans="1:4" x14ac:dyDescent="0.2">
      <c r="A1250" s="5">
        <v>1189</v>
      </c>
      <c r="B1250" s="138">
        <f>'Expenditures 15-22'!F151</f>
        <v>36528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2564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2564</v>
      </c>
      <c r="C1258" s="2" t="s">
        <v>573</v>
      </c>
      <c r="D1258" s="2" t="str">
        <f t="shared" si="18"/>
        <v>Error?</v>
      </c>
    </row>
    <row r="1259" spans="1:4" x14ac:dyDescent="0.2">
      <c r="A1259" s="5">
        <v>1198</v>
      </c>
      <c r="B1259" s="138">
        <f>'Expenditures 15-22'!G151</f>
        <v>2564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88402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88402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88402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88402</v>
      </c>
      <c r="C1288" s="2" t="s">
        <v>573</v>
      </c>
      <c r="D1288" s="2" t="str">
        <f t="shared" si="19"/>
        <v>Error?</v>
      </c>
    </row>
    <row r="1289" spans="1:4" x14ac:dyDescent="0.2">
      <c r="A1289" s="5">
        <v>1228</v>
      </c>
      <c r="B1289" s="138">
        <f>'Expenditures 15-22'!K152</f>
        <v>-2385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24931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246022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270953</v>
      </c>
      <c r="C1317" s="2" t="s">
        <v>573</v>
      </c>
      <c r="D1317" s="2" t="str">
        <f t="shared" si="19"/>
        <v>Error?</v>
      </c>
    </row>
    <row r="1318" spans="1:4" x14ac:dyDescent="0.2">
      <c r="A1318" s="5">
        <v>1257</v>
      </c>
      <c r="B1318" s="138">
        <f>'Expenditures 15-22'!H174</f>
        <v>270953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24931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246022</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270953</v>
      </c>
      <c r="C1331" s="2" t="s">
        <v>573</v>
      </c>
      <c r="D1331" s="2" t="str">
        <f t="shared" si="19"/>
        <v>Error?</v>
      </c>
    </row>
    <row r="1332" spans="1:4" x14ac:dyDescent="0.2">
      <c r="A1332" s="5">
        <v>1271</v>
      </c>
      <c r="B1332" s="138">
        <f>'Expenditures 15-22'!K174</f>
        <v>270953</v>
      </c>
      <c r="C1332" s="2" t="s">
        <v>573</v>
      </c>
      <c r="D1332" s="2" t="str">
        <f t="shared" si="19"/>
        <v>Error?</v>
      </c>
    </row>
    <row r="1333" spans="1:4" x14ac:dyDescent="0.2">
      <c r="A1333" s="5">
        <v>1272</v>
      </c>
      <c r="B1333" s="138">
        <f>'Expenditures 15-22'!K175</f>
        <v>-171981</v>
      </c>
      <c r="C1333" s="2" t="s">
        <v>573</v>
      </c>
      <c r="D1333" s="2" t="str">
        <f t="shared" si="19"/>
        <v>Error?</v>
      </c>
    </row>
    <row r="1334" spans="1:4" x14ac:dyDescent="0.2">
      <c r="A1334" s="10">
        <v>1273</v>
      </c>
      <c r="D1334" s="2" t="str">
        <f t="shared" si="19"/>
        <v>OK</v>
      </c>
    </row>
    <row r="1335" spans="1:4" x14ac:dyDescent="0.2">
      <c r="A1335" s="5">
        <v>1274</v>
      </c>
      <c r="B1335" s="138">
        <f>'Expenditures 15-22'!C182</f>
        <v>29380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29380</v>
      </c>
      <c r="C1339" s="2" t="s">
        <v>573</v>
      </c>
      <c r="D1339" s="2" t="str">
        <f t="shared" si="19"/>
        <v>Error?</v>
      </c>
    </row>
    <row r="1340" spans="1:4" x14ac:dyDescent="0.2">
      <c r="A1340" s="5">
        <v>1279</v>
      </c>
      <c r="B1340" s="138">
        <f>'Expenditures 15-22'!C210</f>
        <v>29380</v>
      </c>
      <c r="C1340" s="2" t="s">
        <v>573</v>
      </c>
      <c r="D1340" s="2" t="str">
        <f t="shared" si="19"/>
        <v>Error?</v>
      </c>
    </row>
    <row r="1341" spans="1:4" x14ac:dyDescent="0.2">
      <c r="A1341" s="5">
        <v>1280</v>
      </c>
      <c r="B1341" s="138">
        <f>'Expenditures 15-22'!D182</f>
        <v>639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639</v>
      </c>
      <c r="C1345" s="2" t="s">
        <v>573</v>
      </c>
      <c r="D1345" s="2" t="str">
        <f t="shared" si="20"/>
        <v>Error?</v>
      </c>
    </row>
    <row r="1346" spans="1:4" x14ac:dyDescent="0.2">
      <c r="A1346" s="5">
        <v>1285</v>
      </c>
      <c r="B1346" s="138">
        <f>'Expenditures 15-22'!D210</f>
        <v>639</v>
      </c>
      <c r="C1346" s="2" t="s">
        <v>573</v>
      </c>
      <c r="D1346" s="2" t="str">
        <f t="shared" si="20"/>
        <v>Error?</v>
      </c>
    </row>
    <row r="1347" spans="1:4" x14ac:dyDescent="0.2">
      <c r="A1347" s="5">
        <v>1286</v>
      </c>
      <c r="B1347" s="138">
        <f>'Expenditures 15-22'!E182</f>
        <v>29689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29689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29689</v>
      </c>
      <c r="C1353" s="2" t="s">
        <v>573</v>
      </c>
      <c r="D1353" s="2" t="str">
        <f t="shared" si="20"/>
        <v>Error?</v>
      </c>
    </row>
    <row r="1354" spans="1:4" x14ac:dyDescent="0.2">
      <c r="A1354" s="5">
        <v>1293</v>
      </c>
      <c r="B1354" s="138">
        <f>'Expenditures 15-22'!F182</f>
        <v>16149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16149</v>
      </c>
      <c r="C1358" s="2" t="s">
        <v>573</v>
      </c>
      <c r="D1358" s="2" t="str">
        <f t="shared" si="20"/>
        <v>Error?</v>
      </c>
    </row>
    <row r="1359" spans="1:4" x14ac:dyDescent="0.2">
      <c r="A1359" s="5">
        <v>1298</v>
      </c>
      <c r="B1359" s="138">
        <f>'Expenditures 15-22'!F210</f>
        <v>16149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75857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75857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75857</v>
      </c>
      <c r="C1388" s="2" t="s">
        <v>573</v>
      </c>
      <c r="D1388" s="2" t="str">
        <f t="shared" si="20"/>
        <v>Error?</v>
      </c>
    </row>
    <row r="1389" spans="1:4" x14ac:dyDescent="0.2">
      <c r="A1389" s="5">
        <v>1328</v>
      </c>
      <c r="B1389" s="138">
        <f>'Expenditures 15-22'!K211</f>
        <v>25301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7823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360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360</v>
      </c>
      <c r="C1421" s="2" t="s">
        <v>573</v>
      </c>
      <c r="D1421" s="2" t="str">
        <f t="shared" si="21"/>
        <v>Error?</v>
      </c>
    </row>
    <row r="1422" spans="1:4" x14ac:dyDescent="0.2">
      <c r="A1422" s="5">
        <v>1361</v>
      </c>
      <c r="B1422" s="138">
        <f>'Expenditures 15-22'!D245</f>
        <v>165</v>
      </c>
      <c r="D1422" s="2" t="str">
        <f t="shared" si="21"/>
        <v>Error?</v>
      </c>
    </row>
    <row r="1423" spans="1:4" x14ac:dyDescent="0.2">
      <c r="A1423" s="5">
        <v>1362</v>
      </c>
      <c r="B1423" s="138">
        <f>'Expenditures 15-22'!D246</f>
        <v>1714</v>
      </c>
      <c r="D1423" s="2" t="str">
        <f t="shared" si="21"/>
        <v>Error?</v>
      </c>
    </row>
    <row r="1424" spans="1:4" x14ac:dyDescent="0.2">
      <c r="A1424" s="5">
        <v>1363</v>
      </c>
      <c r="B1424" s="138">
        <f>'Expenditures 15-22'!D257</f>
        <v>1879</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5688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6608</v>
      </c>
      <c r="D1431" s="2" t="str">
        <f t="shared" si="21"/>
        <v>Error?</v>
      </c>
    </row>
    <row r="1432" spans="1:4" x14ac:dyDescent="0.2">
      <c r="A1432" s="5">
        <v>1371</v>
      </c>
      <c r="B1432" s="138">
        <f>'Expenditures 15-22'!D267</f>
        <v>2015</v>
      </c>
      <c r="D1432" s="2" t="str">
        <f t="shared" si="21"/>
        <v>Error?</v>
      </c>
    </row>
    <row r="1433" spans="1:4" x14ac:dyDescent="0.2">
      <c r="A1433" s="5">
        <v>1372</v>
      </c>
      <c r="B1433" s="138">
        <f>'Expenditures 15-22'!D268</f>
        <v>2680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16991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218</v>
      </c>
      <c r="D1442" s="2" t="str">
        <f t="shared" si="21"/>
        <v>Error?</v>
      </c>
    </row>
    <row r="1443" spans="1:4" x14ac:dyDescent="0.2">
      <c r="A1443" s="10">
        <v>1382</v>
      </c>
      <c r="D1443" s="2" t="str">
        <f t="shared" si="21"/>
        <v>OK</v>
      </c>
    </row>
    <row r="1444" spans="1:4" x14ac:dyDescent="0.2">
      <c r="A1444" s="5">
        <v>1383</v>
      </c>
      <c r="B1444" s="138">
        <f>'Expenditures 15-22'!D277</f>
        <v>218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19448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27271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7823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360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360</v>
      </c>
      <c r="C1485" s="2" t="s">
        <v>573</v>
      </c>
      <c r="D1485" s="2" t="str">
        <f t="shared" si="22"/>
        <v>Error?</v>
      </c>
    </row>
    <row r="1486" spans="1:4" x14ac:dyDescent="0.2">
      <c r="A1486" s="5">
        <v>1425</v>
      </c>
      <c r="B1486" s="138">
        <f>'Expenditures 15-22'!K245</f>
        <v>165</v>
      </c>
      <c r="C1486" s="2" t="s">
        <v>573</v>
      </c>
      <c r="D1486" s="2" t="str">
        <f t="shared" si="22"/>
        <v>Error?</v>
      </c>
    </row>
    <row r="1487" spans="1:4" x14ac:dyDescent="0.2">
      <c r="A1487" s="5">
        <v>1426</v>
      </c>
      <c r="B1487" s="138">
        <f>'Expenditures 15-22'!K246</f>
        <v>1714</v>
      </c>
      <c r="C1487" s="2" t="s">
        <v>573</v>
      </c>
      <c r="D1487" s="2" t="str">
        <f t="shared" si="22"/>
        <v>Error?</v>
      </c>
    </row>
    <row r="1488" spans="1:4" x14ac:dyDescent="0.2">
      <c r="A1488" s="5">
        <v>1427</v>
      </c>
      <c r="B1488" s="138">
        <f>'Expenditures 15-22'!K257</f>
        <v>1879</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5688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6608</v>
      </c>
      <c r="C1495" s="2" t="s">
        <v>573</v>
      </c>
      <c r="D1495" s="2" t="str">
        <f t="shared" si="22"/>
        <v>Error?</v>
      </c>
    </row>
    <row r="1496" spans="1:4" x14ac:dyDescent="0.2">
      <c r="A1496" s="5">
        <v>1435</v>
      </c>
      <c r="B1496" s="138">
        <f>'Expenditures 15-22'!K267</f>
        <v>2015</v>
      </c>
      <c r="C1496" s="2" t="s">
        <v>573</v>
      </c>
      <c r="D1496" s="2" t="str">
        <f t="shared" si="22"/>
        <v>Error?</v>
      </c>
    </row>
    <row r="1497" spans="1:4" x14ac:dyDescent="0.2">
      <c r="A1497" s="5">
        <v>1436</v>
      </c>
      <c r="B1497" s="138">
        <f>'Expenditures 15-22'!K268</f>
        <v>2680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16991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218</v>
      </c>
      <c r="C1506" s="2" t="s">
        <v>573</v>
      </c>
      <c r="D1506" s="2" t="str">
        <f t="shared" si="22"/>
        <v>Error?</v>
      </c>
    </row>
    <row r="1507" spans="1:4" x14ac:dyDescent="0.2">
      <c r="A1507" s="10">
        <v>1446</v>
      </c>
      <c r="D1507" s="2" t="str">
        <f t="shared" si="22"/>
        <v>OK</v>
      </c>
    </row>
    <row r="1508" spans="1:4" x14ac:dyDescent="0.2">
      <c r="A1508" s="5">
        <v>1447</v>
      </c>
      <c r="B1508" s="138">
        <f>'Expenditures 15-22'!K277</f>
        <v>218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19448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27271</v>
      </c>
      <c r="C1517" s="2" t="s">
        <v>573</v>
      </c>
      <c r="D1517" s="2" t="str">
        <f t="shared" si="22"/>
        <v>Error?</v>
      </c>
    </row>
    <row r="1518" spans="1:4" x14ac:dyDescent="0.2">
      <c r="A1518" s="5">
        <v>1457</v>
      </c>
      <c r="B1518" s="138">
        <f>'Expenditures 15-22'!K296</f>
        <v>-2398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328875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317260</v>
      </c>
      <c r="C1630" s="2" t="s">
        <v>573</v>
      </c>
      <c r="D1630" s="2" t="str">
        <f t="shared" si="24"/>
        <v>Error?</v>
      </c>
    </row>
    <row r="1631" spans="1:4" x14ac:dyDescent="0.2">
      <c r="A1631" s="5">
        <v>1570</v>
      </c>
      <c r="B1631" s="138">
        <f>'Acct Summary 7-8'!D79</f>
        <v>83652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81267</v>
      </c>
      <c r="C1644" s="2" t="s">
        <v>573</v>
      </c>
      <c r="D1644" s="2" t="str">
        <f t="shared" si="24"/>
        <v>Error?</v>
      </c>
    </row>
    <row r="1645" spans="1:4" x14ac:dyDescent="0.2">
      <c r="A1645" s="5">
        <v>1584</v>
      </c>
      <c r="B1645" s="138">
        <f>'Acct Summary 7-8'!E79</f>
        <v>63365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41384</v>
      </c>
      <c r="C1658" s="2" t="s">
        <v>573</v>
      </c>
      <c r="D1658" s="2" t="str">
        <f t="shared" si="24"/>
        <v>Error?</v>
      </c>
    </row>
    <row r="1659" spans="1:4" x14ac:dyDescent="0.2">
      <c r="A1659" s="5">
        <v>1598</v>
      </c>
      <c r="B1659" s="138">
        <f>'Acct Summary 7-8'!F79</f>
        <v>218432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243733</v>
      </c>
      <c r="C1672" s="2" t="s">
        <v>573</v>
      </c>
      <c r="D1672" s="2" t="str">
        <f t="shared" si="25"/>
        <v>Error?</v>
      </c>
    </row>
    <row r="1673" spans="1:4" x14ac:dyDescent="0.2">
      <c r="A1673" s="5">
        <v>1612</v>
      </c>
      <c r="B1673" s="138">
        <f>'Acct Summary 7-8'!G79</f>
        <v>63582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61184</v>
      </c>
      <c r="C1686" s="2" t="s">
        <v>573</v>
      </c>
      <c r="D1686" s="2" t="str">
        <f t="shared" si="25"/>
        <v>Error?</v>
      </c>
    </row>
    <row r="1687" spans="1:4" x14ac:dyDescent="0.2">
      <c r="A1687" s="5">
        <v>1626</v>
      </c>
      <c r="B1687" s="138">
        <f>'Acct Summary 7-8'!H79</f>
        <v>1209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1209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645510</v>
      </c>
      <c r="C1744" s="2" t="s">
        <v>573</v>
      </c>
      <c r="D1744" s="2" t="str">
        <f t="shared" si="26"/>
        <v>Error?</v>
      </c>
    </row>
    <row r="1745" spans="1:5" x14ac:dyDescent="0.2">
      <c r="A1745" s="5">
        <v>1684</v>
      </c>
      <c r="B1745" s="138">
        <f>'Tax Sched 23'!B5</f>
        <v>52738</v>
      </c>
      <c r="C1745" s="2" t="s">
        <v>573</v>
      </c>
      <c r="D1745" s="2" t="str">
        <f t="shared" si="26"/>
        <v>Error?</v>
      </c>
    </row>
    <row r="1746" spans="1:5" x14ac:dyDescent="0.2">
      <c r="A1746" s="5">
        <v>1685</v>
      </c>
      <c r="B1746" s="138">
        <f>'Tax Sched 23'!B6</f>
        <v>98570</v>
      </c>
      <c r="C1746" s="2" t="s">
        <v>573</v>
      </c>
      <c r="D1746" s="2" t="str">
        <f t="shared" si="26"/>
        <v>Error?</v>
      </c>
    </row>
    <row r="1747" spans="1:5" x14ac:dyDescent="0.2">
      <c r="A1747" s="5">
        <v>1686</v>
      </c>
      <c r="B1747" s="138">
        <f>'Tax Sched 23'!B7</f>
        <v>25315</v>
      </c>
      <c r="C1747" s="2" t="s">
        <v>573</v>
      </c>
      <c r="D1747" s="2" t="str">
        <f t="shared" si="26"/>
        <v>Error?</v>
      </c>
    </row>
    <row r="1748" spans="1:5" x14ac:dyDescent="0.2">
      <c r="A1748" s="5">
        <v>1687</v>
      </c>
      <c r="B1748" s="138">
        <f>'Tax Sched 23'!B8</f>
        <v>6957</v>
      </c>
      <c r="C1748" s="2" t="s">
        <v>573</v>
      </c>
      <c r="D1748" s="2" t="str">
        <f t="shared" si="26"/>
        <v>Error?</v>
      </c>
    </row>
    <row r="1749" spans="1:5" x14ac:dyDescent="0.2">
      <c r="A1749" s="5">
        <v>1688</v>
      </c>
      <c r="B1749" s="138">
        <f>'Tax Sched 23'!B10</f>
        <v>10548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92990</v>
      </c>
      <c r="C1752" s="2" t="s">
        <v>573</v>
      </c>
      <c r="D1752" s="2" t="str">
        <f t="shared" si="26"/>
        <v>Error?</v>
      </c>
    </row>
    <row r="1753" spans="1:5" x14ac:dyDescent="0.2">
      <c r="A1753" s="5">
        <v>1692</v>
      </c>
      <c r="B1753" s="138">
        <f>'Tax Sched 23'!B12</f>
        <v>10548</v>
      </c>
      <c r="C1753" s="2" t="s">
        <v>573</v>
      </c>
      <c r="D1753" s="2" t="str">
        <f t="shared" si="26"/>
        <v>Error?</v>
      </c>
    </row>
    <row r="1754" spans="1:5" x14ac:dyDescent="0.2">
      <c r="A1754" s="5">
        <v>1693</v>
      </c>
      <c r="B1754" s="138">
        <f>'Tax Sched 23'!B14</f>
        <v>4219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969779</v>
      </c>
      <c r="C1759" s="2" t="s">
        <v>573</v>
      </c>
      <c r="D1759" s="2" t="str">
        <f t="shared" si="26"/>
        <v>Error?</v>
      </c>
    </row>
    <row r="1760" spans="1:5" x14ac:dyDescent="0.2">
      <c r="A1760" s="5">
        <v>1699</v>
      </c>
      <c r="B1760" s="138">
        <f>'Tax Sched 23'!D4</f>
        <v>365538</v>
      </c>
      <c r="C1760" s="2" t="s">
        <v>573</v>
      </c>
      <c r="D1760" s="2" t="str">
        <f t="shared" si="26"/>
        <v>Error?</v>
      </c>
    </row>
    <row r="1761" spans="1:5" x14ac:dyDescent="0.2">
      <c r="A1761" s="5">
        <v>1700</v>
      </c>
      <c r="B1761" s="138">
        <f>'Tax Sched 23'!D5</f>
        <v>29864</v>
      </c>
      <c r="C1761" s="2" t="s">
        <v>573</v>
      </c>
      <c r="D1761" s="2" t="str">
        <f t="shared" si="26"/>
        <v>Error?</v>
      </c>
    </row>
    <row r="1762" spans="1:5" s="8" customFormat="1" x14ac:dyDescent="0.2">
      <c r="A1762" s="5">
        <v>1701</v>
      </c>
      <c r="B1762" s="138">
        <f>'Tax Sched 23'!D6</f>
        <v>58050</v>
      </c>
      <c r="C1762" s="2" t="s">
        <v>573</v>
      </c>
      <c r="D1762" s="2" t="str">
        <f t="shared" si="26"/>
        <v>Error?</v>
      </c>
      <c r="E1762" s="9"/>
    </row>
    <row r="1763" spans="1:5" x14ac:dyDescent="0.2">
      <c r="A1763" s="5">
        <v>1702</v>
      </c>
      <c r="B1763" s="138">
        <f>'Tax Sched 23'!D7</f>
        <v>14336</v>
      </c>
      <c r="C1763" s="2" t="s">
        <v>573</v>
      </c>
      <c r="D1763" s="2" t="str">
        <f t="shared" si="26"/>
        <v>Error?</v>
      </c>
    </row>
    <row r="1764" spans="1:5" x14ac:dyDescent="0.2">
      <c r="A1764" s="5">
        <v>1703</v>
      </c>
      <c r="B1764" s="138">
        <f>'Tax Sched 23'!D8</f>
        <v>2400</v>
      </c>
      <c r="C1764" s="2" t="s">
        <v>573</v>
      </c>
      <c r="D1764" s="2" t="str">
        <f t="shared" si="26"/>
        <v>Error?</v>
      </c>
    </row>
    <row r="1765" spans="1:5" x14ac:dyDescent="0.2">
      <c r="A1765" s="5">
        <v>1704</v>
      </c>
      <c r="B1765" s="138">
        <f>'Tax Sched 23'!D10</f>
        <v>5973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55794</v>
      </c>
      <c r="C1768" s="2" t="s">
        <v>573</v>
      </c>
      <c r="D1768" s="2" t="str">
        <f t="shared" si="26"/>
        <v>Error?</v>
      </c>
    </row>
    <row r="1769" spans="1:5" x14ac:dyDescent="0.2">
      <c r="A1769" s="5">
        <v>1708</v>
      </c>
      <c r="B1769" s="138">
        <f>'Tax Sched 23'!D12</f>
        <v>5973</v>
      </c>
      <c r="C1769" s="2" t="s">
        <v>573</v>
      </c>
      <c r="D1769" s="2" t="str">
        <f t="shared" si="26"/>
        <v>Error?</v>
      </c>
    </row>
    <row r="1770" spans="1:5" x14ac:dyDescent="0.2">
      <c r="A1770" s="5">
        <v>1709</v>
      </c>
      <c r="B1770" s="138">
        <f>'Tax Sched 23'!D14</f>
        <v>2389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551115</v>
      </c>
      <c r="C1775" s="2" t="s">
        <v>573</v>
      </c>
      <c r="D1775" s="2" t="str">
        <f t="shared" si="26"/>
        <v>Error?</v>
      </c>
    </row>
    <row r="1776" spans="1:5" x14ac:dyDescent="0.2">
      <c r="A1776" s="5">
        <v>1715</v>
      </c>
      <c r="B1776" s="138">
        <f>'Tax Sched 23'!C4</f>
        <v>279972</v>
      </c>
      <c r="D1776" s="2" t="str">
        <f t="shared" si="26"/>
        <v>Error?</v>
      </c>
    </row>
    <row r="1777" spans="1:4" x14ac:dyDescent="0.2">
      <c r="A1777" s="5">
        <v>1716</v>
      </c>
      <c r="B1777" s="138">
        <f>'Tax Sched 23'!C5</f>
        <v>22874</v>
      </c>
      <c r="D1777" s="2" t="str">
        <f t="shared" si="26"/>
        <v>Error?</v>
      </c>
    </row>
    <row r="1778" spans="1:4" x14ac:dyDescent="0.2">
      <c r="A1778" s="5">
        <v>1717</v>
      </c>
      <c r="B1778" s="138">
        <f>'Tax Sched 23'!C6</f>
        <v>40520</v>
      </c>
      <c r="D1778" s="2" t="str">
        <f t="shared" si="26"/>
        <v>Error?</v>
      </c>
    </row>
    <row r="1779" spans="1:4" x14ac:dyDescent="0.2">
      <c r="A1779" s="5">
        <v>1718</v>
      </c>
      <c r="B1779" s="138">
        <f>'Tax Sched 23'!C7</f>
        <v>10979</v>
      </c>
      <c r="D1779" s="2" t="str">
        <f t="shared" si="26"/>
        <v>Error?</v>
      </c>
    </row>
    <row r="1780" spans="1:4" x14ac:dyDescent="0.2">
      <c r="A1780" s="5">
        <v>1719</v>
      </c>
      <c r="B1780" s="138">
        <f>'Tax Sched 23'!C8</f>
        <v>4557</v>
      </c>
      <c r="D1780" s="2" t="str">
        <f t="shared" si="26"/>
        <v>Error?</v>
      </c>
    </row>
    <row r="1781" spans="1:4" x14ac:dyDescent="0.2">
      <c r="A1781" s="5">
        <v>1720</v>
      </c>
      <c r="B1781" s="138">
        <f>'Tax Sched 23'!C10</f>
        <v>4575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37196</v>
      </c>
      <c r="D1784" s="2" t="str">
        <f t="shared" si="26"/>
        <v>Error?</v>
      </c>
    </row>
    <row r="1785" spans="1:4" x14ac:dyDescent="0.2">
      <c r="A1785" s="5">
        <v>1724</v>
      </c>
      <c r="B1785" s="138">
        <f>'Tax Sched 23'!C12</f>
        <v>4575</v>
      </c>
      <c r="D1785" s="2" t="str">
        <f t="shared" si="26"/>
        <v>Error?</v>
      </c>
    </row>
    <row r="1786" spans="1:4" x14ac:dyDescent="0.2">
      <c r="A1786" s="5">
        <v>1725</v>
      </c>
      <c r="B1786" s="138">
        <f>'Tax Sched 23'!C14</f>
        <v>1830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418664</v>
      </c>
      <c r="C1791" s="2" t="s">
        <v>573</v>
      </c>
      <c r="D1791" s="2" t="str">
        <f t="shared" ref="D1791:D1854" si="27">IF(ISBLANK(B1791),"OK",IF(A1791-B1791=0,"OK","Error?"))</f>
        <v>Error?</v>
      </c>
    </row>
    <row r="1792" spans="1:4" x14ac:dyDescent="0.2">
      <c r="A1792" s="5">
        <v>1731</v>
      </c>
      <c r="B1792" s="138">
        <f>'Tax Sched 23'!F4</f>
        <v>518688</v>
      </c>
      <c r="C1792" s="2" t="s">
        <v>573</v>
      </c>
      <c r="D1792" s="2" t="str">
        <f t="shared" si="27"/>
        <v>Error?</v>
      </c>
    </row>
    <row r="1793" spans="1:4" x14ac:dyDescent="0.2">
      <c r="A1793" s="5">
        <v>1732</v>
      </c>
      <c r="B1793" s="138">
        <f>'Tax Sched 23'!F5</f>
        <v>42376</v>
      </c>
      <c r="C1793" s="2" t="s">
        <v>573</v>
      </c>
      <c r="D1793" s="2" t="str">
        <f t="shared" si="27"/>
        <v>Error?</v>
      </c>
    </row>
    <row r="1794" spans="1:4" x14ac:dyDescent="0.2">
      <c r="A1794" s="5">
        <v>1733</v>
      </c>
      <c r="B1794" s="138">
        <f>'Tax Sched 23'!F6</f>
        <v>75067</v>
      </c>
      <c r="C1794" s="2" t="s">
        <v>573</v>
      </c>
      <c r="D1794" s="2" t="str">
        <f t="shared" si="27"/>
        <v>Error?</v>
      </c>
    </row>
    <row r="1795" spans="1:4" x14ac:dyDescent="0.2">
      <c r="A1795" s="5">
        <v>1734</v>
      </c>
      <c r="B1795" s="138">
        <f>'Tax Sched 23'!F7</f>
        <v>20341</v>
      </c>
      <c r="C1795" s="2" t="s">
        <v>573</v>
      </c>
      <c r="D1795" s="2" t="str">
        <f t="shared" si="27"/>
        <v>Error?</v>
      </c>
    </row>
    <row r="1796" spans="1:4" x14ac:dyDescent="0.2">
      <c r="A1796" s="5">
        <v>1735</v>
      </c>
      <c r="B1796" s="138">
        <f>'Tax Sched 23'!F8</f>
        <v>8443</v>
      </c>
      <c r="C1796" s="2" t="s">
        <v>573</v>
      </c>
      <c r="D1796" s="2" t="str">
        <f t="shared" si="27"/>
        <v>Error?</v>
      </c>
    </row>
    <row r="1797" spans="1:4" x14ac:dyDescent="0.2">
      <c r="A1797" s="5">
        <v>1736</v>
      </c>
      <c r="B1797" s="138">
        <f>'Tax Sched 23'!F10</f>
        <v>8475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68910</v>
      </c>
      <c r="C1800" s="2" t="s">
        <v>573</v>
      </c>
      <c r="D1800" s="2" t="str">
        <f t="shared" si="27"/>
        <v>Error?</v>
      </c>
    </row>
    <row r="1801" spans="1:4" x14ac:dyDescent="0.2">
      <c r="A1801" s="5">
        <v>1740</v>
      </c>
      <c r="B1801" s="138">
        <f>'Tax Sched 23'!F12</f>
        <v>8475</v>
      </c>
      <c r="C1801" s="2" t="s">
        <v>573</v>
      </c>
      <c r="D1801" s="2" t="str">
        <f t="shared" si="27"/>
        <v>Error?</v>
      </c>
    </row>
    <row r="1802" spans="1:4" x14ac:dyDescent="0.2">
      <c r="A1802" s="5">
        <v>1741</v>
      </c>
      <c r="B1802" s="138">
        <f>'Tax Sched 23'!F14</f>
        <v>3390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775629</v>
      </c>
      <c r="C1807" s="2" t="s">
        <v>573</v>
      </c>
      <c r="D1807" s="2" t="str">
        <f t="shared" si="27"/>
        <v>Error?</v>
      </c>
    </row>
    <row r="1808" spans="1:4" x14ac:dyDescent="0.2">
      <c r="A1808" s="5">
        <v>1747</v>
      </c>
      <c r="B1808" s="138">
        <f>'Tax Sched 23'!E4</f>
        <v>798660</v>
      </c>
      <c r="D1808" s="2" t="str">
        <f t="shared" si="27"/>
        <v>Error?</v>
      </c>
    </row>
    <row r="1809" spans="1:4" x14ac:dyDescent="0.2">
      <c r="A1809" s="5">
        <v>1748</v>
      </c>
      <c r="B1809" s="138">
        <f>'Tax Sched 23'!E5</f>
        <v>65250</v>
      </c>
      <c r="D1809" s="2" t="str">
        <f t="shared" si="27"/>
        <v>Error?</v>
      </c>
    </row>
    <row r="1810" spans="1:4" x14ac:dyDescent="0.2">
      <c r="A1810" s="5">
        <v>1749</v>
      </c>
      <c r="B1810" s="138">
        <f>'Tax Sched 23'!E6</f>
        <v>115587</v>
      </c>
      <c r="D1810" s="2" t="str">
        <f t="shared" si="27"/>
        <v>Error?</v>
      </c>
    </row>
    <row r="1811" spans="1:4" x14ac:dyDescent="0.2">
      <c r="A1811" s="5">
        <v>1750</v>
      </c>
      <c r="B1811" s="138">
        <f>'Tax Sched 23'!E7</f>
        <v>31320</v>
      </c>
      <c r="D1811" s="2" t="str">
        <f t="shared" si="27"/>
        <v>Error?</v>
      </c>
    </row>
    <row r="1812" spans="1:4" x14ac:dyDescent="0.2">
      <c r="A1812" s="5">
        <v>1751</v>
      </c>
      <c r="B1812" s="138">
        <f>'Tax Sched 23'!E8</f>
        <v>13000</v>
      </c>
      <c r="D1812" s="2" t="str">
        <f t="shared" si="27"/>
        <v>Error?</v>
      </c>
    </row>
    <row r="1813" spans="1:4" x14ac:dyDescent="0.2">
      <c r="A1813" s="5">
        <v>1752</v>
      </c>
      <c r="B1813" s="138">
        <f>'Tax Sched 23'!E10</f>
        <v>13050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106106</v>
      </c>
      <c r="D1816" s="2" t="str">
        <f t="shared" si="27"/>
        <v>Error?</v>
      </c>
    </row>
    <row r="1817" spans="1:4" x14ac:dyDescent="0.2">
      <c r="A1817" s="5">
        <v>1756</v>
      </c>
      <c r="B1817" s="138">
        <f>'Tax Sched 23'!E12</f>
        <v>13050</v>
      </c>
      <c r="D1817" s="2" t="str">
        <f t="shared" si="27"/>
        <v>Error?</v>
      </c>
    </row>
    <row r="1818" spans="1:4" x14ac:dyDescent="0.2">
      <c r="A1818" s="5">
        <v>1757</v>
      </c>
      <c r="B1818" s="138">
        <f>'Tax Sched 23'!E14</f>
        <v>5220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1194293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480362</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4219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4219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2500</v>
      </c>
      <c r="D2008" s="2" t="str">
        <f t="shared" si="30"/>
        <v>Error?</v>
      </c>
    </row>
    <row r="2009" spans="1:4" x14ac:dyDescent="0.2">
      <c r="A2009" s="5">
        <v>1948</v>
      </c>
      <c r="B2009" s="138">
        <f>'Cap Outlay Deprec 26'!C8</f>
        <v>2264180</v>
      </c>
      <c r="D2009" s="2" t="str">
        <f t="shared" si="30"/>
        <v>Error?</v>
      </c>
    </row>
    <row r="2010" spans="1:4" x14ac:dyDescent="0.2">
      <c r="A2010" s="5">
        <v>1949</v>
      </c>
      <c r="B2010" s="138">
        <f>'Cap Outlay Deprec 26'!C10</f>
        <v>209832</v>
      </c>
      <c r="D2010" s="2" t="str">
        <f t="shared" si="30"/>
        <v>Error?</v>
      </c>
    </row>
    <row r="2011" spans="1:4" x14ac:dyDescent="0.2">
      <c r="A2011" s="5">
        <v>1950</v>
      </c>
      <c r="B2011" s="138">
        <f>'Cap Outlay Deprec 26'!C12</f>
        <v>160595</v>
      </c>
      <c r="D2011" s="2" t="str">
        <f t="shared" si="30"/>
        <v>Error?</v>
      </c>
    </row>
    <row r="2012" spans="1:4" x14ac:dyDescent="0.2">
      <c r="A2012" s="5">
        <v>1951</v>
      </c>
      <c r="B2012" s="138">
        <f>'Cap Outlay Deprec 26'!C13</f>
        <v>253767</v>
      </c>
      <c r="D2012" s="2" t="str">
        <f t="shared" si="30"/>
        <v>Error?</v>
      </c>
    </row>
    <row r="2013" spans="1:4" x14ac:dyDescent="0.2">
      <c r="A2013" s="5">
        <v>1952</v>
      </c>
      <c r="B2013" s="138">
        <f>'Cap Outlay Deprec 26'!C16</f>
        <v>2890874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8204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8204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950</v>
      </c>
      <c r="D2024" s="2" t="str">
        <f t="shared" si="30"/>
        <v>Error?</v>
      </c>
    </row>
    <row r="2025" spans="1:4" x14ac:dyDescent="0.2">
      <c r="A2025" s="5">
        <v>1964</v>
      </c>
      <c r="B2025" s="138">
        <f>'Cap Outlay Deprec 26'!E16</f>
        <v>950</v>
      </c>
      <c r="C2025" s="2" t="s">
        <v>573</v>
      </c>
      <c r="D2025" s="2" t="str">
        <f t="shared" si="30"/>
        <v>Error?</v>
      </c>
    </row>
    <row r="2026" spans="1:4" x14ac:dyDescent="0.2">
      <c r="A2026" s="5">
        <v>1965</v>
      </c>
      <c r="B2026" s="138">
        <f>'Cap Outlay Deprec 26'!F5</f>
        <v>2500</v>
      </c>
      <c r="C2026" s="2" t="s">
        <v>573</v>
      </c>
      <c r="D2026" s="2" t="str">
        <f t="shared" si="30"/>
        <v>Error?</v>
      </c>
    </row>
    <row r="2027" spans="1:4" x14ac:dyDescent="0.2">
      <c r="A2027" s="5">
        <v>1966</v>
      </c>
      <c r="B2027" s="138">
        <f>'Cap Outlay Deprec 26'!F8</f>
        <v>2264180</v>
      </c>
      <c r="C2027" s="2" t="s">
        <v>573</v>
      </c>
      <c r="D2027" s="2" t="str">
        <f t="shared" si="30"/>
        <v>Error?</v>
      </c>
    </row>
    <row r="2028" spans="1:4" x14ac:dyDescent="0.2">
      <c r="A2028" s="5">
        <v>1967</v>
      </c>
      <c r="B2028" s="138">
        <f>'Cap Outlay Deprec 26'!F10</f>
        <v>209832</v>
      </c>
      <c r="C2028" s="2" t="s">
        <v>573</v>
      </c>
      <c r="D2028" s="2" t="str">
        <f t="shared" si="30"/>
        <v>Error?</v>
      </c>
    </row>
    <row r="2029" spans="1:4" x14ac:dyDescent="0.2">
      <c r="A2029" s="5">
        <v>1968</v>
      </c>
      <c r="B2029" s="138">
        <f>'Cap Outlay Deprec 26'!F12</f>
        <v>168799</v>
      </c>
      <c r="C2029" s="2" t="s">
        <v>573</v>
      </c>
      <c r="D2029" s="2" t="str">
        <f t="shared" si="30"/>
        <v>Error?</v>
      </c>
    </row>
    <row r="2030" spans="1:4" x14ac:dyDescent="0.2">
      <c r="A2030" s="5">
        <v>1969</v>
      </c>
      <c r="B2030" s="138">
        <f>'Cap Outlay Deprec 26'!F13</f>
        <v>252817</v>
      </c>
      <c r="C2030" s="2" t="s">
        <v>573</v>
      </c>
      <c r="D2030" s="2" t="str">
        <f t="shared" si="30"/>
        <v>Error?</v>
      </c>
    </row>
    <row r="2031" spans="1:4" x14ac:dyDescent="0.2">
      <c r="A2031" s="5">
        <v>1970</v>
      </c>
      <c r="B2031" s="138">
        <f>'Cap Outlay Deprec 26'!F16</f>
        <v>2898128</v>
      </c>
      <c r="C2031" s="2" t="s">
        <v>573</v>
      </c>
      <c r="D2031" s="2" t="str">
        <f t="shared" si="30"/>
        <v>Error?</v>
      </c>
    </row>
    <row r="2032" spans="1:4" x14ac:dyDescent="0.2">
      <c r="A2032" s="10">
        <v>1971</v>
      </c>
      <c r="D2032" s="2" t="str">
        <f t="shared" si="30"/>
        <v>OK</v>
      </c>
    </row>
    <row r="2033" spans="1:4" x14ac:dyDescent="0.2">
      <c r="A2033" s="5">
        <v>1972</v>
      </c>
      <c r="B2033" s="138">
        <f>'Cap Outlay Deprec 26'!H8</f>
        <v>702833</v>
      </c>
      <c r="D2033" s="2" t="str">
        <f t="shared" si="30"/>
        <v>Error?</v>
      </c>
    </row>
    <row r="2034" spans="1:4" x14ac:dyDescent="0.2">
      <c r="A2034" s="5">
        <v>1973</v>
      </c>
      <c r="B2034" s="138">
        <f>'Cap Outlay Deprec 26'!H10</f>
        <v>91204</v>
      </c>
      <c r="D2034" s="2" t="str">
        <f t="shared" si="30"/>
        <v>Error?</v>
      </c>
    </row>
    <row r="2035" spans="1:4" x14ac:dyDescent="0.2">
      <c r="A2035" s="5">
        <v>1974</v>
      </c>
      <c r="B2035" s="138">
        <f>'Cap Outlay Deprec 26'!H12</f>
        <v>116018</v>
      </c>
      <c r="D2035" s="2" t="str">
        <f t="shared" si="30"/>
        <v>Error?</v>
      </c>
    </row>
    <row r="2036" spans="1:4" x14ac:dyDescent="0.2">
      <c r="A2036" s="5">
        <v>1975</v>
      </c>
      <c r="B2036" s="138">
        <f>'Cap Outlay Deprec 26'!H13</f>
        <v>191282</v>
      </c>
      <c r="D2036" s="2" t="str">
        <f t="shared" si="30"/>
        <v>Error?</v>
      </c>
    </row>
    <row r="2037" spans="1:4" x14ac:dyDescent="0.2">
      <c r="A2037" s="5">
        <v>1976</v>
      </c>
      <c r="B2037" s="138">
        <f>'Cap Outlay Deprec 26'!H16</f>
        <v>1101337</v>
      </c>
      <c r="C2037" s="2" t="s">
        <v>573</v>
      </c>
      <c r="D2037" s="2" t="str">
        <f t="shared" si="30"/>
        <v>Error?</v>
      </c>
    </row>
    <row r="2038" spans="1:4" x14ac:dyDescent="0.2">
      <c r="A2038" s="10">
        <v>1977</v>
      </c>
      <c r="D2038" s="2" t="str">
        <f t="shared" si="30"/>
        <v>OK</v>
      </c>
    </row>
    <row r="2039" spans="1:4" x14ac:dyDescent="0.2">
      <c r="A2039" s="5">
        <v>1978</v>
      </c>
      <c r="B2039" s="138">
        <f>'Cap Outlay Deprec 26'!I8</f>
        <v>37972</v>
      </c>
      <c r="D2039" s="2" t="str">
        <f t="shared" si="30"/>
        <v>Error?</v>
      </c>
    </row>
    <row r="2040" spans="1:4" x14ac:dyDescent="0.2">
      <c r="A2040" s="5">
        <v>1979</v>
      </c>
      <c r="B2040" s="138">
        <f>'Cap Outlay Deprec 26'!I10</f>
        <v>10492</v>
      </c>
      <c r="D2040" s="2" t="str">
        <f t="shared" si="30"/>
        <v>Error?</v>
      </c>
    </row>
    <row r="2041" spans="1:4" x14ac:dyDescent="0.2">
      <c r="A2041" s="5">
        <v>1980</v>
      </c>
      <c r="B2041" s="138">
        <f>'Cap Outlay Deprec 26'!I12</f>
        <v>14148</v>
      </c>
      <c r="D2041" s="2" t="str">
        <f t="shared" si="30"/>
        <v>Error?</v>
      </c>
    </row>
    <row r="2042" spans="1:4" x14ac:dyDescent="0.2">
      <c r="A2042" s="5">
        <v>1981</v>
      </c>
      <c r="B2042" s="138">
        <f>'Cap Outlay Deprec 26'!I13</f>
        <v>27356</v>
      </c>
      <c r="D2042" s="2" t="str">
        <f t="shared" si="30"/>
        <v>Error?</v>
      </c>
    </row>
    <row r="2043" spans="1:4" x14ac:dyDescent="0.2">
      <c r="A2043" s="5">
        <v>1982</v>
      </c>
      <c r="B2043" s="138">
        <f>'Cap Outlay Deprec 26'!I16</f>
        <v>89968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950</v>
      </c>
      <c r="D2048" s="2" t="str">
        <f t="shared" si="31"/>
        <v>Error?</v>
      </c>
    </row>
    <row r="2049" spans="1:4" x14ac:dyDescent="0.2">
      <c r="A2049" s="5">
        <v>1988</v>
      </c>
      <c r="B2049" s="138">
        <f>'Cap Outlay Deprec 26'!J16</f>
        <v>950</v>
      </c>
      <c r="C2049" s="2" t="s">
        <v>573</v>
      </c>
      <c r="D2049" s="2" t="str">
        <f t="shared" si="31"/>
        <v>Error?</v>
      </c>
    </row>
    <row r="2050" spans="1:4" x14ac:dyDescent="0.2">
      <c r="A2050" s="10">
        <v>1989</v>
      </c>
      <c r="D2050" s="2" t="str">
        <f t="shared" si="31"/>
        <v>OK</v>
      </c>
    </row>
    <row r="2051" spans="1:4" x14ac:dyDescent="0.2">
      <c r="A2051" s="5">
        <v>1990</v>
      </c>
      <c r="B2051" s="138">
        <f>'Cap Outlay Deprec 26'!K8</f>
        <v>740805</v>
      </c>
      <c r="C2051" s="2" t="s">
        <v>573</v>
      </c>
      <c r="D2051" s="2" t="str">
        <f t="shared" si="31"/>
        <v>Error?</v>
      </c>
    </row>
    <row r="2052" spans="1:4" x14ac:dyDescent="0.2">
      <c r="A2052" s="5">
        <v>1991</v>
      </c>
      <c r="B2052" s="138">
        <f>'Cap Outlay Deprec 26'!K10</f>
        <v>101696</v>
      </c>
      <c r="C2052" s="2" t="s">
        <v>573</v>
      </c>
      <c r="D2052" s="2" t="str">
        <f t="shared" si="31"/>
        <v>Error?</v>
      </c>
    </row>
    <row r="2053" spans="1:4" x14ac:dyDescent="0.2">
      <c r="A2053" s="5">
        <v>1992</v>
      </c>
      <c r="B2053" s="138">
        <f>'Cap Outlay Deprec 26'!K12</f>
        <v>130166</v>
      </c>
      <c r="C2053" s="2" t="s">
        <v>573</v>
      </c>
      <c r="D2053" s="2" t="str">
        <f t="shared" si="31"/>
        <v>Error?</v>
      </c>
    </row>
    <row r="2054" spans="1:4" x14ac:dyDescent="0.2">
      <c r="A2054" s="5">
        <v>1993</v>
      </c>
      <c r="B2054" s="138">
        <f>'Cap Outlay Deprec 26'!K13</f>
        <v>217688</v>
      </c>
      <c r="C2054" s="2" t="s">
        <v>573</v>
      </c>
      <c r="D2054" s="2" t="str">
        <f t="shared" si="31"/>
        <v>Error?</v>
      </c>
    </row>
    <row r="2055" spans="1:4" x14ac:dyDescent="0.2">
      <c r="A2055" s="5">
        <v>1994</v>
      </c>
      <c r="B2055" s="138">
        <f>'Cap Outlay Deprec 26'!K16</f>
        <v>1190355</v>
      </c>
      <c r="C2055" s="2" t="s">
        <v>573</v>
      </c>
      <c r="D2055" s="2" t="str">
        <f t="shared" si="31"/>
        <v>Error?</v>
      </c>
    </row>
    <row r="2056" spans="1:4" x14ac:dyDescent="0.2">
      <c r="A2056" s="5">
        <v>1995</v>
      </c>
      <c r="B2056" s="138">
        <f>'Cap Outlay Deprec 26'!L5</f>
        <v>2500</v>
      </c>
      <c r="C2056" s="2" t="s">
        <v>573</v>
      </c>
      <c r="D2056" s="2" t="str">
        <f t="shared" si="31"/>
        <v>Error?</v>
      </c>
    </row>
    <row r="2057" spans="1:4" x14ac:dyDescent="0.2">
      <c r="A2057" s="5">
        <v>1996</v>
      </c>
      <c r="B2057" s="138">
        <f>'Cap Outlay Deprec 26'!L8</f>
        <v>1523375</v>
      </c>
      <c r="C2057" s="2" t="s">
        <v>573</v>
      </c>
      <c r="D2057" s="2" t="str">
        <f t="shared" si="31"/>
        <v>Error?</v>
      </c>
    </row>
    <row r="2058" spans="1:4" x14ac:dyDescent="0.2">
      <c r="A2058" s="5">
        <v>1997</v>
      </c>
      <c r="B2058" s="138">
        <f>'Cap Outlay Deprec 26'!L10</f>
        <v>108136</v>
      </c>
      <c r="C2058" s="2" t="s">
        <v>573</v>
      </c>
      <c r="D2058" s="2" t="str">
        <f t="shared" si="31"/>
        <v>Error?</v>
      </c>
    </row>
    <row r="2059" spans="1:4" x14ac:dyDescent="0.2">
      <c r="A2059" s="5">
        <v>1998</v>
      </c>
      <c r="B2059" s="138">
        <f>'Cap Outlay Deprec 26'!L12</f>
        <v>38633</v>
      </c>
      <c r="C2059" s="2" t="s">
        <v>573</v>
      </c>
      <c r="D2059" s="2" t="str">
        <f t="shared" si="31"/>
        <v>Error?</v>
      </c>
    </row>
    <row r="2060" spans="1:4" x14ac:dyDescent="0.2">
      <c r="A2060" s="5">
        <v>1999</v>
      </c>
      <c r="B2060" s="138">
        <f>'Cap Outlay Deprec 26'!L13</f>
        <v>35129</v>
      </c>
      <c r="C2060" s="2" t="s">
        <v>573</v>
      </c>
      <c r="D2060" s="2" t="str">
        <f t="shared" si="31"/>
        <v>Error?</v>
      </c>
    </row>
    <row r="2061" spans="1:4" x14ac:dyDescent="0.2">
      <c r="A2061" s="5">
        <v>2000</v>
      </c>
      <c r="B2061" s="138">
        <f>'Cap Outlay Deprec 26'!L16</f>
        <v>1707773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40373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11504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709772</v>
      </c>
      <c r="C2551" s="2" t="s">
        <v>573</v>
      </c>
      <c r="D2551" s="2" t="str">
        <f t="shared" si="38"/>
        <v>Error?</v>
      </c>
    </row>
    <row r="2552" spans="1:4" x14ac:dyDescent="0.2">
      <c r="A2552" s="10">
        <v>2491</v>
      </c>
      <c r="D2552" s="2" t="str">
        <f t="shared" si="38"/>
        <v>OK</v>
      </c>
    </row>
    <row r="2553" spans="1:4" x14ac:dyDescent="0.2">
      <c r="A2553" s="5">
        <v>2492</v>
      </c>
      <c r="B2553" s="138">
        <f>'Acct Summary 7-8'!C6</f>
        <v>115792</v>
      </c>
      <c r="C2553" s="2" t="s">
        <v>573</v>
      </c>
      <c r="D2553" s="2" t="str">
        <f t="shared" si="38"/>
        <v>Error?</v>
      </c>
    </row>
    <row r="2554" spans="1:4" x14ac:dyDescent="0.2">
      <c r="A2554" s="5">
        <v>2493</v>
      </c>
      <c r="B2554" s="138">
        <f>'Acct Summary 7-8'!C7</f>
        <v>120857</v>
      </c>
      <c r="C2554" s="2" t="s">
        <v>573</v>
      </c>
      <c r="D2554" s="2" t="str">
        <f t="shared" si="38"/>
        <v>Error?</v>
      </c>
    </row>
    <row r="2555" spans="1:4" x14ac:dyDescent="0.2">
      <c r="A2555" s="5">
        <v>2494</v>
      </c>
      <c r="B2555" s="138">
        <f>'Acct Summary 7-8'!C8</f>
        <v>946421</v>
      </c>
      <c r="C2555" s="2" t="s">
        <v>573</v>
      </c>
      <c r="D2555" s="2" t="str">
        <f t="shared" si="38"/>
        <v>Error?</v>
      </c>
    </row>
    <row r="2556" spans="1:4" x14ac:dyDescent="0.2">
      <c r="A2556" s="5">
        <v>2495</v>
      </c>
      <c r="B2556" s="138">
        <f>'Acct Summary 7-8'!C12</f>
        <v>663178</v>
      </c>
      <c r="C2556" s="2" t="s">
        <v>573</v>
      </c>
      <c r="D2556" s="2" t="str">
        <f t="shared" si="38"/>
        <v>Error?</v>
      </c>
    </row>
    <row r="2557" spans="1:4" x14ac:dyDescent="0.2">
      <c r="A2557" s="5">
        <v>2496</v>
      </c>
      <c r="B2557" s="138">
        <f>'Acct Summary 7-8'!C13</f>
        <v>251984</v>
      </c>
      <c r="C2557" s="2" t="s">
        <v>573</v>
      </c>
      <c r="D2557" s="2" t="str">
        <f t="shared" si="38"/>
        <v>Error?</v>
      </c>
    </row>
    <row r="2558" spans="1:4" x14ac:dyDescent="0.2">
      <c r="A2558" s="5">
        <v>2497</v>
      </c>
      <c r="B2558" s="138">
        <f>'Acct Summary 7-8'!C14</f>
        <v>2501</v>
      </c>
      <c r="C2558" s="2" t="s">
        <v>573</v>
      </c>
      <c r="D2558" s="2" t="str">
        <f t="shared" si="38"/>
        <v>Error?</v>
      </c>
    </row>
    <row r="2559" spans="1:4" x14ac:dyDescent="0.2">
      <c r="A2559" s="5">
        <v>2498</v>
      </c>
      <c r="B2559" s="138">
        <f>'Acct Summary 7-8'!C15</f>
        <v>40373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958036</v>
      </c>
      <c r="C2561" s="2" t="s">
        <v>573</v>
      </c>
      <c r="D2561" s="2" t="str">
        <f t="shared" si="39"/>
        <v>Error?</v>
      </c>
    </row>
    <row r="2562" spans="1:4" x14ac:dyDescent="0.2">
      <c r="A2562" s="5">
        <v>2501</v>
      </c>
      <c r="B2562" s="138">
        <f>'Acct Summary 7-8'!C20</f>
        <v>-11615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86017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86017</v>
      </c>
      <c r="C2568" s="2" t="s">
        <v>573</v>
      </c>
      <c r="D2568" s="2" t="str">
        <f t="shared" si="39"/>
        <v>Error?</v>
      </c>
    </row>
    <row r="2569" spans="1:4" x14ac:dyDescent="0.2">
      <c r="A2569" s="5">
        <v>2508</v>
      </c>
      <c r="B2569" s="138">
        <f>'Acct Summary 7-8'!D13</f>
        <v>88402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88402</v>
      </c>
      <c r="C2573" s="2" t="s">
        <v>573</v>
      </c>
      <c r="D2573" s="2" t="str">
        <f t="shared" si="39"/>
        <v>Error?</v>
      </c>
    </row>
    <row r="2574" spans="1:4" x14ac:dyDescent="0.2">
      <c r="A2574" s="5">
        <v>2513</v>
      </c>
      <c r="B2574" s="138">
        <f>'Acct Summary 7-8'!D20</f>
        <v>-2385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28530</v>
      </c>
      <c r="C2591" s="2" t="s">
        <v>573</v>
      </c>
      <c r="D2591" s="2" t="str">
        <f t="shared" si="39"/>
        <v>Error?</v>
      </c>
    </row>
    <row r="2592" spans="1:4" x14ac:dyDescent="0.2">
      <c r="A2592" s="10">
        <v>2531</v>
      </c>
      <c r="D2592" s="2" t="str">
        <f t="shared" si="39"/>
        <v>OK</v>
      </c>
    </row>
    <row r="2593" spans="1:4" x14ac:dyDescent="0.2">
      <c r="A2593" s="5">
        <v>2532</v>
      </c>
      <c r="B2593" s="138">
        <f>'Acct Summary 7-8'!F6</f>
        <v>72628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101158</v>
      </c>
      <c r="C2595" s="2" t="s">
        <v>573</v>
      </c>
      <c r="D2595" s="2" t="str">
        <f t="shared" si="39"/>
        <v>Error?</v>
      </c>
    </row>
    <row r="2596" spans="1:4" x14ac:dyDescent="0.2">
      <c r="A2596" s="5">
        <v>2535</v>
      </c>
      <c r="B2596" s="138">
        <f>'Acct Summary 7-8'!F13</f>
        <v>75857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75857</v>
      </c>
      <c r="C2600" s="2" t="s">
        <v>573</v>
      </c>
      <c r="D2600" s="2" t="str">
        <f t="shared" si="39"/>
        <v>Error?</v>
      </c>
    </row>
    <row r="2601" spans="1:4" x14ac:dyDescent="0.2">
      <c r="A2601" s="5">
        <v>2540</v>
      </c>
      <c r="B2601" s="138">
        <f>'Acct Summary 7-8'!F20</f>
        <v>25301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24873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24873</v>
      </c>
      <c r="C2606" s="2" t="s">
        <v>573</v>
      </c>
      <c r="D2606" s="2" t="str">
        <f t="shared" si="39"/>
        <v>Error?</v>
      </c>
    </row>
    <row r="2607" spans="1:4" x14ac:dyDescent="0.2">
      <c r="A2607" s="5">
        <v>2546</v>
      </c>
      <c r="B2607" s="138">
        <f>'Acct Summary 7-8'!G12</f>
        <v>7823</v>
      </c>
      <c r="C2607" s="2" t="s">
        <v>573</v>
      </c>
      <c r="D2607" s="2" t="str">
        <f t="shared" si="39"/>
        <v>Error?</v>
      </c>
    </row>
    <row r="2608" spans="1:4" x14ac:dyDescent="0.2">
      <c r="A2608" s="5">
        <v>2547</v>
      </c>
      <c r="B2608" s="138">
        <f>'Acct Summary 7-8'!G13</f>
        <v>19448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27271</v>
      </c>
      <c r="C2612" s="2" t="s">
        <v>573</v>
      </c>
      <c r="D2612" s="2" t="str">
        <f t="shared" si="39"/>
        <v>Error?</v>
      </c>
    </row>
    <row r="2613" spans="1:4" x14ac:dyDescent="0.2">
      <c r="A2613" s="5">
        <v>2552</v>
      </c>
      <c r="B2613" s="138">
        <f>'Acct Summary 7-8'!G20</f>
        <v>-2398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98972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98972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270953</v>
      </c>
      <c r="C2634" s="2" t="s">
        <v>573</v>
      </c>
      <c r="D2634" s="2" t="str">
        <f t="shared" si="40"/>
        <v>Error?</v>
      </c>
    </row>
    <row r="2635" spans="1:4" x14ac:dyDescent="0.2">
      <c r="A2635" s="5">
        <v>2574</v>
      </c>
      <c r="B2635" s="138">
        <f>'Acct Summary 7-8'!E17</f>
        <v>270953</v>
      </c>
      <c r="C2635" s="2" t="s">
        <v>573</v>
      </c>
      <c r="D2635" s="2" t="str">
        <f t="shared" si="40"/>
        <v>Error?</v>
      </c>
    </row>
    <row r="2636" spans="1:4" x14ac:dyDescent="0.2">
      <c r="A2636" s="5">
        <v>2575</v>
      </c>
      <c r="B2636" s="138">
        <f>'Acct Summary 7-8'!E20</f>
        <v>-171981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40373</v>
      </c>
      <c r="C2789" s="2" t="s">
        <v>573</v>
      </c>
      <c r="D2789" s="2" t="str">
        <f t="shared" si="42"/>
        <v>Error?</v>
      </c>
    </row>
    <row r="2790" spans="1:4" x14ac:dyDescent="0.2">
      <c r="A2790" s="5">
        <v>2729</v>
      </c>
      <c r="B2790" s="138">
        <f>'Expenditures 15-22'!E102</f>
        <v>40373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116623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3902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116623</v>
      </c>
      <c r="D2912" s="2" t="str">
        <f t="shared" si="44"/>
        <v>Error?</v>
      </c>
    </row>
    <row r="2913" spans="1:4" x14ac:dyDescent="0.2">
      <c r="A2913" s="5">
        <v>2852</v>
      </c>
      <c r="B2913" s="138">
        <f>'Assets-Liab 5-6'!I41</f>
        <v>116623</v>
      </c>
      <c r="C2913" s="2" t="s">
        <v>573</v>
      </c>
      <c r="D2913" s="2" t="str">
        <f t="shared" si="44"/>
        <v>Error?</v>
      </c>
    </row>
    <row r="2914" spans="1:4" x14ac:dyDescent="0.2">
      <c r="A2914" s="5">
        <v>2853</v>
      </c>
      <c r="B2914" s="138">
        <f>'Assets-Liab 5-6'!L33</f>
        <v>3902</v>
      </c>
      <c r="D2914" s="2" t="str">
        <f t="shared" si="44"/>
        <v>Error?</v>
      </c>
    </row>
    <row r="2915" spans="1:4" x14ac:dyDescent="0.2">
      <c r="A2915" s="10">
        <v>2854</v>
      </c>
      <c r="D2915" s="2" t="str">
        <f t="shared" si="44"/>
        <v>OK</v>
      </c>
    </row>
    <row r="2916" spans="1:4" x14ac:dyDescent="0.2">
      <c r="A2916" s="5">
        <v>2855</v>
      </c>
      <c r="B2916" s="138">
        <f>'Assets-Liab 5-6'!L34</f>
        <v>3902</v>
      </c>
      <c r="C2916" s="2" t="s">
        <v>573</v>
      </c>
      <c r="D2916" s="2" t="str">
        <f t="shared" si="44"/>
        <v>Error?</v>
      </c>
    </row>
    <row r="2917" spans="1:4" x14ac:dyDescent="0.2">
      <c r="A2917" s="5">
        <v>2856</v>
      </c>
      <c r="B2917" s="138">
        <f>'Assets-Liab 5-6'!L41</f>
        <v>3902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40373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40373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62700</v>
      </c>
      <c r="D3055" s="2" t="str">
        <f t="shared" si="46"/>
        <v>Error?</v>
      </c>
    </row>
    <row r="3056" spans="1:4" x14ac:dyDescent="0.2">
      <c r="A3056" s="5">
        <v>2995</v>
      </c>
      <c r="B3056" s="138">
        <f>'Expenditures 15-22'!D10</f>
        <v>15373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78369</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13171</v>
      </c>
      <c r="C3225" s="2" t="s">
        <v>573</v>
      </c>
      <c r="D3225" s="2" t="str">
        <f t="shared" si="49"/>
        <v>Error?</v>
      </c>
    </row>
    <row r="3226" spans="1:4" x14ac:dyDescent="0.2">
      <c r="A3226" s="5">
        <v>3165</v>
      </c>
      <c r="B3226" s="138">
        <f>'Acct Summary 7-8'!I8</f>
        <v>13171</v>
      </c>
      <c r="C3226" s="2" t="s">
        <v>573</v>
      </c>
      <c r="D3226" s="2" t="str">
        <f t="shared" si="49"/>
        <v>Error?</v>
      </c>
    </row>
    <row r="3227" spans="1:4" x14ac:dyDescent="0.2">
      <c r="A3227" s="5">
        <v>3166</v>
      </c>
      <c r="B3227" s="138">
        <f>'Acct Summary 7-8'!I20</f>
        <v>13171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-11615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-2385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25301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-2398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150000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150000</v>
      </c>
      <c r="C3277" s="2" t="s">
        <v>573</v>
      </c>
      <c r="D3277" s="2" t="str">
        <f t="shared" si="50"/>
        <v>Error?</v>
      </c>
    </row>
    <row r="3278" spans="1:4" x14ac:dyDescent="0.2">
      <c r="A3278" s="5">
        <v>3217</v>
      </c>
      <c r="B3278" s="138">
        <f>'Acct Summary 7-8'!E78</f>
        <v>-21981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150000</v>
      </c>
      <c r="C3318" s="2" t="s">
        <v>573</v>
      </c>
      <c r="D3318" s="2" t="str">
        <f t="shared" si="50"/>
        <v>Error?</v>
      </c>
    </row>
    <row r="3319" spans="1:4" x14ac:dyDescent="0.2">
      <c r="A3319" s="5">
        <v>3258</v>
      </c>
      <c r="B3319" s="138">
        <f>'Acct Summary 7-8'!I77</f>
        <v>-150000</v>
      </c>
      <c r="C3319" s="2" t="s">
        <v>573</v>
      </c>
      <c r="D3319" s="2" t="str">
        <f t="shared" si="50"/>
        <v>Error?</v>
      </c>
    </row>
    <row r="3320" spans="1:4" x14ac:dyDescent="0.2">
      <c r="A3320" s="5">
        <v>3259</v>
      </c>
      <c r="B3320" s="138">
        <f>'Acct Summary 7-8'!I78</f>
        <v>-136829</v>
      </c>
      <c r="C3320" s="2" t="s">
        <v>573</v>
      </c>
      <c r="D3320" s="2" t="str">
        <f t="shared" si="50"/>
        <v>Error?</v>
      </c>
    </row>
    <row r="3321" spans="1:4" x14ac:dyDescent="0.2">
      <c r="A3321" s="5">
        <v>3260</v>
      </c>
      <c r="B3321" s="138">
        <f>'Acct Summary 7-8'!I79</f>
        <v>253452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116623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30264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40389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5478</v>
      </c>
      <c r="D3387" s="2" t="str">
        <f t="shared" si="51"/>
        <v>Error?</v>
      </c>
    </row>
    <row r="3388" spans="1:4" x14ac:dyDescent="0.2">
      <c r="A3388" s="5">
        <v>3327</v>
      </c>
      <c r="B3388" s="138">
        <f>'Expenditures 15-22'!D217</f>
        <v>2307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5478</v>
      </c>
      <c r="C3390" s="2" t="s">
        <v>573</v>
      </c>
      <c r="D3390" s="2" t="str">
        <f t="shared" si="51"/>
        <v>Error?</v>
      </c>
    </row>
    <row r="3391" spans="1:4" x14ac:dyDescent="0.2">
      <c r="A3391" s="5">
        <v>3330</v>
      </c>
      <c r="B3391" s="138">
        <f>'Expenditures 15-22'!K217</f>
        <v>2307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317260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46267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41384</v>
      </c>
      <c r="D3417" s="2" t="str">
        <f t="shared" si="52"/>
        <v>Error?</v>
      </c>
    </row>
    <row r="3418" spans="1:4" x14ac:dyDescent="0.2">
      <c r="A3418" s="10">
        <v>3357</v>
      </c>
      <c r="D3418" s="2" t="str">
        <f t="shared" si="52"/>
        <v>OK</v>
      </c>
    </row>
    <row r="3419" spans="1:4" x14ac:dyDescent="0.2">
      <c r="A3419" s="5">
        <v>3358</v>
      </c>
      <c r="B3419" s="138">
        <f>'Assets-Liab 5-6'!F4</f>
        <v>133733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31184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1209</v>
      </c>
      <c r="D3425" s="2" t="str">
        <f t="shared" si="52"/>
        <v>Error?</v>
      </c>
    </row>
    <row r="3426" spans="1:4" x14ac:dyDescent="0.2">
      <c r="A3426" s="10">
        <v>3365</v>
      </c>
      <c r="D3426" s="2" t="str">
        <f t="shared" si="52"/>
        <v>OK</v>
      </c>
    </row>
    <row r="3427" spans="1:4" x14ac:dyDescent="0.2">
      <c r="A3427" s="5">
        <v>3366</v>
      </c>
      <c r="B3427" s="138">
        <f>'Assets-Liab 5-6'!I4</f>
        <v>46623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3902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16610</v>
      </c>
      <c r="C3446" s="2" t="s">
        <v>573</v>
      </c>
      <c r="D3446" s="2" t="str">
        <f t="shared" si="52"/>
        <v>Error?</v>
      </c>
    </row>
    <row r="3447" spans="1:4" x14ac:dyDescent="0.2">
      <c r="A3447" s="5">
        <v>3386</v>
      </c>
      <c r="B3447" s="138">
        <f>'Tax Sched 23'!D16</f>
        <v>9599</v>
      </c>
      <c r="C3447" s="2" t="s">
        <v>573</v>
      </c>
      <c r="D3447" s="2" t="str">
        <f t="shared" si="52"/>
        <v>Error?</v>
      </c>
    </row>
    <row r="3448" spans="1:4" x14ac:dyDescent="0.2">
      <c r="A3448" s="5">
        <v>3387</v>
      </c>
      <c r="B3448" s="138">
        <f>'Tax Sched 23'!C16</f>
        <v>7011</v>
      </c>
      <c r="D3448" s="2" t="str">
        <f t="shared" si="52"/>
        <v>Error?</v>
      </c>
    </row>
    <row r="3449" spans="1:4" x14ac:dyDescent="0.2">
      <c r="A3449" s="5">
        <v>3388</v>
      </c>
      <c r="B3449" s="138">
        <f>'Tax Sched 23'!F16</f>
        <v>12989</v>
      </c>
      <c r="C3449" s="2" t="s">
        <v>573</v>
      </c>
      <c r="D3449" s="2" t="str">
        <f t="shared" si="52"/>
        <v>Error?</v>
      </c>
    </row>
    <row r="3450" spans="1:4" x14ac:dyDescent="0.2">
      <c r="A3450" s="5">
        <v>3389</v>
      </c>
      <c r="B3450" s="138">
        <f>'Tax Sched 23'!E16</f>
        <v>20000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36016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36016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36016</v>
      </c>
      <c r="D3567" s="2" t="str">
        <f t="shared" si="54"/>
        <v>Error?</v>
      </c>
    </row>
    <row r="3568" spans="1:4" x14ac:dyDescent="0.2">
      <c r="A3568" s="5">
        <v>3507</v>
      </c>
      <c r="B3568" s="138">
        <f>'Assets-Liab 5-6'!K41</f>
        <v>36016</v>
      </c>
      <c r="C3568" s="2" t="s">
        <v>573</v>
      </c>
      <c r="D3568" s="2" t="str">
        <f t="shared" si="54"/>
        <v>Error?</v>
      </c>
    </row>
    <row r="3569" spans="1:4" x14ac:dyDescent="0.2">
      <c r="A3569" s="5">
        <v>3508</v>
      </c>
      <c r="B3569" s="138">
        <f>'Acct Summary 7-8'!K4</f>
        <v>11064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11064</v>
      </c>
      <c r="C3571" s="2" t="s">
        <v>573</v>
      </c>
      <c r="D3571" s="2" t="str">
        <f t="shared" si="54"/>
        <v>Error?</v>
      </c>
    </row>
    <row r="3572" spans="1:4" x14ac:dyDescent="0.2">
      <c r="A3572" s="5">
        <v>3511</v>
      </c>
      <c r="B3572" s="138">
        <f>'Acct Summary 7-8'!K13</f>
        <v>4909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4909</v>
      </c>
      <c r="C3575" s="2" t="s">
        <v>573</v>
      </c>
      <c r="D3575" s="2" t="str">
        <f t="shared" si="54"/>
        <v>Error?</v>
      </c>
    </row>
    <row r="3576" spans="1:4" x14ac:dyDescent="0.2">
      <c r="A3576" s="5">
        <v>3515</v>
      </c>
      <c r="B3576" s="138">
        <f>'Acct Summary 7-8'!K20</f>
        <v>6155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6155</v>
      </c>
      <c r="C3588" s="2" t="s">
        <v>573</v>
      </c>
      <c r="D3588" s="2" t="str">
        <f t="shared" si="55"/>
        <v>Error?</v>
      </c>
    </row>
    <row r="3589" spans="1:4" x14ac:dyDescent="0.2">
      <c r="A3589" s="5">
        <v>3528</v>
      </c>
      <c r="B3589" s="138">
        <f>'Acct Summary 7-8'!K79</f>
        <v>29861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36016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4909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4909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4909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4909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4909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4909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4909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6155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5774</v>
      </c>
      <c r="C3725" s="2" t="s">
        <v>573</v>
      </c>
      <c r="D3725" s="2" t="str">
        <f t="shared" si="57"/>
        <v>Error?</v>
      </c>
    </row>
    <row r="3726" spans="1:4" x14ac:dyDescent="0.2">
      <c r="A3726" s="5">
        <v>3665</v>
      </c>
      <c r="B3726" s="138">
        <f>'Tax Sched 23'!D13</f>
        <v>1199</v>
      </c>
      <c r="C3726" s="2" t="s">
        <v>573</v>
      </c>
      <c r="D3726" s="2" t="str">
        <f t="shared" si="57"/>
        <v>Error?</v>
      </c>
    </row>
    <row r="3727" spans="1:4" x14ac:dyDescent="0.2">
      <c r="A3727" s="5">
        <v>3666</v>
      </c>
      <c r="B3727" s="138">
        <f>'Tax Sched 23'!C13</f>
        <v>4575</v>
      </c>
      <c r="D3727" s="2" t="str">
        <f t="shared" si="57"/>
        <v>Error?</v>
      </c>
    </row>
    <row r="3728" spans="1:4" x14ac:dyDescent="0.2">
      <c r="A3728" s="5">
        <v>3667</v>
      </c>
      <c r="B3728" s="138">
        <f>'Tax Sched 23'!F13</f>
        <v>8475</v>
      </c>
      <c r="C3728" s="2" t="s">
        <v>573</v>
      </c>
      <c r="D3728" s="2" t="str">
        <f t="shared" si="57"/>
        <v>Error?</v>
      </c>
    </row>
    <row r="3729" spans="1:4" x14ac:dyDescent="0.2">
      <c r="A3729" s="5">
        <v>3668</v>
      </c>
      <c r="B3729" s="138">
        <f>'Tax Sched 23'!E13</f>
        <v>13050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483143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1429564</v>
      </c>
      <c r="C4122" s="2" t="s">
        <v>573</v>
      </c>
      <c r="D4122" s="2" t="str">
        <f t="shared" si="63"/>
        <v>Error?</v>
      </c>
    </row>
    <row r="4123" spans="1:4" x14ac:dyDescent="0.2">
      <c r="A4123" s="5">
        <v>4062</v>
      </c>
      <c r="B4123" s="138">
        <f>'Acct Summary 7-8'!D10</f>
        <v>86017</v>
      </c>
      <c r="C4123" s="2" t="s">
        <v>573</v>
      </c>
      <c r="D4123" s="2" t="str">
        <f t="shared" si="63"/>
        <v>Error?</v>
      </c>
    </row>
    <row r="4124" spans="1:4" x14ac:dyDescent="0.2">
      <c r="A4124" s="5">
        <v>4063</v>
      </c>
      <c r="B4124" s="138">
        <f>'Acct Summary 7-8'!E10</f>
        <v>98972</v>
      </c>
      <c r="C4124" s="2" t="s">
        <v>573</v>
      </c>
      <c r="D4124" s="2" t="str">
        <f t="shared" si="63"/>
        <v>Error?</v>
      </c>
    </row>
    <row r="4125" spans="1:4" x14ac:dyDescent="0.2">
      <c r="A4125" s="5">
        <v>4064</v>
      </c>
      <c r="B4125" s="138">
        <f>'Acct Summary 7-8'!F10</f>
        <v>101158</v>
      </c>
      <c r="C4125" s="2" t="s">
        <v>573</v>
      </c>
      <c r="D4125" s="2" t="str">
        <f t="shared" si="63"/>
        <v>Error?</v>
      </c>
    </row>
    <row r="4126" spans="1:4" x14ac:dyDescent="0.2">
      <c r="A4126" s="5">
        <v>4065</v>
      </c>
      <c r="B4126" s="138">
        <f>'Acct Summary 7-8'!G10</f>
        <v>24873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13171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11064</v>
      </c>
      <c r="C4130" s="2" t="s">
        <v>573</v>
      </c>
      <c r="D4130" s="2" t="str">
        <f t="shared" si="63"/>
        <v>Error?</v>
      </c>
    </row>
    <row r="4131" spans="1:4" x14ac:dyDescent="0.2">
      <c r="A4131" s="5">
        <v>4070</v>
      </c>
      <c r="B4131" s="138">
        <f>'Acct Summary 7-8'!C18</f>
        <v>483143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1441179</v>
      </c>
      <c r="C4136" s="2" t="s">
        <v>573</v>
      </c>
      <c r="D4136" s="2" t="str">
        <f t="shared" si="63"/>
        <v>Error?</v>
      </c>
    </row>
    <row r="4137" spans="1:4" x14ac:dyDescent="0.2">
      <c r="A4137" s="5">
        <v>4076</v>
      </c>
      <c r="B4137" s="138">
        <f>'Acct Summary 7-8'!D19</f>
        <v>88402</v>
      </c>
      <c r="C4137" s="2" t="s">
        <v>573</v>
      </c>
      <c r="D4137" s="2" t="str">
        <f t="shared" si="63"/>
        <v>Error?</v>
      </c>
    </row>
    <row r="4138" spans="1:4" x14ac:dyDescent="0.2">
      <c r="A4138" s="5">
        <v>4077</v>
      </c>
      <c r="B4138" s="138">
        <f>'Acct Summary 7-8'!E19</f>
        <v>270953</v>
      </c>
      <c r="C4138" s="2" t="s">
        <v>573</v>
      </c>
      <c r="D4138" s="2" t="str">
        <f t="shared" si="63"/>
        <v>Error?</v>
      </c>
    </row>
    <row r="4139" spans="1:4" x14ac:dyDescent="0.2">
      <c r="A4139" s="5">
        <v>4078</v>
      </c>
      <c r="B4139" s="138">
        <f>'Acct Summary 7-8'!F19</f>
        <v>75857</v>
      </c>
      <c r="C4139" s="2" t="s">
        <v>573</v>
      </c>
      <c r="D4139" s="2" t="str">
        <f t="shared" si="63"/>
        <v>Error?</v>
      </c>
    </row>
    <row r="4140" spans="1:4" x14ac:dyDescent="0.2">
      <c r="A4140" s="5">
        <v>4079</v>
      </c>
      <c r="B4140" s="138">
        <f>'Acct Summary 7-8'!G19</f>
        <v>27271</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4909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234340</v>
      </c>
      <c r="C4171" s="2" t="s">
        <v>573</v>
      </c>
      <c r="D4171" s="2" t="str">
        <f t="shared" si="64"/>
        <v>Error?</v>
      </c>
    </row>
    <row r="4172" spans="1:4" x14ac:dyDescent="0.2">
      <c r="A4172" s="5">
        <v>4111</v>
      </c>
      <c r="B4172" s="138">
        <f>'Short-Term Long-Term Debt 24'!J49</f>
        <v>192956</v>
      </c>
      <c r="C4172" s="2" t="s">
        <v>573</v>
      </c>
      <c r="D4172" s="2" t="str">
        <f t="shared" si="64"/>
        <v>Error?</v>
      </c>
    </row>
    <row r="4173" spans="1:4" x14ac:dyDescent="0.2">
      <c r="A4173" s="5">
        <v>4112</v>
      </c>
      <c r="B4173" s="138">
        <f>'Short-Term Long-Term Debt 24'!H49</f>
        <v>246022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3028.8599999999997</v>
      </c>
      <c r="C4265" s="2" t="s">
        <v>573</v>
      </c>
      <c r="D4265" s="2" t="str">
        <f t="shared" si="65"/>
        <v>Error?</v>
      </c>
      <c r="E4265" s="128"/>
    </row>
    <row r="4266" spans="1:5" x14ac:dyDescent="0.2">
      <c r="A4266" s="12">
        <v>4205</v>
      </c>
      <c r="B4266" s="138">
        <f>('FP Info 3'!F10)*100000</f>
        <v>257.45999999999998</v>
      </c>
      <c r="C4266" s="2" t="s">
        <v>573</v>
      </c>
      <c r="D4266" s="2" t="str">
        <f t="shared" si="65"/>
        <v>Error?</v>
      </c>
      <c r="E4266" s="128"/>
    </row>
    <row r="4267" spans="1:5" x14ac:dyDescent="0.2">
      <c r="A4267" s="12">
        <v>4206</v>
      </c>
      <c r="B4267" s="138">
        <f>('FP Info 3'!H10)*100000</f>
        <v>118.77999999999999</v>
      </c>
      <c r="C4267" s="2" t="s">
        <v>573</v>
      </c>
      <c r="D4267" s="2" t="str">
        <f t="shared" si="65"/>
        <v>Error?</v>
      </c>
      <c r="E4267" s="128"/>
    </row>
    <row r="4268" spans="1:5" x14ac:dyDescent="0.2">
      <c r="A4268" s="12">
        <v>4207</v>
      </c>
      <c r="B4268" s="138">
        <f>('FP Info 3'!J10)*100000</f>
        <v>3404.9999999999995</v>
      </c>
      <c r="C4268" s="2" t="s">
        <v>573</v>
      </c>
      <c r="D4268" s="2" t="str">
        <f t="shared" si="65"/>
        <v>Error?</v>
      </c>
    </row>
    <row r="4269" spans="1:5" x14ac:dyDescent="0.2">
      <c r="A4269" s="12">
        <v>4208</v>
      </c>
      <c r="B4269" s="138">
        <f>'FP Info 3'!J16</f>
        <v>758883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5394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1376</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1376</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8814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3771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49.49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16710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31520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26368309</v>
      </c>
      <c r="D4995" s="2" t="str">
        <f t="shared" si="77"/>
        <v>Error?</v>
      </c>
    </row>
    <row r="4996" spans="1:4" x14ac:dyDescent="0.2">
      <c r="A4996" s="12">
        <v>4935</v>
      </c>
      <c r="B4996" s="138">
        <f>'FP Info 3'!H31</f>
        <v>1819413.3210000002</v>
      </c>
      <c r="D4996" s="2" t="str">
        <f t="shared" si="77"/>
        <v>Error?</v>
      </c>
    </row>
    <row r="4997" spans="1:4" x14ac:dyDescent="0.2">
      <c r="A4997" s="12">
        <v>4936</v>
      </c>
      <c r="B4997" s="138">
        <f>'FP Info 3'!H37</f>
        <v>234340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5774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645510</v>
      </c>
      <c r="D5061" s="2" t="str">
        <f t="shared" si="78"/>
        <v>Error?</v>
      </c>
    </row>
    <row r="5062" spans="1:4" x14ac:dyDescent="0.2">
      <c r="A5062" s="10">
        <v>5001</v>
      </c>
      <c r="D5062" s="2" t="str">
        <f t="shared" si="78"/>
        <v>OK</v>
      </c>
    </row>
    <row r="5063" spans="1:4" x14ac:dyDescent="0.2">
      <c r="A5063" s="5">
        <v>5002</v>
      </c>
      <c r="B5063" s="138">
        <f>'Revenues 9-14'!C7</f>
        <v>4219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655503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4878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4878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851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12748</v>
      </c>
      <c r="C5096" s="2" t="s">
        <v>573</v>
      </c>
      <c r="D5096" s="2" t="str">
        <f t="shared" si="78"/>
        <v>Error?</v>
      </c>
    </row>
    <row r="5097" spans="1:4" x14ac:dyDescent="0.2">
      <c r="A5097" s="5">
        <v>5036</v>
      </c>
      <c r="B5097" s="138">
        <f>'Revenues 9-14'!C77</f>
        <v>1919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1731</v>
      </c>
      <c r="D5101" s="2" t="str">
        <f t="shared" si="78"/>
        <v>Error?</v>
      </c>
    </row>
    <row r="5102" spans="1:4" x14ac:dyDescent="0.2">
      <c r="A5102" s="5">
        <v>5041</v>
      </c>
      <c r="B5102" s="138">
        <f>'Revenues 9-14'!C82</f>
        <v>3650</v>
      </c>
      <c r="C5102" s="2" t="s">
        <v>573</v>
      </c>
      <c r="D5102" s="2" t="str">
        <f t="shared" si="78"/>
        <v>Error?</v>
      </c>
    </row>
    <row r="5103" spans="1:4" x14ac:dyDescent="0.2">
      <c r="A5103" s="5">
        <v>5042</v>
      </c>
      <c r="B5103" s="138">
        <f>'Revenues 9-14'!C84</f>
        <v>3988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3988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8349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3061</v>
      </c>
      <c r="D5118" s="2" t="str">
        <f t="shared" si="78"/>
        <v>Error?</v>
      </c>
    </row>
    <row r="5119" spans="1:4" x14ac:dyDescent="0.2">
      <c r="A5119" s="5">
        <v>5058</v>
      </c>
      <c r="B5119" s="138">
        <f>'Revenues 9-14'!C107</f>
        <v>885</v>
      </c>
      <c r="D5119" s="2" t="str">
        <f t="shared" ref="D5119:D5182" si="79">IF(ISBLANK(B5119),"OK",IF(A5119-B5119=0,"OK","Error?"))</f>
        <v>Error?</v>
      </c>
    </row>
    <row r="5120" spans="1:4" x14ac:dyDescent="0.2">
      <c r="A5120" s="5">
        <v>5059</v>
      </c>
      <c r="B5120" s="138">
        <f>'Revenues 9-14'!C108</f>
        <v>29005</v>
      </c>
      <c r="C5120" s="2" t="s">
        <v>573</v>
      </c>
      <c r="D5120" s="2" t="str">
        <f t="shared" si="79"/>
        <v>Error?</v>
      </c>
    </row>
    <row r="5121" spans="1:4" x14ac:dyDescent="0.2">
      <c r="A5121" s="5">
        <v>5060</v>
      </c>
      <c r="B5121" s="138">
        <f>'Revenues 9-14'!C109</f>
        <v>709772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114810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114810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982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115792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31520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17410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17410</v>
      </c>
      <c r="C5246" s="2" t="s">
        <v>573</v>
      </c>
      <c r="D5246" s="2" t="str">
        <f t="shared" si="80"/>
        <v>Error?</v>
      </c>
    </row>
    <row r="5247" spans="1:4" x14ac:dyDescent="0.2">
      <c r="A5247" s="5">
        <v>5186</v>
      </c>
      <c r="B5247" s="138">
        <f>'Revenues 9-14'!C200</f>
        <v>47881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8814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47881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4691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4691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89337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120857</v>
      </c>
      <c r="C5326" s="2" t="s">
        <v>573</v>
      </c>
      <c r="D5326" s="2" t="str">
        <f t="shared" si="82"/>
        <v>Error?</v>
      </c>
    </row>
    <row r="5327" spans="1:5" x14ac:dyDescent="0.2">
      <c r="A5327" s="5">
        <v>5266</v>
      </c>
      <c r="B5327" s="138">
        <f>'Revenues 9-14'!C268</f>
        <v>946421</v>
      </c>
      <c r="C5327" s="2" t="s">
        <v>573</v>
      </c>
      <c r="D5327" s="2" t="str">
        <f t="shared" si="82"/>
        <v>Error?</v>
      </c>
    </row>
    <row r="5328" spans="1:5" x14ac:dyDescent="0.2">
      <c r="A5328" s="5">
        <v>5267</v>
      </c>
      <c r="B5328" s="138">
        <f>'Revenues 9-14'!D5</f>
        <v>52738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52738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32609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32609</v>
      </c>
      <c r="C5339" s="2" t="s">
        <v>573</v>
      </c>
      <c r="D5339" s="2" t="str">
        <f t="shared" si="82"/>
        <v>Error?</v>
      </c>
    </row>
    <row r="5340" spans="1:4" x14ac:dyDescent="0.2">
      <c r="A5340" s="5">
        <v>5279</v>
      </c>
      <c r="B5340" s="138">
        <f>'Revenues 9-14'!D65</f>
        <v>650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650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v>
      </c>
      <c r="D5354" s="2" t="str">
        <f t="shared" si="82"/>
        <v>Error?</v>
      </c>
    </row>
    <row r="5355" spans="1:4" x14ac:dyDescent="0.2">
      <c r="A5355" s="5">
        <v>5294</v>
      </c>
      <c r="B5355" s="138">
        <f>'Revenues 9-14'!D108</f>
        <v>20</v>
      </c>
      <c r="C5355" s="2" t="s">
        <v>573</v>
      </c>
      <c r="D5355" s="2" t="str">
        <f t="shared" si="82"/>
        <v>Error?</v>
      </c>
    </row>
    <row r="5356" spans="1:4" x14ac:dyDescent="0.2">
      <c r="A5356" s="5">
        <v>5295</v>
      </c>
      <c r="B5356" s="138">
        <f>'Revenues 9-14'!D109</f>
        <v>86017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86017</v>
      </c>
      <c r="C5508" s="2" t="s">
        <v>573</v>
      </c>
      <c r="D5508" s="2" t="str">
        <f t="shared" si="85"/>
        <v>Error?</v>
      </c>
    </row>
    <row r="5509" spans="1:4" x14ac:dyDescent="0.2">
      <c r="A5509" s="5">
        <v>5448</v>
      </c>
      <c r="B5509" s="138">
        <f>'Revenues 9-14'!E5</f>
        <v>98570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98570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402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98972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98972</v>
      </c>
      <c r="C5552" s="2" t="s">
        <v>573</v>
      </c>
      <c r="D5552" s="2" t="str">
        <f t="shared" si="85"/>
        <v>Error?</v>
      </c>
    </row>
    <row r="5553" spans="1:4" x14ac:dyDescent="0.2">
      <c r="A5553" s="5">
        <v>5492</v>
      </c>
      <c r="B5553" s="138">
        <f>'Revenues 9-14'!F5</f>
        <v>25315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25315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3215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3215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28530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72628</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72628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72628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72628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101158</v>
      </c>
      <c r="C5720" s="2" t="s">
        <v>573</v>
      </c>
      <c r="D5720" s="2" t="str">
        <f t="shared" si="88"/>
        <v>Error?</v>
      </c>
    </row>
    <row r="5721" spans="1:4" x14ac:dyDescent="0.2">
      <c r="A5721" s="5">
        <v>5660</v>
      </c>
      <c r="B5721" s="138">
        <f>'Revenues 9-14'!G5</f>
        <v>6957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16610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23567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783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783</v>
      </c>
      <c r="C5730" s="2" t="s">
        <v>573</v>
      </c>
      <c r="D5730" s="2" t="str">
        <f t="shared" si="88"/>
        <v>Error?</v>
      </c>
    </row>
    <row r="5731" spans="1:4" x14ac:dyDescent="0.2">
      <c r="A5731" s="5">
        <v>5670</v>
      </c>
      <c r="B5731" s="138">
        <f>'Revenues 9-14'!G65</f>
        <v>523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523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24873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10548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10548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2623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13171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10548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10548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11064</v>
      </c>
      <c r="C6023" s="2" t="s">
        <v>573</v>
      </c>
      <c r="D6023" s="2" t="str">
        <f t="shared" si="93"/>
        <v>Error?</v>
      </c>
    </row>
    <row r="6024" spans="1:5" x14ac:dyDescent="0.2">
      <c r="A6024" s="5">
        <v>5963</v>
      </c>
      <c r="B6024" s="138">
        <f>'Revenues 9-14'!G109</f>
        <v>24873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13171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11064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11897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83.06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54541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54541</v>
      </c>
      <c r="D6215" s="2" t="str">
        <f t="shared" si="96"/>
        <v>Error?</v>
      </c>
      <c r="E6215" s="2" t="s">
        <v>190</v>
      </c>
    </row>
    <row r="6216" spans="1:5" x14ac:dyDescent="0.2">
      <c r="A6216">
        <v>6155</v>
      </c>
      <c r="B6216" s="138">
        <f>'Assets-Liab 5-6'!J41</f>
        <v>54541</v>
      </c>
      <c r="D6216" s="2" t="str">
        <f t="shared" si="96"/>
        <v>Error?</v>
      </c>
      <c r="E6216" s="2" t="s">
        <v>190</v>
      </c>
    </row>
    <row r="6217" spans="1:5" x14ac:dyDescent="0.2">
      <c r="A6217">
        <v>6156</v>
      </c>
      <c r="B6217" s="138">
        <f>'Assets-Liab 5-6'!J4</f>
        <v>54541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95752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95752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95752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153351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153351</v>
      </c>
      <c r="D6229" s="2" t="str">
        <f t="shared" si="96"/>
        <v>Error?</v>
      </c>
      <c r="E6229" s="2" t="s">
        <v>190</v>
      </c>
    </row>
    <row r="6230" spans="1:5" x14ac:dyDescent="0.2">
      <c r="A6230">
        <v>6169</v>
      </c>
      <c r="B6230" s="138">
        <f>'Acct Summary 7-8'!J20</f>
        <v>-57599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-57599</v>
      </c>
      <c r="D6263" s="2" t="str">
        <f t="shared" si="96"/>
        <v>Error?</v>
      </c>
      <c r="E6263" s="2" t="s">
        <v>190</v>
      </c>
    </row>
    <row r="6264" spans="1:5" x14ac:dyDescent="0.2">
      <c r="A6264">
        <v>6203</v>
      </c>
      <c r="B6264" s="138">
        <f>'Acct Summary 7-8'!J79</f>
        <v>112140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54541</v>
      </c>
      <c r="D6266" s="2" t="str">
        <f t="shared" si="96"/>
        <v>Error?</v>
      </c>
      <c r="E6266" s="2" t="s">
        <v>190</v>
      </c>
    </row>
    <row r="6267" spans="1:5" x14ac:dyDescent="0.2">
      <c r="A6267">
        <v>6206</v>
      </c>
      <c r="B6267" s="138">
        <f>'Acct Summary 7-8'!C82</f>
        <v>-11615</v>
      </c>
      <c r="D6267" s="2" t="str">
        <f t="shared" si="96"/>
        <v>Error?</v>
      </c>
      <c r="E6267" s="2" t="s">
        <v>190</v>
      </c>
    </row>
    <row r="6268" spans="1:5" x14ac:dyDescent="0.2">
      <c r="A6268">
        <v>6207</v>
      </c>
      <c r="B6268" s="138">
        <f>'Acct Summary 7-8'!D82</f>
        <v>-2385</v>
      </c>
      <c r="D6268" s="2" t="str">
        <f t="shared" si="96"/>
        <v>Error?</v>
      </c>
      <c r="E6268" s="2" t="s">
        <v>190</v>
      </c>
    </row>
    <row r="6269" spans="1:5" x14ac:dyDescent="0.2">
      <c r="A6269">
        <v>6208</v>
      </c>
      <c r="B6269" s="138">
        <f>'Acct Summary 7-8'!E82</f>
        <v>-21981</v>
      </c>
      <c r="D6269" s="2" t="str">
        <f t="shared" si="96"/>
        <v>Error?</v>
      </c>
      <c r="E6269" s="2" t="s">
        <v>190</v>
      </c>
    </row>
    <row r="6270" spans="1:5" x14ac:dyDescent="0.2">
      <c r="A6270">
        <v>6209</v>
      </c>
      <c r="B6270" s="138">
        <f>'Acct Summary 7-8'!F82</f>
        <v>25301</v>
      </c>
      <c r="D6270" s="2" t="str">
        <f t="shared" si="96"/>
        <v>Error?</v>
      </c>
      <c r="E6270" s="2" t="s">
        <v>190</v>
      </c>
    </row>
    <row r="6271" spans="1:5" x14ac:dyDescent="0.2">
      <c r="A6271">
        <v>6210</v>
      </c>
      <c r="B6271" s="138">
        <f>'Acct Summary 7-8'!G82</f>
        <v>-2398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-136829</v>
      </c>
      <c r="D6273" s="2" t="str">
        <f t="shared" si="97"/>
        <v>Error?</v>
      </c>
      <c r="E6273" s="2" t="s">
        <v>190</v>
      </c>
    </row>
    <row r="6274" spans="1:5" x14ac:dyDescent="0.2">
      <c r="A6274">
        <v>6213</v>
      </c>
      <c r="B6274" s="138">
        <f>'Acct Summary 7-8'!J82</f>
        <v>-57599</v>
      </c>
      <c r="D6274" s="2" t="str">
        <f t="shared" si="97"/>
        <v>Error?</v>
      </c>
      <c r="E6274" s="2" t="s">
        <v>190</v>
      </c>
    </row>
    <row r="6275" spans="1:5" x14ac:dyDescent="0.2">
      <c r="A6275">
        <v>6214</v>
      </c>
      <c r="B6275" s="138">
        <f>'Acct Summary 7-8'!K82</f>
        <v>6155</v>
      </c>
      <c r="D6275" s="2" t="str">
        <f t="shared" si="97"/>
        <v>Error?</v>
      </c>
      <c r="E6275" s="2" t="s">
        <v>190</v>
      </c>
    </row>
    <row r="6276" spans="1:5" x14ac:dyDescent="0.2">
      <c r="A6276">
        <v>6215</v>
      </c>
      <c r="B6276" s="138">
        <f>'Acct Summary 7-8'!C83</f>
        <v>-3.6610351131564016E-2</v>
      </c>
      <c r="D6276" s="2" t="str">
        <f t="shared" si="97"/>
        <v>Error?</v>
      </c>
      <c r="E6276" s="2" t="s">
        <v>190</v>
      </c>
    </row>
    <row r="6277" spans="1:5" x14ac:dyDescent="0.2">
      <c r="A6277">
        <v>6216</v>
      </c>
      <c r="B6277" s="138">
        <f>'Acct Summary 7-8'!D83</f>
        <v>-2.9347705710805125E-2</v>
      </c>
      <c r="D6277" s="2" t="str">
        <f t="shared" si="97"/>
        <v>Error?</v>
      </c>
      <c r="E6277" s="2" t="s">
        <v>190</v>
      </c>
    </row>
    <row r="6278" spans="1:5" x14ac:dyDescent="0.2">
      <c r="A6278">
        <v>6217</v>
      </c>
      <c r="B6278" s="138">
        <f>'Acct Summary 7-8'!E83</f>
        <v>-0.53114730330562532</v>
      </c>
      <c r="D6278" s="2" t="str">
        <f t="shared" si="97"/>
        <v>Error?</v>
      </c>
      <c r="E6278" s="2" t="s">
        <v>190</v>
      </c>
    </row>
    <row r="6279" spans="1:5" x14ac:dyDescent="0.2">
      <c r="A6279">
        <v>6218</v>
      </c>
      <c r="B6279" s="138">
        <f>'Acct Summary 7-8'!F83</f>
        <v>0.10380621417698875</v>
      </c>
      <c r="D6279" s="2" t="str">
        <f t="shared" si="97"/>
        <v>Error?</v>
      </c>
      <c r="E6279" s="2" t="s">
        <v>190</v>
      </c>
    </row>
    <row r="6280" spans="1:5" x14ac:dyDescent="0.2">
      <c r="A6280">
        <v>6219</v>
      </c>
      <c r="B6280" s="138">
        <f>'Acct Summary 7-8'!G83</f>
        <v>-3.9193253138075312E-2</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-1.1732591341330612</v>
      </c>
      <c r="D6282" s="2" t="str">
        <f t="shared" si="97"/>
        <v>Error?</v>
      </c>
      <c r="E6282" s="2" t="s">
        <v>190</v>
      </c>
    </row>
    <row r="6283" spans="1:5" x14ac:dyDescent="0.2">
      <c r="A6283">
        <v>6222</v>
      </c>
      <c r="B6283" s="138">
        <f>'Acct Summary 7-8'!J83</f>
        <v>-1.0560679122128307</v>
      </c>
      <c r="D6283" s="2" t="str">
        <f t="shared" si="97"/>
        <v>Error?</v>
      </c>
      <c r="E6283" s="2" t="s">
        <v>190</v>
      </c>
    </row>
    <row r="6284" spans="1:5" x14ac:dyDescent="0.2">
      <c r="A6284">
        <v>6223</v>
      </c>
      <c r="B6284" s="138">
        <f>'Acct Summary 7-8'!K83</f>
        <v>0.17089626832518881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92990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92990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2762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2762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95752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153351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95752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22366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22366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126425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126425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126425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26926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153351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126425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26926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153351</v>
      </c>
      <c r="D7224" s="2" t="str">
        <f t="shared" si="111"/>
        <v>Error?</v>
      </c>
    </row>
    <row r="7225" spans="1:4" x14ac:dyDescent="0.2">
      <c r="A7225">
        <v>7164</v>
      </c>
      <c r="B7225" s="138">
        <f>'Expenditures 15-22'!K343</f>
        <v>-57599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89968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2019</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2019</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4219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150000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13585</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1"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1989</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Kings Cons SD 144</v>
      </c>
      <c r="B7" s="2403"/>
      <c r="C7" s="2403"/>
      <c r="D7" s="2404"/>
      <c r="E7" s="2405">
        <f>COVER!A13</f>
        <v>47071144003</v>
      </c>
      <c r="F7" s="2406"/>
      <c r="G7" s="2412" t="str">
        <f>COVER!T23</f>
        <v>066-004656</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NEWKIRK &amp; ASSOCIATES, INC.</v>
      </c>
      <c r="H9" s="2418"/>
      <c r="I9" s="2418"/>
      <c r="J9" s="2418"/>
      <c r="K9" s="2418"/>
      <c r="L9" s="2419"/>
    </row>
    <row r="10" spans="1:29" ht="13.5" customHeight="1" x14ac:dyDescent="0.2">
      <c r="A10" s="2392" t="str">
        <f>COVER!A38</f>
        <v>MATT LAMB</v>
      </c>
      <c r="B10" s="2393"/>
      <c r="C10" s="2393"/>
      <c r="D10" s="2393"/>
      <c r="E10" s="2393"/>
      <c r="F10" s="2394"/>
      <c r="G10" s="2386" t="str">
        <f>COVER!T17</f>
        <v>2 W. MAIN STREET</v>
      </c>
      <c r="H10" s="2387"/>
      <c r="I10" s="2387"/>
      <c r="J10" s="2387"/>
      <c r="K10" s="2387"/>
      <c r="L10" s="2388"/>
    </row>
    <row r="11" spans="1:29" ht="13.5" customHeight="1" x14ac:dyDescent="0.2">
      <c r="A11" s="1184" t="s">
        <v>1519</v>
      </c>
      <c r="B11" s="1185"/>
      <c r="C11" s="1186"/>
      <c r="D11" s="1191"/>
      <c r="E11" s="1186"/>
      <c r="F11" s="1190"/>
      <c r="G11" s="2386" t="str">
        <f>COVER!T19</f>
        <v>PLANO</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bnewkirk@newkirkcpas.com</v>
      </c>
      <c r="J13" s="2399"/>
      <c r="K13" s="2399"/>
      <c r="L13" s="2400"/>
    </row>
    <row r="14" spans="1:29" ht="13.5" customHeight="1" x14ac:dyDescent="0.2">
      <c r="A14" s="2386" t="str">
        <f>COVER!A19</f>
        <v>100 FIRST STREET</v>
      </c>
      <c r="B14" s="2387"/>
      <c r="C14" s="2387"/>
      <c r="D14" s="2387"/>
      <c r="E14" s="2387"/>
      <c r="F14" s="2388"/>
      <c r="G14" s="1195" t="s">
        <v>1185</v>
      </c>
      <c r="H14" s="1193"/>
      <c r="I14" s="1193"/>
      <c r="J14" s="1193"/>
      <c r="K14" s="1193"/>
      <c r="L14" s="1194"/>
    </row>
    <row r="15" spans="1:29" ht="13.5" customHeight="1" x14ac:dyDescent="0.2">
      <c r="A15" s="2386" t="str">
        <f>COVER!A21</f>
        <v>KINGS</v>
      </c>
      <c r="B15" s="2387"/>
      <c r="C15" s="2387"/>
      <c r="D15" s="2387"/>
      <c r="E15" s="2387"/>
      <c r="F15" s="2388"/>
      <c r="G15" s="2383" t="str">
        <f>COVER!T15</f>
        <v>WILLIAM J. NEWKIRK</v>
      </c>
      <c r="H15" s="2384"/>
      <c r="I15" s="2384"/>
      <c r="J15" s="2384"/>
      <c r="K15" s="2384"/>
      <c r="L15" s="2385"/>
    </row>
    <row r="16" spans="1:29" ht="12.2" customHeight="1" x14ac:dyDescent="0.2">
      <c r="A16" s="2408">
        <f>COVER!A25</f>
        <v>61068</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630-552-1040</v>
      </c>
      <c r="H18" s="2403"/>
      <c r="I18" s="2403"/>
      <c r="J18" s="2403"/>
      <c r="K18" s="2402" t="str">
        <f>COVER!X21</f>
        <v>630-552-7399</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Kings Cons SD 144</v>
      </c>
      <c r="B1" s="2401"/>
      <c r="C1" s="2401"/>
      <c r="D1" s="2401"/>
    </row>
    <row r="2" spans="1:11" s="1212" customFormat="1" ht="12.75" x14ac:dyDescent="0.2">
      <c r="A2" s="2425">
        <f>'Single Audit Cover'!E7</f>
        <v>47071144003</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Kings Cons SD 144</v>
      </c>
      <c r="B1" s="2428"/>
      <c r="C1" s="2428"/>
      <c r="D1" s="2428"/>
      <c r="E1" s="2428"/>
    </row>
    <row r="2" spans="1:5" x14ac:dyDescent="0.2">
      <c r="A2" s="2429">
        <f>'Single Audit Cover'!E7</f>
        <v>47071144003</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120857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-5394</v>
      </c>
    </row>
    <row r="19" spans="1:4" ht="13.5" thickBot="1" x14ac:dyDescent="0.25">
      <c r="A19" s="1262" t="s">
        <v>1235</v>
      </c>
      <c r="D19" s="1263">
        <f>SUM(D10:D17)</f>
        <v>115463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115463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115463</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6"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Kings Cons SD 144</v>
      </c>
      <c r="C1" s="2432"/>
      <c r="D1" s="2432"/>
      <c r="E1" s="2432"/>
      <c r="F1" s="2432"/>
      <c r="G1" s="2432"/>
      <c r="H1" s="2432"/>
      <c r="I1" s="2432"/>
      <c r="J1" s="2432"/>
      <c r="K1" s="2432"/>
      <c r="L1" s="2432"/>
      <c r="M1" s="2432"/>
    </row>
    <row r="2" spans="2:14" ht="15" x14ac:dyDescent="0.2">
      <c r="B2" s="2433">
        <f>'Single Audit Cover'!E7</f>
        <v>47071144003</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Kings Cons SD 144</v>
      </c>
      <c r="B1" s="2445"/>
      <c r="C1" s="2445"/>
      <c r="D1" s="2445"/>
      <c r="E1" s="2445"/>
      <c r="F1" s="2445"/>
    </row>
    <row r="2" spans="1:7" ht="13.5" customHeight="1" x14ac:dyDescent="0.2">
      <c r="A2" s="2433">
        <f>'Single Audit Cover'!E7</f>
        <v>47071144003</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1732</v>
      </c>
      <c r="B32" s="2438"/>
      <c r="C32" s="2438"/>
      <c r="D32" s="2438"/>
      <c r="E32" s="2438"/>
      <c r="F32" s="2438"/>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9">
        <f>+C33+C34</f>
        <v>0</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2089</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2090</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Kings Cons SD 144</v>
      </c>
      <c r="C1" s="2460"/>
      <c r="D1" s="2460"/>
      <c r="E1" s="2460"/>
      <c r="F1" s="2460"/>
      <c r="G1" s="2460"/>
      <c r="H1" s="2460"/>
      <c r="I1" s="2460"/>
      <c r="J1" s="1406"/>
    </row>
    <row r="2" spans="2:10" s="317" customFormat="1" ht="12.75" customHeight="1" x14ac:dyDescent="0.2">
      <c r="B2" s="2461">
        <f>'Single Audit Cover'!E7</f>
        <v>47071144003</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0</v>
      </c>
      <c r="H43" s="2451"/>
      <c r="I43" s="2451"/>
    </row>
    <row r="44" spans="2:9" ht="12.75" customHeight="1" x14ac:dyDescent="0.2"/>
    <row r="45" spans="2:9" ht="12.75" customHeight="1" x14ac:dyDescent="0.2">
      <c r="B45" s="1419" t="s">
        <v>1841</v>
      </c>
      <c r="D45" s="2452">
        <v>0</v>
      </c>
      <c r="E45" s="245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4"/>
      <c r="F49" s="2454"/>
      <c r="G49" s="245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Kings Cons SD 144</v>
      </c>
      <c r="C1" s="2459"/>
      <c r="D1" s="2459"/>
      <c r="E1" s="2459"/>
      <c r="F1" s="2459"/>
      <c r="G1" s="2459"/>
      <c r="H1" s="2459"/>
      <c r="I1" s="2459"/>
      <c r="J1" s="2459"/>
      <c r="K1" s="2459"/>
      <c r="L1" s="1371"/>
      <c r="M1" s="1371"/>
    </row>
    <row r="2" spans="1:13" ht="12" customHeight="1" x14ac:dyDescent="0.2">
      <c r="B2" s="2461">
        <f>'Single Audit Cover'!E7</f>
        <v>47071144003</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Kings Cons SD 144</v>
      </c>
      <c r="C1" s="2482"/>
      <c r="D1" s="2482"/>
      <c r="E1" s="2482"/>
      <c r="F1" s="2482"/>
      <c r="G1" s="2482"/>
      <c r="H1" s="2482"/>
      <c r="I1" s="2482"/>
      <c r="J1" s="2482"/>
      <c r="K1" s="2482"/>
      <c r="L1" s="1449"/>
    </row>
    <row r="2" spans="1:12" ht="12.75" customHeight="1" x14ac:dyDescent="0.2">
      <c r="B2" s="2483">
        <f>'Single Audit Cover'!E7</f>
        <v>47071144003</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Kings Cons SD 144</v>
      </c>
      <c r="C1" s="2459"/>
      <c r="D1" s="2459"/>
      <c r="E1" s="1469"/>
    </row>
    <row r="2" spans="2:5" s="1279" customFormat="1" ht="12.75" customHeight="1" x14ac:dyDescent="0.2">
      <c r="B2" s="2461">
        <f>'Single Audit Cover'!E7</f>
        <v>47071144003</v>
      </c>
      <c r="C2" s="2461"/>
      <c r="D2" s="2461"/>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26368309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3.0288599999999999E-2</v>
      </c>
      <c r="E10" s="356" t="s">
        <v>1005</v>
      </c>
      <c r="F10" s="355">
        <v>2.5745999999999998E-3</v>
      </c>
      <c r="G10" s="356" t="s">
        <v>1005</v>
      </c>
      <c r="H10" s="355">
        <v>1.1877999999999999E-3</v>
      </c>
      <c r="I10" s="356" t="s">
        <v>1006</v>
      </c>
      <c r="J10" s="1732">
        <f>ROUND(D10+F10+H10,5)</f>
        <v>3.4049999999999997E-2</v>
      </c>
      <c r="K10" s="222"/>
      <c r="L10" s="355">
        <v>4.9490000000000005E-4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1146767</v>
      </c>
      <c r="E16" s="356"/>
      <c r="F16" s="1733">
        <f>SUM('Acct Summary 7-8'!C17,'Acct Summary 7-8'!D17,'Acct Summary 7-8'!F17)</f>
        <v>1122295</v>
      </c>
      <c r="G16" s="356"/>
      <c r="H16" s="1733">
        <f>SUM(D16-F16)</f>
        <v>24472</v>
      </c>
      <c r="I16" s="222"/>
      <c r="J16" s="1733">
        <f>SUM('Acct Summary 7-8'!C81,'Acct Summary 7-8'!D81,'Acct Summary 7-8'!F81,'Acct Summary 7-8'!I81)</f>
        <v>758883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1819413.3210000002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234340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E13" zoomScale="110" zoomScaleNormal="110" workbookViewId="0">
      <selection activeCell="H12" sqref="H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Kings Cons SD 144</v>
      </c>
      <c r="E7" s="391"/>
      <c r="G7" s="252"/>
      <c r="H7" s="387"/>
      <c r="I7" s="387"/>
      <c r="J7" s="387"/>
      <c r="K7" s="387"/>
      <c r="L7" s="329"/>
      <c r="M7" s="329"/>
      <c r="N7" s="329"/>
      <c r="O7" s="329"/>
      <c r="P7" s="329"/>
    </row>
    <row r="8" spans="1:18" ht="12.75" x14ac:dyDescent="0.2">
      <c r="A8" s="329"/>
      <c r="B8" s="329"/>
      <c r="C8" s="389" t="s">
        <v>1125</v>
      </c>
      <c r="D8" s="392">
        <f>COVER!A13</f>
        <v>47071144003</v>
      </c>
      <c r="E8" s="393"/>
      <c r="G8" s="329"/>
      <c r="H8" s="329"/>
      <c r="I8" s="329"/>
      <c r="J8" s="329"/>
      <c r="K8" s="329"/>
      <c r="L8" s="329"/>
      <c r="M8" s="329"/>
      <c r="N8" s="329"/>
      <c r="O8" s="329"/>
      <c r="P8" s="329"/>
    </row>
    <row r="9" spans="1:18" ht="12.75" x14ac:dyDescent="0.2">
      <c r="A9" s="329"/>
      <c r="B9" s="329"/>
      <c r="C9" s="389" t="s">
        <v>713</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758883</v>
      </c>
      <c r="I12" s="404"/>
      <c r="J12" s="404"/>
      <c r="K12" s="405">
        <f>TRUNC((H12/H13*100000),5)/100000</f>
        <v>0.66175866579999998</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1146767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1122295</v>
      </c>
      <c r="I17" s="404"/>
      <c r="J17" s="416"/>
      <c r="K17" s="405">
        <f>TRUNC((H17/H18*100000),5)/100000</f>
        <v>0.97866000669999997</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1146767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758883</v>
      </c>
      <c r="I24" s="422"/>
      <c r="J24" s="422"/>
      <c r="K24" s="423">
        <f>TRUNC(((H24/H25*100000)/100000),2)</f>
        <v>243.42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3117.4861099999998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763164.78322999994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234340</v>
      </c>
      <c r="I32" s="420"/>
      <c r="J32" s="420"/>
      <c r="K32" s="423">
        <f>TRUNC(100-((((H32/H33*100))*100)/100),2)</f>
        <v>87.12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1819413.3210000002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15" activePane="bottomLeft" state="frozen"/>
      <selection pane="bottomLeft" activeCell="G38" sqref="G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317260</v>
      </c>
      <c r="D4" s="466">
        <v>46267</v>
      </c>
      <c r="E4" s="466">
        <v>41384</v>
      </c>
      <c r="F4" s="466">
        <v>133733</v>
      </c>
      <c r="G4" s="466">
        <v>31184</v>
      </c>
      <c r="H4" s="466">
        <v>1209</v>
      </c>
      <c r="I4" s="466">
        <v>46623</v>
      </c>
      <c r="J4" s="467">
        <v>54541</v>
      </c>
      <c r="K4" s="466">
        <v>36016</v>
      </c>
      <c r="L4" s="466">
        <v>3902</v>
      </c>
      <c r="M4" s="468"/>
      <c r="N4" s="469"/>
    </row>
    <row r="5" spans="1:14" x14ac:dyDescent="0.2">
      <c r="A5" s="463" t="s">
        <v>992</v>
      </c>
      <c r="B5" s="470">
        <v>120</v>
      </c>
      <c r="C5" s="465"/>
      <c r="D5" s="466">
        <v>35000</v>
      </c>
      <c r="E5" s="466"/>
      <c r="F5" s="466">
        <v>110000</v>
      </c>
      <c r="G5" s="466">
        <v>30000</v>
      </c>
      <c r="H5" s="466"/>
      <c r="I5" s="466">
        <v>70000</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317260</v>
      </c>
      <c r="D13" s="1737">
        <f t="shared" ref="D13:L13" si="0">SUM(D4:D12)</f>
        <v>81267</v>
      </c>
      <c r="E13" s="1737">
        <f t="shared" si="0"/>
        <v>41384</v>
      </c>
      <c r="F13" s="1737">
        <f t="shared" si="0"/>
        <v>243733</v>
      </c>
      <c r="G13" s="1737">
        <f t="shared" si="0"/>
        <v>61184</v>
      </c>
      <c r="H13" s="1737">
        <f t="shared" si="0"/>
        <v>1209</v>
      </c>
      <c r="I13" s="1737">
        <f t="shared" si="0"/>
        <v>116623</v>
      </c>
      <c r="J13" s="1737">
        <f t="shared" si="0"/>
        <v>54541</v>
      </c>
      <c r="K13" s="1737">
        <f t="shared" si="0"/>
        <v>36016</v>
      </c>
      <c r="L13" s="1737">
        <f t="shared" si="0"/>
        <v>3902</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2500</v>
      </c>
      <c r="N16" s="484"/>
    </row>
    <row r="17" spans="1:14" s="485" customFormat="1" ht="12.75" customHeight="1" x14ac:dyDescent="0.2">
      <c r="A17" s="482" t="s">
        <v>1403</v>
      </c>
      <c r="B17" s="483">
        <v>230</v>
      </c>
      <c r="C17" s="477"/>
      <c r="D17" s="477"/>
      <c r="E17" s="477"/>
      <c r="F17" s="477"/>
      <c r="G17" s="477"/>
      <c r="H17" s="477"/>
      <c r="I17" s="477"/>
      <c r="J17" s="477"/>
      <c r="K17" s="477"/>
      <c r="L17" s="477"/>
      <c r="M17" s="467">
        <v>1523375</v>
      </c>
      <c r="N17" s="484"/>
    </row>
    <row r="18" spans="1:14" s="485" customFormat="1" ht="12.75" customHeight="1" x14ac:dyDescent="0.2">
      <c r="A18" s="482" t="s">
        <v>1404</v>
      </c>
      <c r="B18" s="483">
        <v>240</v>
      </c>
      <c r="C18" s="477"/>
      <c r="D18" s="477"/>
      <c r="E18" s="477"/>
      <c r="F18" s="477"/>
      <c r="G18" s="477"/>
      <c r="H18" s="477"/>
      <c r="I18" s="477"/>
      <c r="J18" s="477"/>
      <c r="K18" s="477"/>
      <c r="L18" s="477"/>
      <c r="M18" s="467">
        <v>108136</v>
      </c>
      <c r="N18" s="484"/>
    </row>
    <row r="19" spans="1:14" s="485" customFormat="1" ht="12.75" customHeight="1" x14ac:dyDescent="0.2">
      <c r="A19" s="482" t="s">
        <v>1405</v>
      </c>
      <c r="B19" s="483">
        <v>250</v>
      </c>
      <c r="C19" s="477"/>
      <c r="D19" s="477"/>
      <c r="E19" s="477"/>
      <c r="F19" s="477"/>
      <c r="G19" s="477"/>
      <c r="H19" s="477"/>
      <c r="I19" s="477"/>
      <c r="J19" s="477"/>
      <c r="K19" s="477"/>
      <c r="L19" s="477"/>
      <c r="M19" s="467">
        <v>73762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+E13</f>
        <v>41384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192956</v>
      </c>
    </row>
    <row r="23" spans="1:14" ht="13.5" customHeight="1" thickBot="1" x14ac:dyDescent="0.25">
      <c r="A23" s="1736" t="s">
        <v>643</v>
      </c>
      <c r="B23" s="1741"/>
      <c r="C23" s="468"/>
      <c r="D23" s="468"/>
      <c r="E23" s="468"/>
      <c r="F23" s="468"/>
      <c r="G23" s="468"/>
      <c r="H23" s="468"/>
      <c r="I23" s="468"/>
      <c r="J23" s="468"/>
      <c r="K23" s="468"/>
      <c r="L23" s="468"/>
      <c r="M23" s="1688">
        <f>SUM(M15:M22)</f>
        <v>1707773</v>
      </c>
      <c r="N23" s="1688">
        <f>SUM(N21:N22)</f>
        <v>234340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3902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3902</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234340</v>
      </c>
    </row>
    <row r="37" spans="1:14" ht="13.5" thickBot="1" x14ac:dyDescent="0.25">
      <c r="A37" s="1736" t="s">
        <v>653</v>
      </c>
      <c r="B37" s="1741"/>
      <c r="C37" s="477"/>
      <c r="D37" s="477"/>
      <c r="E37" s="477"/>
      <c r="F37" s="477"/>
      <c r="G37" s="477"/>
      <c r="H37" s="477"/>
      <c r="I37" s="477"/>
      <c r="J37" s="477"/>
      <c r="K37" s="477"/>
      <c r="L37" s="480"/>
      <c r="M37" s="468"/>
      <c r="N37" s="1688">
        <f>SUM(N36:N36)</f>
        <v>234340</v>
      </c>
    </row>
    <row r="38" spans="1:14" s="329" customFormat="1" ht="13.5" customHeight="1" thickTop="1" x14ac:dyDescent="0.2">
      <c r="A38" s="496" t="s">
        <v>420</v>
      </c>
      <c r="B38" s="483">
        <v>714</v>
      </c>
      <c r="C38" s="466">
        <v>11504</v>
      </c>
      <c r="D38" s="466"/>
      <c r="E38" s="466"/>
      <c r="F38" s="466"/>
      <c r="G38" s="466"/>
      <c r="H38" s="466"/>
      <c r="I38" s="466"/>
      <c r="J38" s="467"/>
      <c r="K38" s="466"/>
      <c r="L38" s="481"/>
      <c r="M38" s="497"/>
      <c r="N38" s="497"/>
    </row>
    <row r="39" spans="1:14" s="329" customFormat="1" ht="13.5" customHeight="1" x14ac:dyDescent="0.2">
      <c r="A39" s="496" t="s">
        <v>342</v>
      </c>
      <c r="B39" s="483">
        <v>730</v>
      </c>
      <c r="C39" s="466">
        <f>317260-11504</f>
        <v>305756</v>
      </c>
      <c r="D39" s="466">
        <v>81267</v>
      </c>
      <c r="E39" s="466">
        <v>41384</v>
      </c>
      <c r="F39" s="466">
        <v>243733</v>
      </c>
      <c r="G39" s="466">
        <f>61184-G38</f>
        <v>61184</v>
      </c>
      <c r="H39" s="466">
        <v>1209</v>
      </c>
      <c r="I39" s="466">
        <v>116623</v>
      </c>
      <c r="J39" s="467">
        <v>54541</v>
      </c>
      <c r="K39" s="466">
        <v>36016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1707773</v>
      </c>
      <c r="N40" s="497"/>
    </row>
    <row r="41" spans="1:14" ht="13.5" customHeight="1" thickBot="1" x14ac:dyDescent="0.25">
      <c r="A41" s="1736" t="s">
        <v>655</v>
      </c>
      <c r="B41" s="1706"/>
      <c r="C41" s="1688">
        <f>(SUM(C34,C37,C38,C39))</f>
        <v>317260</v>
      </c>
      <c r="D41" s="1688">
        <f t="shared" ref="D41:L41" si="2">SUM(D34,D37,D38:D39)</f>
        <v>81267</v>
      </c>
      <c r="E41" s="1688">
        <f t="shared" si="2"/>
        <v>41384</v>
      </c>
      <c r="F41" s="1688">
        <f t="shared" si="2"/>
        <v>243733</v>
      </c>
      <c r="G41" s="1688">
        <f t="shared" si="2"/>
        <v>61184</v>
      </c>
      <c r="H41" s="1688">
        <f t="shared" si="2"/>
        <v>1209</v>
      </c>
      <c r="I41" s="1688">
        <f t="shared" si="2"/>
        <v>116623</v>
      </c>
      <c r="J41" s="1688">
        <f t="shared" si="2"/>
        <v>54541</v>
      </c>
      <c r="K41" s="1688">
        <f t="shared" si="2"/>
        <v>36016</v>
      </c>
      <c r="L41" s="1688">
        <f t="shared" si="2"/>
        <v>3902</v>
      </c>
      <c r="M41" s="1688">
        <f>SUM(M40)</f>
        <v>1707773</v>
      </c>
      <c r="N41" s="1688">
        <f>SUM(N37)</f>
        <v>234340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0" zoomScaleNormal="80" zoomScaleSheetLayoutView="100" workbookViewId="0">
      <pane ySplit="2" topLeftCell="A69"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709772</v>
      </c>
      <c r="D4" s="1742">
        <f>'Revenues 9-14'!D109</f>
        <v>86017</v>
      </c>
      <c r="E4" s="1742">
        <f>'Revenues 9-14'!E109</f>
        <v>98972</v>
      </c>
      <c r="F4" s="1742">
        <f>'Revenues 9-14'!F109</f>
        <v>28530</v>
      </c>
      <c r="G4" s="1742">
        <f>'Revenues 9-14'!G109</f>
        <v>24873</v>
      </c>
      <c r="H4" s="1742">
        <f>'Revenues 9-14'!H109</f>
        <v>0</v>
      </c>
      <c r="I4" s="1742">
        <f>'Revenues 9-14'!I109</f>
        <v>13171</v>
      </c>
      <c r="J4" s="1742">
        <f>'Revenues 9-14'!J109</f>
        <v>95752</v>
      </c>
      <c r="K4" s="1742">
        <f>'Revenues 9-14'!K109</f>
        <v>11064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115792</v>
      </c>
      <c r="D6" s="1743">
        <f>'Revenues 9-14'!D170</f>
        <v>0</v>
      </c>
      <c r="E6" s="1743">
        <f>'Revenues 9-14'!E170</f>
        <v>0</v>
      </c>
      <c r="F6" s="1743">
        <f>'Revenues 9-14'!F170</f>
        <v>72628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120857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946421</v>
      </c>
      <c r="D8" s="1688">
        <f t="shared" ref="D8:K8" si="0">SUM(D4:D7)</f>
        <v>86017</v>
      </c>
      <c r="E8" s="1688">
        <f t="shared" si="0"/>
        <v>98972</v>
      </c>
      <c r="F8" s="1688">
        <f t="shared" si="0"/>
        <v>101158</v>
      </c>
      <c r="G8" s="1688">
        <f t="shared" si="0"/>
        <v>24873</v>
      </c>
      <c r="H8" s="1688">
        <f t="shared" si="0"/>
        <v>0</v>
      </c>
      <c r="I8" s="1688">
        <f t="shared" si="0"/>
        <v>13171</v>
      </c>
      <c r="J8" s="1688">
        <f t="shared" si="0"/>
        <v>95752</v>
      </c>
      <c r="K8" s="1688">
        <f t="shared" si="0"/>
        <v>11064</v>
      </c>
      <c r="L8" s="347"/>
    </row>
    <row r="9" spans="1:13" ht="15.75" thickTop="1" x14ac:dyDescent="0.2">
      <c r="A9" s="514" t="s">
        <v>1653</v>
      </c>
      <c r="B9" s="515">
        <v>3998</v>
      </c>
      <c r="C9" s="481">
        <f>475506+7637</f>
        <v>483143</v>
      </c>
      <c r="D9" s="516"/>
      <c r="E9" s="481"/>
      <c r="F9" s="481"/>
      <c r="G9" s="517"/>
      <c r="H9" s="481"/>
      <c r="I9" s="509" t="s">
        <v>1169</v>
      </c>
      <c r="J9" s="478"/>
      <c r="K9" s="481"/>
      <c r="L9" s="347"/>
    </row>
    <row r="10" spans="1:13" s="519" customFormat="1" ht="13.5" thickBot="1" x14ac:dyDescent="0.25">
      <c r="A10" s="1736" t="s">
        <v>1173</v>
      </c>
      <c r="B10" s="1709"/>
      <c r="C10" s="1688">
        <f>SUM(C8:C9)</f>
        <v>1429564</v>
      </c>
      <c r="D10" s="1688">
        <f t="shared" ref="D10:K10" si="1">SUM(D8:D9)</f>
        <v>86017</v>
      </c>
      <c r="E10" s="1688">
        <f t="shared" si="1"/>
        <v>98972</v>
      </c>
      <c r="F10" s="1688">
        <f t="shared" si="1"/>
        <v>101158</v>
      </c>
      <c r="G10" s="1688">
        <f t="shared" si="1"/>
        <v>24873</v>
      </c>
      <c r="H10" s="1688">
        <f t="shared" si="1"/>
        <v>0</v>
      </c>
      <c r="I10" s="1688">
        <f t="shared" si="1"/>
        <v>13171</v>
      </c>
      <c r="J10" s="1688">
        <f t="shared" si="1"/>
        <v>95752</v>
      </c>
      <c r="K10" s="1688">
        <f t="shared" si="1"/>
        <v>11064</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663178</v>
      </c>
      <c r="D12" s="520" t="s">
        <v>1169</v>
      </c>
      <c r="E12" s="468" t="s">
        <v>1169</v>
      </c>
      <c r="F12" s="468" t="s">
        <v>1169</v>
      </c>
      <c r="G12" s="1742">
        <f>'Expenditures 15-22'!K229</f>
        <v>7823</v>
      </c>
      <c r="H12" s="521"/>
      <c r="I12" s="468" t="s">
        <v>1169</v>
      </c>
      <c r="J12" s="468" t="s">
        <v>1169</v>
      </c>
      <c r="K12" s="521" t="s">
        <v>1169</v>
      </c>
      <c r="L12" s="347"/>
    </row>
    <row r="13" spans="1:13" ht="15.75" customHeight="1" x14ac:dyDescent="0.2">
      <c r="A13" s="1576" t="s">
        <v>457</v>
      </c>
      <c r="B13" s="1578">
        <v>2000</v>
      </c>
      <c r="C13" s="1743">
        <f>'Expenditures 15-22'!K74</f>
        <v>251984</v>
      </c>
      <c r="D13" s="1743">
        <f>'Expenditures 15-22'!K129</f>
        <v>88402</v>
      </c>
      <c r="E13" s="469" t="s">
        <v>1169</v>
      </c>
      <c r="F13" s="1743">
        <f>'Expenditures 15-22'!K184</f>
        <v>75857</v>
      </c>
      <c r="G13" s="1743">
        <f>'Expenditures 15-22'!K279</f>
        <v>19448</v>
      </c>
      <c r="H13" s="1743">
        <f>'Expenditures 15-22'!K303</f>
        <v>0</v>
      </c>
      <c r="I13" s="468" t="s">
        <v>1169</v>
      </c>
      <c r="J13" s="1743">
        <f>'Expenditures 15-22'!K330</f>
        <v>153351</v>
      </c>
      <c r="K13" s="1747">
        <f>'Expenditures 15-22'!K352</f>
        <v>4909</v>
      </c>
      <c r="L13" s="347"/>
    </row>
    <row r="14" spans="1:13" ht="15.75" customHeight="1" x14ac:dyDescent="0.2">
      <c r="A14" s="1576" t="s">
        <v>449</v>
      </c>
      <c r="B14" s="1578">
        <v>3000</v>
      </c>
      <c r="C14" s="1743">
        <f>'Expenditures 15-22'!K75</f>
        <v>2501</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40373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270953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958036</v>
      </c>
      <c r="D17" s="1688">
        <f t="shared" si="2"/>
        <v>88402</v>
      </c>
      <c r="E17" s="1688">
        <f t="shared" si="2"/>
        <v>270953</v>
      </c>
      <c r="F17" s="1688">
        <f t="shared" si="2"/>
        <v>75857</v>
      </c>
      <c r="G17" s="1688">
        <f t="shared" si="2"/>
        <v>27271</v>
      </c>
      <c r="H17" s="1688">
        <f t="shared" si="2"/>
        <v>0</v>
      </c>
      <c r="I17" s="468"/>
      <c r="J17" s="1688">
        <f>SUM(J12:J16)</f>
        <v>153351</v>
      </c>
      <c r="K17" s="1688">
        <f>SUM(K12:K16)</f>
        <v>4909</v>
      </c>
      <c r="L17" s="347"/>
    </row>
    <row r="18" spans="1:12" ht="15" customHeight="1" thickTop="1" x14ac:dyDescent="0.2">
      <c r="A18" s="1744" t="s">
        <v>1654</v>
      </c>
      <c r="B18" s="1745">
        <v>4180</v>
      </c>
      <c r="C18" s="1742">
        <f t="shared" ref="C18:H18" si="3">C9</f>
        <v>483143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1441179</v>
      </c>
      <c r="D19" s="1688">
        <f t="shared" si="4"/>
        <v>88402</v>
      </c>
      <c r="E19" s="1688">
        <f t="shared" si="4"/>
        <v>270953</v>
      </c>
      <c r="F19" s="1688">
        <f t="shared" si="4"/>
        <v>75857</v>
      </c>
      <c r="G19" s="1688">
        <f t="shared" si="4"/>
        <v>27271</v>
      </c>
      <c r="H19" s="1688">
        <f t="shared" si="4"/>
        <v>0</v>
      </c>
      <c r="I19" s="468"/>
      <c r="J19" s="1688">
        <f>SUM(J17:J18)</f>
        <v>153351</v>
      </c>
      <c r="K19" s="1688">
        <f>SUM(K17:K18)</f>
        <v>4909</v>
      </c>
      <c r="L19" s="347"/>
    </row>
    <row r="20" spans="1:12" ht="16.5" thickTop="1" thickBot="1" x14ac:dyDescent="0.25">
      <c r="A20" s="2125" t="s">
        <v>1655</v>
      </c>
      <c r="B20" s="2126"/>
      <c r="C20" s="1746">
        <f>C8-C17</f>
        <v>-11615</v>
      </c>
      <c r="D20" s="1746">
        <f t="shared" ref="D20:K20" si="5">D8-D17</f>
        <v>-2385</v>
      </c>
      <c r="E20" s="1746">
        <f t="shared" si="5"/>
        <v>-171981</v>
      </c>
      <c r="F20" s="1746">
        <f t="shared" si="5"/>
        <v>25301</v>
      </c>
      <c r="G20" s="1746">
        <f t="shared" si="5"/>
        <v>-2398</v>
      </c>
      <c r="H20" s="1746">
        <f t="shared" si="5"/>
        <v>0</v>
      </c>
      <c r="I20" s="1746">
        <f t="shared" si="5"/>
        <v>13171</v>
      </c>
      <c r="J20" s="1746">
        <f t="shared" si="5"/>
        <v>-57599</v>
      </c>
      <c r="K20" s="1746">
        <f t="shared" si="5"/>
        <v>6155</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v>150000</v>
      </c>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150000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150000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150000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150000</v>
      </c>
      <c r="F77" s="1703">
        <f t="shared" si="8"/>
        <v>0</v>
      </c>
      <c r="G77" s="1703">
        <f t="shared" si="8"/>
        <v>0</v>
      </c>
      <c r="H77" s="1703">
        <f t="shared" si="8"/>
        <v>0</v>
      </c>
      <c r="I77" s="1703">
        <f t="shared" si="8"/>
        <v>-150000</v>
      </c>
      <c r="J77" s="1703">
        <f t="shared" si="8"/>
        <v>0</v>
      </c>
      <c r="K77" s="1703">
        <f t="shared" si="8"/>
        <v>0</v>
      </c>
      <c r="L77" s="347"/>
    </row>
    <row r="78" spans="1:12" ht="21.75" customHeight="1" thickTop="1" thickBot="1" x14ac:dyDescent="0.25">
      <c r="A78" s="2121" t="s">
        <v>597</v>
      </c>
      <c r="B78" s="2122"/>
      <c r="C78" s="1702">
        <f t="shared" ref="C78:K78" si="9">C20+C77</f>
        <v>-11615</v>
      </c>
      <c r="D78" s="1702">
        <f t="shared" si="9"/>
        <v>-2385</v>
      </c>
      <c r="E78" s="1702">
        <f t="shared" si="9"/>
        <v>-21981</v>
      </c>
      <c r="F78" s="1702">
        <f t="shared" si="9"/>
        <v>25301</v>
      </c>
      <c r="G78" s="1702">
        <f t="shared" si="9"/>
        <v>-2398</v>
      </c>
      <c r="H78" s="1702">
        <f t="shared" si="9"/>
        <v>0</v>
      </c>
      <c r="I78" s="1702">
        <f t="shared" si="9"/>
        <v>-136829</v>
      </c>
      <c r="J78" s="1702">
        <f t="shared" si="9"/>
        <v>-57599</v>
      </c>
      <c r="K78" s="1702">
        <f t="shared" si="9"/>
        <v>6155</v>
      </c>
      <c r="L78" s="533"/>
    </row>
    <row r="79" spans="1:12" ht="13.5" thickTop="1" x14ac:dyDescent="0.2">
      <c r="A79" s="1494" t="s">
        <v>1949</v>
      </c>
      <c r="B79" s="534"/>
      <c r="C79" s="478">
        <v>328875</v>
      </c>
      <c r="D79" s="535">
        <v>83652</v>
      </c>
      <c r="E79" s="535">
        <v>63365</v>
      </c>
      <c r="F79" s="535">
        <v>218432</v>
      </c>
      <c r="G79" s="535">
        <v>63582</v>
      </c>
      <c r="H79" s="535">
        <v>1209</v>
      </c>
      <c r="I79" s="535">
        <v>253452</v>
      </c>
      <c r="J79" s="535">
        <v>112140</v>
      </c>
      <c r="K79" s="535">
        <v>29861</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317260</v>
      </c>
      <c r="D81" s="1688">
        <f>SUM(D78:D80)</f>
        <v>81267</v>
      </c>
      <c r="E81" s="1688">
        <f t="shared" ref="E81:K81" si="10">SUM(E78:E80)</f>
        <v>41384</v>
      </c>
      <c r="F81" s="1688">
        <f t="shared" si="10"/>
        <v>243733</v>
      </c>
      <c r="G81" s="1688">
        <f t="shared" si="10"/>
        <v>61184</v>
      </c>
      <c r="H81" s="1688">
        <f t="shared" si="10"/>
        <v>1209</v>
      </c>
      <c r="I81" s="1688">
        <f t="shared" si="10"/>
        <v>116623</v>
      </c>
      <c r="J81" s="1688">
        <f t="shared" si="10"/>
        <v>54541</v>
      </c>
      <c r="K81" s="1688">
        <f t="shared" si="10"/>
        <v>36016</v>
      </c>
      <c r="L81" s="347"/>
    </row>
    <row r="82" spans="1:12" ht="0.75" customHeight="1" thickTop="1" thickBot="1" x14ac:dyDescent="0.25">
      <c r="A82" s="536" t="s">
        <v>343</v>
      </c>
      <c r="B82" s="537"/>
      <c r="C82" s="538">
        <f>(C81-C79)</f>
        <v>-11615</v>
      </c>
      <c r="D82" s="538">
        <f t="shared" ref="D82:K82" si="11">(D81-D79)</f>
        <v>-2385</v>
      </c>
      <c r="E82" s="538">
        <f t="shared" si="11"/>
        <v>-21981</v>
      </c>
      <c r="F82" s="538">
        <f t="shared" si="11"/>
        <v>25301</v>
      </c>
      <c r="G82" s="538">
        <f t="shared" si="11"/>
        <v>-2398</v>
      </c>
      <c r="H82" s="538">
        <f t="shared" si="11"/>
        <v>0</v>
      </c>
      <c r="I82" s="538">
        <f t="shared" si="11"/>
        <v>-136829</v>
      </c>
      <c r="J82" s="538">
        <f t="shared" si="11"/>
        <v>-57599</v>
      </c>
      <c r="K82" s="538">
        <f t="shared" si="11"/>
        <v>6155</v>
      </c>
    </row>
    <row r="83" spans="1:12" ht="14.25" hidden="1" thickTop="1" thickBot="1" x14ac:dyDescent="0.25">
      <c r="A83" s="539" t="s">
        <v>344</v>
      </c>
      <c r="B83" s="464"/>
      <c r="C83" s="540">
        <f>C82/C81</f>
        <v>-3.6610351131564016E-2</v>
      </c>
      <c r="D83" s="540">
        <f t="shared" ref="D83:K83" si="12">D82/D81</f>
        <v>-2.9347705710805125E-2</v>
      </c>
      <c r="E83" s="540">
        <f t="shared" si="12"/>
        <v>-0.53114730330562532</v>
      </c>
      <c r="F83" s="540">
        <f t="shared" si="12"/>
        <v>0.10380621417698875</v>
      </c>
      <c r="G83" s="540">
        <f t="shared" si="12"/>
        <v>-3.9193253138075312E-2</v>
      </c>
      <c r="H83" s="540">
        <f t="shared" si="12"/>
        <v>0</v>
      </c>
      <c r="I83" s="540">
        <f t="shared" si="12"/>
        <v>-1.1732591341330612</v>
      </c>
      <c r="J83" s="540">
        <f t="shared" si="12"/>
        <v>-1.0560679122128307</v>
      </c>
      <c r="K83" s="540">
        <f t="shared" si="12"/>
        <v>0.17089626832518881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5" zoomScaleNormal="115" zoomScaleSheetLayoutView="75" workbookViewId="0">
      <pane ySplit="2" topLeftCell="A165" activePane="bottomLeft" state="frozen"/>
      <selection pane="bottomLeft" activeCell="C186" sqref="C18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645510</v>
      </c>
      <c r="D5" s="481">
        <v>52738</v>
      </c>
      <c r="E5" s="466">
        <v>98570</v>
      </c>
      <c r="F5" s="548">
        <v>25315</v>
      </c>
      <c r="G5" s="466">
        <v>6957</v>
      </c>
      <c r="H5" s="466"/>
      <c r="I5" s="466">
        <v>10548</v>
      </c>
      <c r="J5" s="467">
        <v>92990</v>
      </c>
      <c r="K5" s="466">
        <v>10548</v>
      </c>
    </row>
    <row r="6" spans="1:12" ht="15" x14ac:dyDescent="0.2">
      <c r="A6" s="463" t="s">
        <v>1662</v>
      </c>
      <c r="B6" s="470">
        <v>1130</v>
      </c>
      <c r="C6" s="466">
        <v>5774</v>
      </c>
      <c r="D6" s="466"/>
      <c r="E6" s="475"/>
      <c r="F6" s="475"/>
      <c r="G6" s="468"/>
      <c r="H6" s="468"/>
      <c r="I6" s="468"/>
      <c r="J6" s="468"/>
      <c r="K6" s="468"/>
    </row>
    <row r="7" spans="1:12" x14ac:dyDescent="0.2">
      <c r="A7" s="463" t="s">
        <v>110</v>
      </c>
      <c r="B7" s="549">
        <v>1140</v>
      </c>
      <c r="C7" s="466">
        <v>4219</v>
      </c>
      <c r="D7" s="466"/>
      <c r="E7" s="468"/>
      <c r="F7" s="467"/>
      <c r="G7" s="467"/>
      <c r="H7" s="467"/>
      <c r="I7" s="468"/>
      <c r="J7" s="468"/>
      <c r="K7" s="468"/>
    </row>
    <row r="8" spans="1:12" x14ac:dyDescent="0.2">
      <c r="A8" s="463" t="s">
        <v>413</v>
      </c>
      <c r="B8" s="470">
        <v>1150</v>
      </c>
      <c r="C8" s="475"/>
      <c r="D8" s="475"/>
      <c r="E8" s="477"/>
      <c r="F8" s="477"/>
      <c r="G8" s="481">
        <v>16610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655503</v>
      </c>
      <c r="D12" s="1707">
        <f t="shared" si="0"/>
        <v>52738</v>
      </c>
      <c r="E12" s="1707">
        <f t="shared" si="0"/>
        <v>98570</v>
      </c>
      <c r="F12" s="1707">
        <f t="shared" si="0"/>
        <v>25315</v>
      </c>
      <c r="G12" s="1707">
        <f t="shared" si="0"/>
        <v>23567</v>
      </c>
      <c r="H12" s="1707">
        <f t="shared" si="0"/>
        <v>0</v>
      </c>
      <c r="I12" s="1707">
        <f t="shared" si="0"/>
        <v>10548</v>
      </c>
      <c r="J12" s="1707">
        <f t="shared" si="0"/>
        <v>92990</v>
      </c>
      <c r="K12" s="1688">
        <f t="shared" si="0"/>
        <v>10548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32609</v>
      </c>
      <c r="E16" s="466"/>
      <c r="F16" s="466"/>
      <c r="G16" s="466">
        <v>783</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32609</v>
      </c>
      <c r="E18" s="1710">
        <f t="shared" si="1"/>
        <v>0</v>
      </c>
      <c r="F18" s="1710">
        <f t="shared" si="1"/>
        <v>0</v>
      </c>
      <c r="G18" s="1710">
        <f t="shared" si="1"/>
        <v>783</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4878</v>
      </c>
      <c r="D65" s="466">
        <v>650</v>
      </c>
      <c r="E65" s="466">
        <v>402</v>
      </c>
      <c r="F65" s="467">
        <v>3215</v>
      </c>
      <c r="G65" s="466">
        <v>523</v>
      </c>
      <c r="H65" s="466"/>
      <c r="I65" s="466">
        <v>2623</v>
      </c>
      <c r="J65" s="467">
        <v>2762</v>
      </c>
      <c r="K65" s="466">
        <v>516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4878</v>
      </c>
      <c r="D67" s="1688">
        <f t="shared" ref="D67:K67" si="2">SUM(D65:D66)</f>
        <v>650</v>
      </c>
      <c r="E67" s="1688">
        <f t="shared" si="2"/>
        <v>402</v>
      </c>
      <c r="F67" s="1688">
        <f t="shared" si="2"/>
        <v>3215</v>
      </c>
      <c r="G67" s="1688">
        <f t="shared" si="2"/>
        <v>523</v>
      </c>
      <c r="H67" s="1688">
        <f t="shared" si="2"/>
        <v>0</v>
      </c>
      <c r="I67" s="1688">
        <f t="shared" si="2"/>
        <v>2623</v>
      </c>
      <c r="J67" s="1688">
        <f t="shared" si="2"/>
        <v>2762</v>
      </c>
      <c r="K67" s="1688">
        <f t="shared" si="2"/>
        <v>516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11897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851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12748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1919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1731</v>
      </c>
      <c r="D81" s="466"/>
      <c r="E81" s="468"/>
      <c r="F81" s="468"/>
      <c r="G81" s="468"/>
      <c r="H81" s="468"/>
      <c r="I81" s="468"/>
      <c r="J81" s="468"/>
      <c r="K81" s="468"/>
    </row>
    <row r="82" spans="1:11" ht="12.75" customHeight="1" thickBot="1" x14ac:dyDescent="0.25">
      <c r="A82" s="1708" t="s">
        <v>241</v>
      </c>
      <c r="B82" s="1709"/>
      <c r="C82" s="1707">
        <f>SUM(C77:C81)</f>
        <v>3650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3988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3988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8349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16710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3061</v>
      </c>
      <c r="D106" s="489"/>
      <c r="E106" s="467"/>
      <c r="F106" s="467"/>
      <c r="G106" s="467"/>
      <c r="H106" s="467"/>
      <c r="I106" s="521"/>
      <c r="J106" s="467"/>
      <c r="K106" s="467"/>
    </row>
    <row r="107" spans="1:12" ht="12.75" customHeight="1" x14ac:dyDescent="0.2">
      <c r="A107" s="463" t="s">
        <v>78</v>
      </c>
      <c r="B107" s="470">
        <v>1999</v>
      </c>
      <c r="C107" s="551">
        <v>885</v>
      </c>
      <c r="D107" s="466">
        <v>20</v>
      </c>
      <c r="E107" s="466"/>
      <c r="F107" s="466"/>
      <c r="G107" s="466"/>
      <c r="H107" s="466"/>
      <c r="I107" s="466"/>
      <c r="J107" s="467"/>
      <c r="K107" s="466"/>
    </row>
    <row r="108" spans="1:12" ht="12.75" customHeight="1" thickBot="1" x14ac:dyDescent="0.25">
      <c r="A108" s="1708" t="s">
        <v>487</v>
      </c>
      <c r="B108" s="1712"/>
      <c r="C108" s="1707">
        <f>SUM(C95:C107)</f>
        <v>29005</v>
      </c>
      <c r="D108" s="1707">
        <f t="shared" ref="D108:K108" si="3">SUM(D95:D107)</f>
        <v>20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709772</v>
      </c>
      <c r="D109" s="1715">
        <f t="shared" si="4"/>
        <v>86017</v>
      </c>
      <c r="E109" s="1715">
        <f t="shared" si="4"/>
        <v>98972</v>
      </c>
      <c r="F109" s="1715">
        <f t="shared" si="4"/>
        <v>28530</v>
      </c>
      <c r="G109" s="1715">
        <f t="shared" si="4"/>
        <v>24873</v>
      </c>
      <c r="H109" s="1715">
        <f t="shared" si="4"/>
        <v>0</v>
      </c>
      <c r="I109" s="1715">
        <f t="shared" si="4"/>
        <v>13171</v>
      </c>
      <c r="J109" s="1715">
        <f t="shared" si="4"/>
        <v>95752</v>
      </c>
      <c r="K109" s="1702">
        <f t="shared" si="4"/>
        <v>11064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114810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114810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232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72628</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72628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982</v>
      </c>
      <c r="D169" s="1722">
        <f t="shared" si="6"/>
        <v>0</v>
      </c>
      <c r="E169" s="1722">
        <f t="shared" si="6"/>
        <v>0</v>
      </c>
      <c r="F169" s="1722">
        <f t="shared" si="6"/>
        <v>72628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115792</v>
      </c>
      <c r="D170" s="1715">
        <f t="shared" si="7"/>
        <v>0</v>
      </c>
      <c r="E170" s="1715">
        <f t="shared" si="7"/>
        <v>0</v>
      </c>
      <c r="F170" s="1715">
        <f t="shared" si="7"/>
        <v>72628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31520</v>
      </c>
      <c r="D180" s="466"/>
      <c r="E180" s="468"/>
      <c r="F180" s="466"/>
      <c r="G180" s="466"/>
      <c r="H180" s="466"/>
      <c r="I180" s="468"/>
      <c r="J180" s="468"/>
      <c r="K180" s="466"/>
    </row>
    <row r="181" spans="1:11" ht="13.5" thickBot="1" x14ac:dyDescent="0.25">
      <c r="A181" s="2151" t="s">
        <v>785</v>
      </c>
      <c r="B181" s="2152"/>
      <c r="C181" s="1707">
        <f>SUM(C177:C180)</f>
        <v>31520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1376</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1376</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17410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17410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47881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47881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8814</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8814</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4691</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4691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3771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5394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89337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120857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946421</v>
      </c>
      <c r="D268" s="1715">
        <f t="shared" si="12"/>
        <v>86017</v>
      </c>
      <c r="E268" s="1715">
        <f t="shared" si="12"/>
        <v>98972</v>
      </c>
      <c r="F268" s="1715">
        <f t="shared" si="12"/>
        <v>101158</v>
      </c>
      <c r="G268" s="1715">
        <f t="shared" si="12"/>
        <v>24873</v>
      </c>
      <c r="H268" s="1715">
        <f t="shared" si="12"/>
        <v>0</v>
      </c>
      <c r="I268" s="1715">
        <f t="shared" si="12"/>
        <v>13171</v>
      </c>
      <c r="J268" s="1715">
        <f t="shared" si="12"/>
        <v>95752</v>
      </c>
      <c r="K268" s="1702">
        <f t="shared" si="12"/>
        <v>11064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85" zoomScaleNormal="85" workbookViewId="0">
      <pane ySplit="2" topLeftCell="A3" activePane="bottomLeft" state="frozen"/>
      <selection pane="bottomLeft" activeCell="C329" sqref="C32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384414</v>
      </c>
      <c r="D5" s="466">
        <v>107028</v>
      </c>
      <c r="E5" s="466">
        <v>490</v>
      </c>
      <c r="F5" s="466">
        <v>14197</v>
      </c>
      <c r="G5" s="466"/>
      <c r="H5" s="466">
        <v>770</v>
      </c>
      <c r="I5" s="467"/>
      <c r="J5" s="467"/>
      <c r="K5" s="1671">
        <f>SUM(C5:J5)</f>
        <v>506899</v>
      </c>
      <c r="L5" s="466">
        <v>531525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30264</v>
      </c>
      <c r="D8" s="466">
        <v>9962</v>
      </c>
      <c r="E8" s="466"/>
      <c r="F8" s="466">
        <v>163</v>
      </c>
      <c r="G8" s="466"/>
      <c r="H8" s="466"/>
      <c r="I8" s="467"/>
      <c r="J8" s="467"/>
      <c r="K8" s="1671">
        <f t="shared" si="0"/>
        <v>40389</v>
      </c>
      <c r="L8" s="466">
        <v>42250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62700</v>
      </c>
      <c r="D10" s="466">
        <v>15373</v>
      </c>
      <c r="E10" s="466"/>
      <c r="F10" s="466">
        <v>296</v>
      </c>
      <c r="G10" s="466"/>
      <c r="H10" s="466"/>
      <c r="I10" s="467"/>
      <c r="J10" s="467"/>
      <c r="K10" s="1671">
        <f t="shared" si="0"/>
        <v>78369</v>
      </c>
      <c r="L10" s="466">
        <v>78150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11131</v>
      </c>
      <c r="F13" s="466">
        <v>3678</v>
      </c>
      <c r="G13" s="466">
        <v>14129</v>
      </c>
      <c r="H13" s="466"/>
      <c r="I13" s="467"/>
      <c r="J13" s="467"/>
      <c r="K13" s="1671">
        <f t="shared" si="0"/>
        <v>28938</v>
      </c>
      <c r="L13" s="466">
        <v>25232</v>
      </c>
    </row>
    <row r="14" spans="1:14" x14ac:dyDescent="0.2">
      <c r="A14" s="1504" t="s">
        <v>963</v>
      </c>
      <c r="B14" s="614">
        <v>1500</v>
      </c>
      <c r="C14" s="466">
        <v>2600</v>
      </c>
      <c r="D14" s="466">
        <v>333</v>
      </c>
      <c r="E14" s="466">
        <v>5650</v>
      </c>
      <c r="F14" s="466"/>
      <c r="G14" s="466"/>
      <c r="H14" s="466"/>
      <c r="I14" s="467"/>
      <c r="J14" s="467"/>
      <c r="K14" s="1671">
        <f t="shared" si="0"/>
        <v>8583</v>
      </c>
      <c r="L14" s="466">
        <v>7400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479978</v>
      </c>
      <c r="D33" s="1670">
        <f t="shared" ref="D33:L33" si="1">SUM(D5:D32)</f>
        <v>132696</v>
      </c>
      <c r="E33" s="1670">
        <f t="shared" si="1"/>
        <v>17271</v>
      </c>
      <c r="F33" s="1670">
        <f t="shared" si="1"/>
        <v>18334</v>
      </c>
      <c r="G33" s="1670">
        <f t="shared" si="1"/>
        <v>14129</v>
      </c>
      <c r="H33" s="1670">
        <f t="shared" si="1"/>
        <v>770</v>
      </c>
      <c r="I33" s="1670">
        <f t="shared" si="1"/>
        <v>0</v>
      </c>
      <c r="J33" s="1670">
        <f t="shared" si="1"/>
        <v>0</v>
      </c>
      <c r="K33" s="1670">
        <f t="shared" si="1"/>
        <v>663178</v>
      </c>
      <c r="L33" s="1670">
        <f t="shared" si="1"/>
        <v>684557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6300</v>
      </c>
      <c r="F37" s="466">
        <v>1862</v>
      </c>
      <c r="G37" s="466"/>
      <c r="H37" s="466"/>
      <c r="I37" s="467"/>
      <c r="J37" s="467"/>
      <c r="K37" s="1671">
        <f t="shared" si="2"/>
        <v>8162</v>
      </c>
      <c r="L37" s="466">
        <v>10000</v>
      </c>
    </row>
    <row r="38" spans="1:14" x14ac:dyDescent="0.2">
      <c r="A38" s="1504" t="s">
        <v>198</v>
      </c>
      <c r="B38" s="614">
        <v>2130</v>
      </c>
      <c r="C38" s="466"/>
      <c r="D38" s="466"/>
      <c r="E38" s="466">
        <v>311</v>
      </c>
      <c r="F38" s="466">
        <v>7</v>
      </c>
      <c r="G38" s="466"/>
      <c r="H38" s="466"/>
      <c r="I38" s="467"/>
      <c r="J38" s="467"/>
      <c r="K38" s="1671">
        <f t="shared" si="2"/>
        <v>318</v>
      </c>
      <c r="L38" s="466">
        <v>400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13585</v>
      </c>
      <c r="F40" s="466"/>
      <c r="G40" s="466"/>
      <c r="H40" s="466"/>
      <c r="I40" s="467"/>
      <c r="J40" s="467"/>
      <c r="K40" s="1671">
        <f t="shared" si="2"/>
        <v>13585</v>
      </c>
      <c r="L40" s="466">
        <v>15000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20196</v>
      </c>
      <c r="F42" s="1670">
        <f t="shared" si="3"/>
        <v>1869</v>
      </c>
      <c r="G42" s="1670">
        <f t="shared" si="3"/>
        <v>0</v>
      </c>
      <c r="H42" s="1670">
        <f t="shared" si="3"/>
        <v>0</v>
      </c>
      <c r="I42" s="1670">
        <f t="shared" si="3"/>
        <v>0</v>
      </c>
      <c r="J42" s="1670">
        <f t="shared" si="3"/>
        <v>0</v>
      </c>
      <c r="K42" s="1670">
        <f t="shared" si="3"/>
        <v>22065</v>
      </c>
      <c r="L42" s="1670">
        <f t="shared" si="3"/>
        <v>25400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3642</v>
      </c>
      <c r="F44" s="481"/>
      <c r="G44" s="481"/>
      <c r="H44" s="481"/>
      <c r="I44" s="467"/>
      <c r="J44" s="467"/>
      <c r="K44" s="1672">
        <f>SUM(C44:J44)</f>
        <v>3642</v>
      </c>
      <c r="L44" s="481">
        <v>4200</v>
      </c>
    </row>
    <row r="45" spans="1:14" x14ac:dyDescent="0.2">
      <c r="A45" s="1504" t="s">
        <v>815</v>
      </c>
      <c r="B45" s="614">
        <v>2220</v>
      </c>
      <c r="C45" s="466">
        <v>23108</v>
      </c>
      <c r="D45" s="466">
        <v>3397</v>
      </c>
      <c r="E45" s="466">
        <v>900</v>
      </c>
      <c r="F45" s="466">
        <v>2518</v>
      </c>
      <c r="G45" s="466"/>
      <c r="H45" s="466">
        <v>734</v>
      </c>
      <c r="I45" s="467"/>
      <c r="J45" s="467"/>
      <c r="K45" s="1672">
        <f>SUM(C45:J45)</f>
        <v>30657</v>
      </c>
      <c r="L45" s="466">
        <v>26379</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23108</v>
      </c>
      <c r="D47" s="1670">
        <f t="shared" ref="D47:K47" si="4">SUM(D44:D46)</f>
        <v>3397</v>
      </c>
      <c r="E47" s="1670">
        <f t="shared" si="4"/>
        <v>4542</v>
      </c>
      <c r="F47" s="1670">
        <f t="shared" si="4"/>
        <v>2518</v>
      </c>
      <c r="G47" s="1670">
        <f t="shared" si="4"/>
        <v>0</v>
      </c>
      <c r="H47" s="1670">
        <f t="shared" si="4"/>
        <v>734</v>
      </c>
      <c r="I47" s="1670">
        <f t="shared" si="4"/>
        <v>0</v>
      </c>
      <c r="J47" s="1670">
        <f t="shared" si="4"/>
        <v>0</v>
      </c>
      <c r="K47" s="1670">
        <f t="shared" si="4"/>
        <v>34299</v>
      </c>
      <c r="L47" s="1670">
        <f>SUM(L44:L46)</f>
        <v>30579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1100</v>
      </c>
      <c r="D49" s="481">
        <v>49</v>
      </c>
      <c r="E49" s="481">
        <v>7523</v>
      </c>
      <c r="F49" s="481">
        <v>27</v>
      </c>
      <c r="G49" s="481"/>
      <c r="H49" s="481">
        <v>16296</v>
      </c>
      <c r="I49" s="467"/>
      <c r="J49" s="467"/>
      <c r="K49" s="1672">
        <f>SUM(C49:J49)</f>
        <v>24995</v>
      </c>
      <c r="L49" s="481">
        <v>16710</v>
      </c>
    </row>
    <row r="50" spans="1:14" x14ac:dyDescent="0.2">
      <c r="A50" s="1504" t="s">
        <v>818</v>
      </c>
      <c r="B50" s="614">
        <v>2320</v>
      </c>
      <c r="C50" s="466">
        <v>47600</v>
      </c>
      <c r="D50" s="466">
        <v>22310</v>
      </c>
      <c r="E50" s="466"/>
      <c r="F50" s="466">
        <v>185</v>
      </c>
      <c r="G50" s="466"/>
      <c r="H50" s="466">
        <v>19</v>
      </c>
      <c r="I50" s="467"/>
      <c r="J50" s="467"/>
      <c r="K50" s="1672">
        <f>SUM(C50:J50)</f>
        <v>70114</v>
      </c>
      <c r="L50" s="466">
        <v>36550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48700</v>
      </c>
      <c r="D53" s="1670">
        <f t="shared" ref="D53:L53" si="5">SUM(D49:D52)</f>
        <v>22359</v>
      </c>
      <c r="E53" s="1670">
        <f t="shared" si="5"/>
        <v>7523</v>
      </c>
      <c r="F53" s="1670">
        <f t="shared" si="5"/>
        <v>212</v>
      </c>
      <c r="G53" s="1670">
        <f t="shared" si="5"/>
        <v>0</v>
      </c>
      <c r="H53" s="1670">
        <f t="shared" si="5"/>
        <v>16315</v>
      </c>
      <c r="I53" s="1670">
        <f t="shared" si="5"/>
        <v>0</v>
      </c>
      <c r="J53" s="1670">
        <f t="shared" si="5"/>
        <v>0</v>
      </c>
      <c r="K53" s="1670">
        <f t="shared" si="5"/>
        <v>95109</v>
      </c>
      <c r="L53" s="1670">
        <f t="shared" si="5"/>
        <v>53260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v>3168</v>
      </c>
      <c r="E55" s="481"/>
      <c r="F55" s="481"/>
      <c r="G55" s="481"/>
      <c r="H55" s="481">
        <v>150</v>
      </c>
      <c r="I55" s="467"/>
      <c r="J55" s="467"/>
      <c r="K55" s="1672">
        <f>SUM(C55:J55)</f>
        <v>3318</v>
      </c>
      <c r="L55" s="481">
        <v>84670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3168</v>
      </c>
      <c r="E57" s="1674">
        <f t="shared" si="6"/>
        <v>0</v>
      </c>
      <c r="F57" s="1674">
        <f t="shared" si="6"/>
        <v>0</v>
      </c>
      <c r="G57" s="1674">
        <f t="shared" si="6"/>
        <v>0</v>
      </c>
      <c r="H57" s="1674">
        <f t="shared" si="6"/>
        <v>150</v>
      </c>
      <c r="I57" s="1674">
        <f t="shared" si="6"/>
        <v>0</v>
      </c>
      <c r="J57" s="1674">
        <f t="shared" si="6"/>
        <v>0</v>
      </c>
      <c r="K57" s="1674">
        <f t="shared" si="6"/>
        <v>3318</v>
      </c>
      <c r="L57" s="1670">
        <f>SUM(L55:L56)</f>
        <v>84670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38265</v>
      </c>
      <c r="D60" s="466">
        <v>23639</v>
      </c>
      <c r="E60" s="466"/>
      <c r="F60" s="466"/>
      <c r="G60" s="466"/>
      <c r="H60" s="466"/>
      <c r="I60" s="467"/>
      <c r="J60" s="467"/>
      <c r="K60" s="1672">
        <f t="shared" si="7"/>
        <v>61904</v>
      </c>
      <c r="L60" s="466">
        <v>64085</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15063</v>
      </c>
      <c r="D63" s="466">
        <v>534</v>
      </c>
      <c r="E63" s="466">
        <v>407</v>
      </c>
      <c r="F63" s="466">
        <v>12481</v>
      </c>
      <c r="G63" s="466"/>
      <c r="H63" s="466">
        <v>787</v>
      </c>
      <c r="I63" s="467"/>
      <c r="J63" s="467"/>
      <c r="K63" s="1672">
        <f t="shared" si="7"/>
        <v>29272</v>
      </c>
      <c r="L63" s="466">
        <v>36485</v>
      </c>
    </row>
    <row r="64" spans="1:14" s="609" customFormat="1" x14ac:dyDescent="0.2">
      <c r="A64" s="1509" t="s">
        <v>101</v>
      </c>
      <c r="B64" s="630">
        <v>2570</v>
      </c>
      <c r="C64" s="481"/>
      <c r="D64" s="481"/>
      <c r="E64" s="481">
        <v>2579</v>
      </c>
      <c r="F64" s="481"/>
      <c r="G64" s="481"/>
      <c r="H64" s="481"/>
      <c r="I64" s="467"/>
      <c r="J64" s="467"/>
      <c r="K64" s="1672">
        <f t="shared" si="7"/>
        <v>2579</v>
      </c>
      <c r="L64" s="481">
        <v>1500</v>
      </c>
    </row>
    <row r="65" spans="1:14" s="343" customFormat="1" ht="12.75" customHeight="1" thickBot="1" x14ac:dyDescent="0.25">
      <c r="A65" s="1668" t="s">
        <v>719</v>
      </c>
      <c r="B65" s="1669" t="s">
        <v>35</v>
      </c>
      <c r="C65" s="1670">
        <f>SUM(C59:C64)</f>
        <v>53328</v>
      </c>
      <c r="D65" s="1670">
        <f t="shared" ref="D65:L65" si="8">SUM(D59:D64)</f>
        <v>24173</v>
      </c>
      <c r="E65" s="1670">
        <f t="shared" si="8"/>
        <v>2986</v>
      </c>
      <c r="F65" s="1670">
        <f t="shared" si="8"/>
        <v>12481</v>
      </c>
      <c r="G65" s="1670">
        <f t="shared" si="8"/>
        <v>0</v>
      </c>
      <c r="H65" s="1670">
        <f t="shared" si="8"/>
        <v>787</v>
      </c>
      <c r="I65" s="1670">
        <f t="shared" si="8"/>
        <v>0</v>
      </c>
      <c r="J65" s="1670">
        <f t="shared" si="8"/>
        <v>0</v>
      </c>
      <c r="K65" s="1670">
        <f t="shared" si="8"/>
        <v>93755</v>
      </c>
      <c r="L65" s="1670">
        <f t="shared" si="8"/>
        <v>102070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3438</v>
      </c>
      <c r="D71" s="466"/>
      <c r="E71" s="466"/>
      <c r="F71" s="466"/>
      <c r="G71" s="466"/>
      <c r="H71" s="466"/>
      <c r="I71" s="467"/>
      <c r="J71" s="467"/>
      <c r="K71" s="1672">
        <f>SUM(C71:J71)</f>
        <v>3438</v>
      </c>
      <c r="L71" s="466">
        <v>0</v>
      </c>
      <c r="M71" s="609"/>
      <c r="N71" s="609"/>
    </row>
    <row r="72" spans="1:14" s="343" customFormat="1" ht="12.75" customHeight="1" thickBot="1" x14ac:dyDescent="0.25">
      <c r="A72" s="1668" t="s">
        <v>37</v>
      </c>
      <c r="B72" s="1675" t="s">
        <v>36</v>
      </c>
      <c r="C72" s="1670">
        <f>SUM(C67:C71)</f>
        <v>3438</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3438</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128574</v>
      </c>
      <c r="D74" s="1677">
        <f t="shared" ref="D74:K74" si="10">SUM(D42,D47,D53,D57,D65,D72,D73)</f>
        <v>53097</v>
      </c>
      <c r="E74" s="1677">
        <f t="shared" si="10"/>
        <v>35247</v>
      </c>
      <c r="F74" s="1677">
        <f t="shared" si="10"/>
        <v>17080</v>
      </c>
      <c r="G74" s="1677">
        <f t="shared" si="10"/>
        <v>0</v>
      </c>
      <c r="H74" s="1677">
        <f t="shared" si="10"/>
        <v>17986</v>
      </c>
      <c r="I74" s="1677">
        <f t="shared" si="10"/>
        <v>0</v>
      </c>
      <c r="J74" s="1677">
        <f t="shared" si="10"/>
        <v>0</v>
      </c>
      <c r="K74" s="1677">
        <f t="shared" si="10"/>
        <v>251984</v>
      </c>
      <c r="L74" s="1677">
        <f>SUM(L42,L47,L53,L57,L65,L72,L73)</f>
        <v>295979</v>
      </c>
    </row>
    <row r="75" spans="1:14" s="259" customFormat="1" ht="15.75" customHeight="1" thickTop="1" thickBot="1" x14ac:dyDescent="0.25">
      <c r="A75" s="1610" t="s">
        <v>47</v>
      </c>
      <c r="B75" s="1611" t="s">
        <v>575</v>
      </c>
      <c r="C75" s="573"/>
      <c r="D75" s="573"/>
      <c r="E75" s="573">
        <v>2471</v>
      </c>
      <c r="F75" s="573">
        <v>30</v>
      </c>
      <c r="G75" s="573"/>
      <c r="H75" s="573"/>
      <c r="I75" s="531"/>
      <c r="J75" s="531"/>
      <c r="K75" s="1670">
        <f>SUM(C75:J75)</f>
        <v>2501</v>
      </c>
      <c r="L75" s="576">
        <v>400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40373</v>
      </c>
      <c r="F79" s="616"/>
      <c r="G79" s="616"/>
      <c r="H79" s="466"/>
      <c r="I79" s="477"/>
      <c r="J79" s="477"/>
      <c r="K79" s="1671">
        <f t="shared" si="11"/>
        <v>40373</v>
      </c>
      <c r="L79" s="466">
        <v>50000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40373</v>
      </c>
      <c r="F84" s="616"/>
      <c r="G84" s="616"/>
      <c r="H84" s="1670">
        <f>SUM(H78:H83)</f>
        <v>0</v>
      </c>
      <c r="I84" s="477"/>
      <c r="J84" s="477"/>
      <c r="K84" s="1670">
        <f>SUM(K78:K83)</f>
        <v>40373</v>
      </c>
      <c r="L84" s="1670">
        <f>SUM(L78:L83)</f>
        <v>50000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40373</v>
      </c>
      <c r="F102" s="616"/>
      <c r="G102" s="616"/>
      <c r="H102" s="1677">
        <f>SUM(H84,H92,H100,H101)</f>
        <v>0</v>
      </c>
      <c r="I102" s="477"/>
      <c r="J102" s="477"/>
      <c r="K102" s="1677">
        <f>SUM(K84,K92,K100,K101)</f>
        <v>40373</v>
      </c>
      <c r="L102" s="1677">
        <f>SUM(L84,L92,L100,L101)</f>
        <v>50000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608552</v>
      </c>
      <c r="D114" s="1670">
        <f t="shared" ref="D114:K114" si="13">SUM(D33,D74,D75,D102,D112,D113)</f>
        <v>185793</v>
      </c>
      <c r="E114" s="1670">
        <f t="shared" si="13"/>
        <v>95362</v>
      </c>
      <c r="F114" s="1670">
        <f t="shared" si="13"/>
        <v>35444</v>
      </c>
      <c r="G114" s="1670">
        <f t="shared" si="13"/>
        <v>14129</v>
      </c>
      <c r="H114" s="1670">
        <f>SUM(H33,H74,H75,H102,H112,H113)</f>
        <v>18756</v>
      </c>
      <c r="I114" s="1670">
        <f t="shared" si="13"/>
        <v>0</v>
      </c>
      <c r="J114" s="1670">
        <f t="shared" si="13"/>
        <v>0</v>
      </c>
      <c r="K114" s="1670">
        <f t="shared" si="13"/>
        <v>958036</v>
      </c>
      <c r="L114" s="1670">
        <f>SUM(L33,L74,L75,L102,L112,L113)</f>
        <v>1030936</v>
      </c>
    </row>
    <row r="115" spans="1:14" ht="13.5" thickTop="1" x14ac:dyDescent="0.2">
      <c r="A115" s="2180" t="s">
        <v>996</v>
      </c>
      <c r="B115" s="2181"/>
      <c r="C115" s="618"/>
      <c r="D115" s="618"/>
      <c r="E115" s="618"/>
      <c r="F115" s="618"/>
      <c r="G115" s="618"/>
      <c r="H115" s="618"/>
      <c r="I115" s="618"/>
      <c r="J115" s="618"/>
      <c r="K115" s="1684">
        <f>'Revenues 9-14'!C268-'Expenditures 15-22'!K114</f>
        <v>-11615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19176</v>
      </c>
      <c r="D124" s="466">
        <v>1377</v>
      </c>
      <c r="E124" s="466">
        <v>28757</v>
      </c>
      <c r="F124" s="466">
        <v>36528</v>
      </c>
      <c r="G124" s="466">
        <v>2564</v>
      </c>
      <c r="H124" s="466"/>
      <c r="I124" s="467"/>
      <c r="J124" s="467"/>
      <c r="K124" s="1670">
        <f>SUM(C124:J124)</f>
        <v>88402</v>
      </c>
      <c r="L124" s="466">
        <v>95610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19176</v>
      </c>
      <c r="D127" s="1670">
        <f t="shared" ref="D127:L127" si="14">SUM(D122:D126)</f>
        <v>1377</v>
      </c>
      <c r="E127" s="1670">
        <f t="shared" si="14"/>
        <v>28757</v>
      </c>
      <c r="F127" s="1670">
        <f t="shared" si="14"/>
        <v>36528</v>
      </c>
      <c r="G127" s="1670">
        <f t="shared" si="14"/>
        <v>2564</v>
      </c>
      <c r="H127" s="1670">
        <f t="shared" si="14"/>
        <v>0</v>
      </c>
      <c r="I127" s="1670">
        <f t="shared" si="14"/>
        <v>0</v>
      </c>
      <c r="J127" s="1670">
        <f t="shared" si="14"/>
        <v>0</v>
      </c>
      <c r="K127" s="1670">
        <f t="shared" si="14"/>
        <v>88402</v>
      </c>
      <c r="L127" s="1670">
        <f t="shared" si="14"/>
        <v>95610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19176</v>
      </c>
      <c r="D129" s="1677">
        <f t="shared" ref="D129:L129" si="15">SUM(D120,D127,D128)</f>
        <v>1377</v>
      </c>
      <c r="E129" s="1677">
        <f t="shared" si="15"/>
        <v>28757</v>
      </c>
      <c r="F129" s="1677">
        <f t="shared" si="15"/>
        <v>36528</v>
      </c>
      <c r="G129" s="1677">
        <f t="shared" si="15"/>
        <v>2564</v>
      </c>
      <c r="H129" s="1677">
        <f t="shared" si="15"/>
        <v>0</v>
      </c>
      <c r="I129" s="1677">
        <f t="shared" si="15"/>
        <v>0</v>
      </c>
      <c r="J129" s="1677">
        <f t="shared" si="15"/>
        <v>0</v>
      </c>
      <c r="K129" s="1677">
        <f t="shared" si="15"/>
        <v>88402</v>
      </c>
      <c r="L129" s="1677">
        <f t="shared" si="15"/>
        <v>95610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19176</v>
      </c>
      <c r="D151" s="1670">
        <f t="shared" ref="D151:K151" si="16">SUM(D129,D130,D139,D149,D150)</f>
        <v>1377</v>
      </c>
      <c r="E151" s="1670">
        <f t="shared" si="16"/>
        <v>28757</v>
      </c>
      <c r="F151" s="1670">
        <f t="shared" si="16"/>
        <v>36528</v>
      </c>
      <c r="G151" s="1670">
        <f t="shared" si="16"/>
        <v>2564</v>
      </c>
      <c r="H151" s="1670">
        <f t="shared" si="16"/>
        <v>0</v>
      </c>
      <c r="I151" s="1670">
        <f t="shared" si="16"/>
        <v>0</v>
      </c>
      <c r="J151" s="1670">
        <f t="shared" si="16"/>
        <v>0</v>
      </c>
      <c r="K151" s="1670">
        <f t="shared" si="16"/>
        <v>88402</v>
      </c>
      <c r="L151" s="1670">
        <f>SUM(L129,L130,L139,L149,L150)</f>
        <v>95610</v>
      </c>
    </row>
    <row r="152" spans="1:14" ht="12.75" customHeight="1" thickTop="1" x14ac:dyDescent="0.2">
      <c r="A152" s="2173" t="s">
        <v>1178</v>
      </c>
      <c r="B152" s="2174"/>
      <c r="C152" s="618"/>
      <c r="D152" s="618"/>
      <c r="E152" s="618"/>
      <c r="F152" s="618"/>
      <c r="G152" s="618"/>
      <c r="H152" s="618"/>
      <c r="I152" s="618"/>
      <c r="J152" s="616"/>
      <c r="K152" s="1684">
        <f>'Revenues 9-14'!D268-'Expenditures 15-22'!K151</f>
        <v>-2385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24931</v>
      </c>
      <c r="I169" s="616"/>
      <c r="J169" s="616"/>
      <c r="K169" s="1671">
        <f>SUM(C169:H169)</f>
        <v>24931</v>
      </c>
      <c r="L169" s="656">
        <v>24931</v>
      </c>
    </row>
    <row r="170" spans="1:14" ht="33.75" customHeight="1" x14ac:dyDescent="0.2">
      <c r="A170" s="669" t="s">
        <v>1670</v>
      </c>
      <c r="B170" s="671" t="s">
        <v>31</v>
      </c>
      <c r="C170" s="616"/>
      <c r="D170" s="616"/>
      <c r="E170" s="616"/>
      <c r="F170" s="616"/>
      <c r="G170" s="616"/>
      <c r="H170" s="569">
        <v>246022</v>
      </c>
      <c r="I170" s="616"/>
      <c r="J170" s="616"/>
      <c r="K170" s="1671">
        <f>SUM(C170:J170)</f>
        <v>246022</v>
      </c>
      <c r="L170" s="569">
        <v>96023</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270953</v>
      </c>
      <c r="I172" s="638"/>
      <c r="J172" s="616"/>
      <c r="K172" s="1677">
        <f>SUM(K168,K169,K170,K171)</f>
        <v>270953</v>
      </c>
      <c r="L172" s="1677">
        <f>SUM(L168,L169,L170,L171)</f>
        <v>120954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270953</v>
      </c>
      <c r="I174" s="638"/>
      <c r="J174" s="616"/>
      <c r="K174" s="1677">
        <f>SUM(K160,K172,K173)</f>
        <v>270953</v>
      </c>
      <c r="L174" s="1677">
        <f>SUM(L160,L172,L173)</f>
        <v>120954</v>
      </c>
    </row>
    <row r="175" spans="1:14" ht="13.5" thickTop="1" x14ac:dyDescent="0.2">
      <c r="A175" s="2180" t="s">
        <v>996</v>
      </c>
      <c r="B175" s="2181"/>
      <c r="C175" s="616"/>
      <c r="D175" s="616"/>
      <c r="E175" s="616"/>
      <c r="F175" s="616"/>
      <c r="G175" s="616"/>
      <c r="H175" s="618"/>
      <c r="I175" s="616"/>
      <c r="J175" s="616"/>
      <c r="K175" s="1684">
        <f>'Revenues 9-14'!E268-'Expenditures 15-22'!K174</f>
        <v>-171981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29380</v>
      </c>
      <c r="D182" s="466">
        <v>639</v>
      </c>
      <c r="E182" s="466">
        <v>29689</v>
      </c>
      <c r="F182" s="466">
        <v>16149</v>
      </c>
      <c r="G182" s="466"/>
      <c r="H182" s="466"/>
      <c r="I182" s="467"/>
      <c r="J182" s="467"/>
      <c r="K182" s="1671">
        <f>SUM(C182:J182)</f>
        <v>75857</v>
      </c>
      <c r="L182" s="466">
        <v>49400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29380</v>
      </c>
      <c r="D184" s="1677">
        <f t="shared" ref="D184:J184" si="17">SUM(D180,D182,D183)</f>
        <v>639</v>
      </c>
      <c r="E184" s="1677">
        <f t="shared" si="17"/>
        <v>29689</v>
      </c>
      <c r="F184" s="1677">
        <f t="shared" si="17"/>
        <v>16149</v>
      </c>
      <c r="G184" s="1677">
        <f t="shared" si="17"/>
        <v>0</v>
      </c>
      <c r="H184" s="1677">
        <f t="shared" si="17"/>
        <v>0</v>
      </c>
      <c r="I184" s="1677">
        <f t="shared" si="17"/>
        <v>0</v>
      </c>
      <c r="J184" s="1677">
        <f t="shared" si="17"/>
        <v>0</v>
      </c>
      <c r="K184" s="1677">
        <f>SUM(K180,K182,K183)</f>
        <v>75857</v>
      </c>
      <c r="L184" s="1677">
        <f>SUM(L180, L182:L183)</f>
        <v>49400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v>150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150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150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29380</v>
      </c>
      <c r="D210" s="1670">
        <f>SUM(D184,D185)</f>
        <v>639</v>
      </c>
      <c r="E210" s="1670">
        <f>SUM(E184,E185,E196)</f>
        <v>29689</v>
      </c>
      <c r="F210" s="1670">
        <f>SUM(F184,F185)</f>
        <v>16149</v>
      </c>
      <c r="G210" s="1670">
        <f>SUM(G184,G185)</f>
        <v>0</v>
      </c>
      <c r="H210" s="1670">
        <f>SUM(H184,H185,H196,H208,H209)</f>
        <v>0</v>
      </c>
      <c r="I210" s="1670">
        <f>SUM(I184,I185)</f>
        <v>0</v>
      </c>
      <c r="J210" s="1670">
        <f>SUM(J184,J185)</f>
        <v>0</v>
      </c>
      <c r="K210" s="1671">
        <f>SUM(K184,K185,K196,K208,K209)</f>
        <v>75857</v>
      </c>
      <c r="L210" s="1670">
        <f>SUM(L184,L185,L196,L208,L209)</f>
        <v>49550</v>
      </c>
    </row>
    <row r="211" spans="1:14" ht="13.5" thickTop="1" x14ac:dyDescent="0.2">
      <c r="A211" s="2180" t="s">
        <v>996</v>
      </c>
      <c r="B211" s="2181"/>
      <c r="C211" s="618"/>
      <c r="D211" s="618"/>
      <c r="E211" s="618"/>
      <c r="F211" s="618"/>
      <c r="G211" s="618"/>
      <c r="H211" s="618"/>
      <c r="I211" s="616"/>
      <c r="J211" s="616"/>
      <c r="K211" s="1684">
        <f>'Revenues 9-14'!F268-'Expenditures 15-22'!K210</f>
        <v>25301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5478</v>
      </c>
      <c r="E215" s="616"/>
      <c r="F215" s="616"/>
      <c r="G215" s="616"/>
      <c r="H215" s="616"/>
      <c r="I215" s="616"/>
      <c r="J215" s="616"/>
      <c r="K215" s="1671">
        <f>D215</f>
        <v>5478</v>
      </c>
      <c r="L215" s="466">
        <v>6500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2307</v>
      </c>
      <c r="E217" s="616"/>
      <c r="F217" s="616"/>
      <c r="G217" s="616"/>
      <c r="H217" s="616"/>
      <c r="I217" s="616"/>
      <c r="J217" s="616"/>
      <c r="K217" s="1671">
        <f t="shared" si="19"/>
        <v>2307</v>
      </c>
      <c r="L217" s="466">
        <v>1250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38</v>
      </c>
      <c r="E223" s="616"/>
      <c r="F223" s="616"/>
      <c r="G223" s="616"/>
      <c r="H223" s="616"/>
      <c r="I223" s="616"/>
      <c r="J223" s="616"/>
      <c r="K223" s="1671">
        <f t="shared" si="19"/>
        <v>38</v>
      </c>
      <c r="L223" s="466">
        <v>35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7823</v>
      </c>
      <c r="E229" s="616"/>
      <c r="F229" s="616"/>
      <c r="G229" s="616"/>
      <c r="H229" s="616"/>
      <c r="I229" s="616"/>
      <c r="J229" s="616"/>
      <c r="K229" s="1670">
        <f>SUM(K215:K228)</f>
        <v>7823</v>
      </c>
      <c r="L229" s="1670">
        <f>SUM(L215:L228)</f>
        <v>7785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360</v>
      </c>
      <c r="E241" s="616"/>
      <c r="F241" s="616"/>
      <c r="G241" s="616"/>
      <c r="H241" s="616"/>
      <c r="I241" s="616"/>
      <c r="J241" s="616"/>
      <c r="K241" s="1672">
        <f>D241</f>
        <v>360</v>
      </c>
      <c r="L241" s="466">
        <v>325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360</v>
      </c>
      <c r="E243" s="616"/>
      <c r="F243" s="616"/>
      <c r="G243" s="616"/>
      <c r="H243" s="616"/>
      <c r="I243" s="616"/>
      <c r="J243" s="616"/>
      <c r="K243" s="1670">
        <f>SUM(K240:K242)</f>
        <v>360</v>
      </c>
      <c r="L243" s="1670">
        <f>SUM(L240:L242)</f>
        <v>325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165</v>
      </c>
      <c r="E245" s="616"/>
      <c r="F245" s="616"/>
      <c r="G245" s="616"/>
      <c r="H245" s="616"/>
      <c r="I245" s="616"/>
      <c r="J245" s="616"/>
      <c r="K245" s="1672">
        <f>D245</f>
        <v>165</v>
      </c>
      <c r="L245" s="481">
        <v>230</v>
      </c>
    </row>
    <row r="246" spans="1:12" x14ac:dyDescent="0.2">
      <c r="A246" s="1504" t="s">
        <v>818</v>
      </c>
      <c r="B246" s="614">
        <v>2320</v>
      </c>
      <c r="C246" s="616"/>
      <c r="D246" s="466">
        <v>1714</v>
      </c>
      <c r="E246" s="616"/>
      <c r="F246" s="616"/>
      <c r="G246" s="616"/>
      <c r="H246" s="616"/>
      <c r="I246" s="616"/>
      <c r="J246" s="616"/>
      <c r="K246" s="1672">
        <f t="shared" ref="K246:K256" si="21">D246</f>
        <v>1714</v>
      </c>
      <c r="L246" s="466">
        <v>740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1879</v>
      </c>
      <c r="E257" s="616"/>
      <c r="F257" s="616"/>
      <c r="G257" s="616"/>
      <c r="H257" s="616"/>
      <c r="I257" s="616"/>
      <c r="J257" s="616"/>
      <c r="K257" s="1670">
        <f>SUM(K245:K256)</f>
        <v>1879</v>
      </c>
      <c r="L257" s="1670">
        <f>SUM(L245:L256)</f>
        <v>970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975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975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5688</v>
      </c>
      <c r="E264" s="616"/>
      <c r="F264" s="616"/>
      <c r="G264" s="616"/>
      <c r="H264" s="616"/>
      <c r="I264" s="616"/>
      <c r="J264" s="616"/>
      <c r="K264" s="1672">
        <f t="shared" ref="K264:K269" si="22">D264</f>
        <v>5688</v>
      </c>
      <c r="L264" s="466">
        <v>6750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6608</v>
      </c>
      <c r="E266" s="616"/>
      <c r="F266" s="616"/>
      <c r="G266" s="616"/>
      <c r="H266" s="616"/>
      <c r="I266" s="616"/>
      <c r="J266" s="616"/>
      <c r="K266" s="1672">
        <f t="shared" si="22"/>
        <v>6608</v>
      </c>
      <c r="L266" s="466">
        <v>9800</v>
      </c>
    </row>
    <row r="267" spans="1:14" x14ac:dyDescent="0.2">
      <c r="A267" s="1504" t="s">
        <v>953</v>
      </c>
      <c r="B267" s="614">
        <v>2550</v>
      </c>
      <c r="C267" s="616"/>
      <c r="D267" s="466">
        <v>2015</v>
      </c>
      <c r="E267" s="616"/>
      <c r="F267" s="616"/>
      <c r="G267" s="616"/>
      <c r="H267" s="616"/>
      <c r="I267" s="616"/>
      <c r="J267" s="616"/>
      <c r="K267" s="1672">
        <f t="shared" si="22"/>
        <v>2015</v>
      </c>
      <c r="L267" s="466">
        <v>2650</v>
      </c>
    </row>
    <row r="268" spans="1:14" x14ac:dyDescent="0.2">
      <c r="A268" s="1504" t="s">
        <v>100</v>
      </c>
      <c r="B268" s="614">
        <v>2560</v>
      </c>
      <c r="C268" s="616"/>
      <c r="D268" s="466">
        <v>2680</v>
      </c>
      <c r="E268" s="616"/>
      <c r="F268" s="616"/>
      <c r="G268" s="616"/>
      <c r="H268" s="616"/>
      <c r="I268" s="616"/>
      <c r="J268" s="616"/>
      <c r="K268" s="1672">
        <f t="shared" si="22"/>
        <v>2680</v>
      </c>
      <c r="L268" s="466">
        <v>3400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16991</v>
      </c>
      <c r="E270" s="616"/>
      <c r="F270" s="616"/>
      <c r="G270" s="616"/>
      <c r="H270" s="616"/>
      <c r="I270" s="616"/>
      <c r="J270" s="616"/>
      <c r="K270" s="1670">
        <f>SUM(K263:K269)</f>
        <v>16991</v>
      </c>
      <c r="L270" s="1670">
        <f>SUM(L263:L269)</f>
        <v>22600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218</v>
      </c>
      <c r="E276" s="616"/>
      <c r="F276" s="616"/>
      <c r="G276" s="616"/>
      <c r="H276" s="616"/>
      <c r="I276" s="616"/>
      <c r="J276" s="616"/>
      <c r="K276" s="1672">
        <f>D276</f>
        <v>218</v>
      </c>
      <c r="L276" s="466">
        <v>0</v>
      </c>
    </row>
    <row r="277" spans="1:12" ht="12.75" customHeight="1" thickBot="1" x14ac:dyDescent="0.25">
      <c r="A277" s="1691" t="s">
        <v>37</v>
      </c>
      <c r="B277" s="1669" t="s">
        <v>36</v>
      </c>
      <c r="C277" s="616"/>
      <c r="D277" s="1670">
        <f>SUM(D272:D276)</f>
        <v>218</v>
      </c>
      <c r="E277" s="616"/>
      <c r="F277" s="616"/>
      <c r="G277" s="616"/>
      <c r="H277" s="616"/>
      <c r="I277" s="616"/>
      <c r="J277" s="616"/>
      <c r="K277" s="1670">
        <f>SUM(K272:K276)</f>
        <v>218</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19448</v>
      </c>
      <c r="E279" s="616"/>
      <c r="F279" s="616"/>
      <c r="G279" s="616"/>
      <c r="H279" s="616"/>
      <c r="I279" s="616"/>
      <c r="J279" s="616"/>
      <c r="K279" s="1677">
        <f>SUM(K238,K243,K257,K261,K270,K277,K278)</f>
        <v>19448</v>
      </c>
      <c r="L279" s="1677">
        <f>SUM(L238,L243,L257,L261,L270,L277,L278)</f>
        <v>24870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27271</v>
      </c>
      <c r="E295" s="616"/>
      <c r="F295" s="616"/>
      <c r="G295" s="616"/>
      <c r="H295" s="1670">
        <f>H293</f>
        <v>0</v>
      </c>
      <c r="I295" s="616"/>
      <c r="J295" s="616"/>
      <c r="K295" s="1670">
        <f>SUM(K229,K279,K280,K285,K293,K294)</f>
        <v>27271</v>
      </c>
      <c r="L295" s="1670">
        <f>SUM(L229,L279,L280,L285,L293,L294)</f>
        <v>32655</v>
      </c>
    </row>
    <row r="296" spans="1:14" ht="13.5" thickTop="1" x14ac:dyDescent="0.2">
      <c r="A296" s="2180" t="s">
        <v>996</v>
      </c>
      <c r="B296" s="2181"/>
      <c r="C296" s="616"/>
      <c r="D296" s="618"/>
      <c r="E296" s="616"/>
      <c r="F296" s="616"/>
      <c r="G296" s="616"/>
      <c r="H296" s="687"/>
      <c r="I296" s="616"/>
      <c r="J296" s="616"/>
      <c r="K296" s="1684">
        <f>'Revenues 9-14'!G268-'Expenditures 15-22'!K295</f>
        <v>-2398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22366</v>
      </c>
      <c r="F320" s="467"/>
      <c r="G320" s="467"/>
      <c r="H320" s="467"/>
      <c r="I320" s="467"/>
      <c r="J320" s="467"/>
      <c r="K320" s="1671">
        <f t="shared" ref="K320:K327" si="24">SUM(C320:J320)</f>
        <v>22366</v>
      </c>
      <c r="L320" s="467">
        <v>7118</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2541</v>
      </c>
      <c r="F322" s="467"/>
      <c r="G322" s="467"/>
      <c r="H322" s="467"/>
      <c r="I322" s="467"/>
      <c r="J322" s="467"/>
      <c r="K322" s="1671">
        <f t="shared" si="24"/>
        <v>2541</v>
      </c>
      <c r="L322" s="467">
        <v>2500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126425</v>
      </c>
      <c r="D325" s="467"/>
      <c r="E325" s="467"/>
      <c r="F325" s="467"/>
      <c r="G325" s="467"/>
      <c r="H325" s="467"/>
      <c r="I325" s="467"/>
      <c r="J325" s="467"/>
      <c r="K325" s="1671">
        <f t="shared" si="24"/>
        <v>126425</v>
      </c>
      <c r="L325" s="467">
        <v>88250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1000</v>
      </c>
      <c r="M328" s="665"/>
      <c r="N328" s="665"/>
    </row>
    <row r="329" spans="1:14" s="674" customFormat="1" x14ac:dyDescent="0.2">
      <c r="A329" s="1520" t="s">
        <v>1133</v>
      </c>
      <c r="B329" s="690" t="s">
        <v>1134</v>
      </c>
      <c r="C329" s="474"/>
      <c r="D329" s="474"/>
      <c r="E329" s="474">
        <v>2019</v>
      </c>
      <c r="F329" s="474"/>
      <c r="G329" s="474"/>
      <c r="H329" s="474"/>
      <c r="I329" s="474"/>
      <c r="J329" s="474"/>
      <c r="K329" s="1699">
        <f>SUM(C329:J329)</f>
        <v>2019</v>
      </c>
      <c r="L329" s="474">
        <v>2000</v>
      </c>
      <c r="M329" s="665"/>
      <c r="N329" s="665"/>
    </row>
    <row r="330" spans="1:14" s="674" customFormat="1" ht="12.75" customHeight="1" thickBot="1" x14ac:dyDescent="0.25">
      <c r="A330" s="1700" t="s">
        <v>717</v>
      </c>
      <c r="B330" s="1669" t="s">
        <v>569</v>
      </c>
      <c r="C330" s="1670">
        <f>SUM(C319:C329)</f>
        <v>126425</v>
      </c>
      <c r="D330" s="1670">
        <f t="shared" ref="D330:J330" si="25">SUM(D319:D329)</f>
        <v>0</v>
      </c>
      <c r="E330" s="1670">
        <f t="shared" si="25"/>
        <v>26926</v>
      </c>
      <c r="F330" s="1670">
        <f t="shared" si="25"/>
        <v>0</v>
      </c>
      <c r="G330" s="1670">
        <f t="shared" si="25"/>
        <v>0</v>
      </c>
      <c r="H330" s="1670">
        <f t="shared" si="25"/>
        <v>0</v>
      </c>
      <c r="I330" s="1670">
        <f t="shared" si="25"/>
        <v>0</v>
      </c>
      <c r="J330" s="1670">
        <f t="shared" si="25"/>
        <v>0</v>
      </c>
      <c r="K330" s="1670">
        <f>SUM(K319:K329)</f>
        <v>153351</v>
      </c>
      <c r="L330" s="1670">
        <f>SUM(L319:L329)</f>
        <v>100868</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126425</v>
      </c>
      <c r="D342" s="1670">
        <f>SUM(D330)</f>
        <v>0</v>
      </c>
      <c r="E342" s="1670">
        <f>SUM(E330)</f>
        <v>26926</v>
      </c>
      <c r="F342" s="1670">
        <f>SUM(F330)</f>
        <v>0</v>
      </c>
      <c r="G342" s="1670">
        <f>SUM(G330)</f>
        <v>0</v>
      </c>
      <c r="H342" s="1670">
        <f>SUM(H330,H334,H340)</f>
        <v>0</v>
      </c>
      <c r="I342" s="1670">
        <f>SUM(I330)</f>
        <v>0</v>
      </c>
      <c r="J342" s="1670">
        <f>SUM(J330)</f>
        <v>0</v>
      </c>
      <c r="K342" s="1670">
        <f>SUM(K330,K334,K340)</f>
        <v>153351</v>
      </c>
      <c r="L342" s="1677">
        <f>SUM(L330,L340,L341)</f>
        <v>100868</v>
      </c>
    </row>
    <row r="343" spans="1:14" ht="12.75" customHeight="1" thickTop="1" x14ac:dyDescent="0.2">
      <c r="A343" s="2166" t="s">
        <v>996</v>
      </c>
      <c r="B343" s="2167"/>
      <c r="C343" s="616"/>
      <c r="D343" s="616"/>
      <c r="E343" s="616"/>
      <c r="F343" s="616"/>
      <c r="G343" s="616"/>
      <c r="H343" s="616"/>
      <c r="I343" s="616"/>
      <c r="J343" s="616"/>
      <c r="K343" s="1684">
        <f>'Revenues 9-14'!J268-'Expenditures 15-22'!K342</f>
        <v>-57599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4909</v>
      </c>
      <c r="F348" s="466"/>
      <c r="G348" s="466"/>
      <c r="H348" s="466"/>
      <c r="I348" s="467"/>
      <c r="J348" s="467"/>
      <c r="K348" s="1671">
        <f>SUM(C348:J348)</f>
        <v>4909</v>
      </c>
      <c r="L348" s="466">
        <v>10500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4909</v>
      </c>
      <c r="F350" s="1670">
        <f t="shared" si="26"/>
        <v>0</v>
      </c>
      <c r="G350" s="1670">
        <f t="shared" si="26"/>
        <v>0</v>
      </c>
      <c r="H350" s="1670">
        <f t="shared" si="26"/>
        <v>0</v>
      </c>
      <c r="I350" s="1670">
        <f t="shared" si="26"/>
        <v>0</v>
      </c>
      <c r="J350" s="1670">
        <f t="shared" si="26"/>
        <v>0</v>
      </c>
      <c r="K350" s="1670">
        <f t="shared" si="26"/>
        <v>4909</v>
      </c>
      <c r="L350" s="1670">
        <f t="shared" si="26"/>
        <v>10500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4909</v>
      </c>
      <c r="F352" s="1670">
        <f t="shared" si="27"/>
        <v>0</v>
      </c>
      <c r="G352" s="1670">
        <f t="shared" si="27"/>
        <v>0</v>
      </c>
      <c r="H352" s="1670">
        <f t="shared" si="27"/>
        <v>0</v>
      </c>
      <c r="I352" s="1670">
        <f t="shared" si="27"/>
        <v>0</v>
      </c>
      <c r="J352" s="1670">
        <f t="shared" si="27"/>
        <v>0</v>
      </c>
      <c r="K352" s="1670">
        <f t="shared" si="27"/>
        <v>4909</v>
      </c>
      <c r="L352" s="1670">
        <f t="shared" si="27"/>
        <v>10500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4909</v>
      </c>
      <c r="F367" s="1670">
        <f t="shared" si="28"/>
        <v>0</v>
      </c>
      <c r="G367" s="1670">
        <f t="shared" si="28"/>
        <v>0</v>
      </c>
      <c r="H367" s="1670">
        <f t="shared" si="28"/>
        <v>0</v>
      </c>
      <c r="I367" s="1670">
        <f t="shared" si="28"/>
        <v>0</v>
      </c>
      <c r="J367" s="1670">
        <f t="shared" si="28"/>
        <v>0</v>
      </c>
      <c r="K367" s="1670">
        <f t="shared" si="28"/>
        <v>4909</v>
      </c>
      <c r="L367" s="1670">
        <f t="shared" si="28"/>
        <v>10500</v>
      </c>
    </row>
    <row r="368" spans="1:14" ht="13.5" thickTop="1" x14ac:dyDescent="0.2">
      <c r="A368" s="2180" t="s">
        <v>996</v>
      </c>
      <c r="B368" s="2181"/>
      <c r="C368" s="654"/>
      <c r="D368" s="654"/>
      <c r="E368" s="626"/>
      <c r="F368" s="626"/>
      <c r="G368" s="626"/>
      <c r="H368" s="626"/>
      <c r="I368" s="626"/>
      <c r="J368" s="623"/>
      <c r="K368" s="1671">
        <f>'Revenues 9-14'!K268-'Expenditures 15-22'!K367</f>
        <v>6155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d21dc803-237d-4c68-8692-8d731fd29118"/>
    <ds:schemaRef ds:uri="http://schemas.openxmlformats.org/package/2006/metadata/core-properties"/>
    <ds:schemaRef ds:uri="http://purl.org/dc/terms/"/>
    <ds:schemaRef ds:uri="http://schemas.microsoft.com/sharepoint/v3"/>
    <ds:schemaRef ds:uri="http://www.w3.org/XML/1998/namespace"/>
    <ds:schemaRef ds:uri="http://purl.org/dc/dcmitype/"/>
    <ds:schemaRef ds:uri="http://purl.org/dc/elements/1.1/"/>
    <ds:schemaRef ds:uri="http://schemas.microsoft.com/office/infopath/2007/PartnerControl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2019-08-21T01:21:48Z</cp:lastPrinted>
  <dcterms:created xsi:type="dcterms:W3CDTF">2003-10-29T19:06:34Z</dcterms:created>
  <dcterms:modified xsi:type="dcterms:W3CDTF">2019-11-26T17:36:40Z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