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D18AE61-DF34-4193-8804-4109F398F4C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Signature Page" sheetId="186"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1" sheetId="183" r:id="rId29"/>
    <sheet name="SEFA NOTES" sheetId="173" r:id="rId30"/>
    <sheet name="SF&amp;QC Sec-1" sheetId="174" r:id="rId31"/>
    <sheet name="SF&amp;QC Sec-2" sheetId="175" r:id="rId32"/>
    <sheet name="SF&amp;QC Sec-2 (2)" sheetId="184" r:id="rId33"/>
    <sheet name="SF&amp;QC Sec-2 (3)" sheetId="185" r:id="rId34"/>
    <sheet name="SF&amp;QC Sec-3" sheetId="176" r:id="rId35"/>
    <sheet name="SSPAF" sheetId="177" r:id="rId36"/>
  </sheet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66" i="29" l="1"/>
  <c r="B4" i="185" l="1"/>
  <c r="B4" i="184"/>
  <c r="D45" i="174"/>
  <c r="D35" i="171"/>
  <c r="J60" i="183"/>
  <c r="H60" i="183"/>
  <c r="G60" i="183"/>
  <c r="F60" i="183"/>
  <c r="J57" i="183"/>
  <c r="H57" i="183"/>
  <c r="G57" i="183"/>
  <c r="F57" i="183"/>
  <c r="J50" i="183"/>
  <c r="F50" i="183"/>
  <c r="K46" i="183"/>
  <c r="J46" i="183"/>
  <c r="I46" i="183"/>
  <c r="H46" i="183"/>
  <c r="H50" i="183" s="1"/>
  <c r="G46" i="183"/>
  <c r="G50" i="183" s="1"/>
  <c r="F46" i="183"/>
  <c r="M40" i="183"/>
  <c r="L40" i="183"/>
  <c r="K40" i="183"/>
  <c r="J40" i="183"/>
  <c r="I40" i="183"/>
  <c r="H40" i="183"/>
  <c r="G40" i="183"/>
  <c r="F40" i="183"/>
  <c r="M32" i="183"/>
  <c r="L32" i="183"/>
  <c r="K32" i="183"/>
  <c r="J32" i="183"/>
  <c r="I32" i="183"/>
  <c r="H32" i="183"/>
  <c r="G32" i="183"/>
  <c r="F32" i="183"/>
  <c r="M23" i="183"/>
  <c r="L23" i="183"/>
  <c r="K23" i="183"/>
  <c r="J23" i="183"/>
  <c r="I23" i="183"/>
  <c r="H23" i="183"/>
  <c r="G23" i="183"/>
  <c r="F23" i="183"/>
  <c r="D10" i="11" l="1"/>
  <c r="D15" i="11"/>
  <c r="D8" i="11"/>
  <c r="H38" i="3"/>
  <c r="H39" i="3" s="1"/>
  <c r="K39" i="3"/>
  <c r="E39" i="3"/>
  <c r="D27" i="3"/>
  <c r="K4" i="3"/>
  <c r="I4" i="3"/>
  <c r="H4" i="3"/>
  <c r="G4" i="3"/>
  <c r="E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2" i="184"/>
  <c r="B2" i="185"/>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33" i="118"/>
  <c r="D22" i="37"/>
  <c r="J22" i="37"/>
  <c r="D24" i="37"/>
  <c r="B4270" i="106" s="1"/>
  <c r="D4270" i="106" s="1"/>
  <c r="D9" i="7"/>
  <c r="B1767" i="106" s="1"/>
  <c r="D1767" i="106" s="1"/>
  <c r="B5752" i="106"/>
  <c r="D5752" i="106" s="1"/>
  <c r="D17" i="7"/>
  <c r="B4104" i="106" s="1"/>
  <c r="D4104" i="106" s="1"/>
  <c r="L15" i="11" l="1"/>
  <c r="B3459" i="106" s="1"/>
  <c r="D3459" i="106" s="1"/>
  <c r="D69" i="36"/>
  <c r="G30" i="108"/>
  <c r="E30" i="108"/>
  <c r="B1126" i="106"/>
  <c r="D1126" i="106" s="1"/>
  <c r="F72" i="34"/>
  <c r="G14" i="4"/>
  <c r="B2609" i="106" s="1"/>
  <c r="D2609" i="106" s="1"/>
  <c r="F71" i="34"/>
  <c r="C342" i="29"/>
  <c r="B7216" i="106" s="1"/>
  <c r="D7216" i="106" s="1"/>
  <c r="L13" i="11"/>
  <c r="B2060" i="106" s="1"/>
  <c r="D2060" i="106" s="1"/>
  <c r="L5" i="11"/>
  <c r="B2056" i="106" s="1"/>
  <c r="D2056" i="106" s="1"/>
  <c r="L342" i="29"/>
  <c r="B3647" i="106"/>
  <c r="D3647" i="106" s="1"/>
  <c r="B7231" i="106"/>
  <c r="D7231" i="106" s="1"/>
  <c r="J77" i="4"/>
  <c r="B6262" i="106" s="1"/>
  <c r="D6262" i="106" s="1"/>
  <c r="F77" i="4"/>
  <c r="B3255" i="106" s="1"/>
  <c r="D3255"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D44" i="36"/>
  <c r="B1317" i="106"/>
  <c r="D1317" i="106" s="1"/>
  <c r="B1328" i="106"/>
  <c r="D1328" i="106" s="1"/>
  <c r="D7256" i="106"/>
  <c r="D7251" i="106"/>
  <c r="D7252" i="106"/>
  <c r="C114" i="29"/>
  <c r="B757" i="106" s="1"/>
  <c r="D757" i="106" s="1"/>
  <c r="K342" i="29"/>
  <c r="F13" i="34" s="1"/>
  <c r="G170" i="5"/>
  <c r="B5778" i="106" s="1"/>
  <c r="D5778" i="106" s="1"/>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K16" i="4" s="1"/>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367" i="29"/>
  <c r="K368" i="29" s="1"/>
  <c r="B3681" i="106" s="1"/>
  <c r="D3681" i="106" s="1"/>
  <c r="B7243" i="106"/>
  <c r="D7243"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J20" i="4"/>
  <c r="D8" i="146"/>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<sst xmlns="http://schemas.openxmlformats.org/spreadsheetml/2006/main" count="5345" uniqueCount="2183">
  <si>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</si>
  <si>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</si>
  <si>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</si>
  <si>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</si>
  <si>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</si>
  <si>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</si>
  <si>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</si>
  <si>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</si>
  <si>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</si>
  <si>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</si>
  <si>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</si>
  <si>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</si>
  <si>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</si>
  <si>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</si>
  <si>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</si>
  <si>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</si>
  <si>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</si>
  <si>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</si>
  <si>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</si>
  <si>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</si>
  <si>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</si>
  <si>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</si>
  <si>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</si>
  <si>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</si>
  <si>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</si>
  <si>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</si>
  <si>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</si>
  <si>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</si>
  <si>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</si>
  <si>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</si>
  <si>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</si>
  <si>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</si>
  <si>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</si>
  <si>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</si>
  <si>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</si>
  <si>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</si>
  <si>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</si>
  <si>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</si>
  <si>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</si>
  <si>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</si>
  <si>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</si>
  <si>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</si>
  <si>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</si>
  <si>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</si>
  <si>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</si>
  <si>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</si>
  <si>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</si>
  <si>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</si>
  <si>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</si>
  <si>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</si>
  <si>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</si>
  <si>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</si>
  <si>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</si>
  <si>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</si>
  <si>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</si>
  <si>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</si>
  <si>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</si>
  <si>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</si>
  <si>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</si>
  <si>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</si>
  <si>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</si>
  <si>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</si>
  <si>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</si>
  <si>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</si>
  <si>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</si>
  <si>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</si>
  <si>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</si>
  <si>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</si>
  <si>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</si>
  <si>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</si>
  <si>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</si>
  <si>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</si>
  <si>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</si>
  <si>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</si>
  <si>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</si>
  <si>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</si>
  <si>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</si>
  <si>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</si>
  <si>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</si>
  <si>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</si>
  <si>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</si>
  <si>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</si>
  <si>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</si>
  <si>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</si>
  <si>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</si>
  <si>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</si>
  <si>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</si>
  <si>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</si>
  <si>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</si>
  <si>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</si>
  <si>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</si>
  <si>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</si>
  <si>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</si>
  <si>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</si>
  <si>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</si>
  <si>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</si>
  <si>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</si>
  <si>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</si>
  <si>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</si>
  <si>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</si>
  <si>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</si>
  <si>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</si>
  <si>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</si>
  <si>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</si>
  <si>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</si>
  <si>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</si>
  <si>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</si>
  <si>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</si>
  <si>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</si>
  <si>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</si>
  <si>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</si>
  <si>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</si>
  <si>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</si>
  <si>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</si>
  <si>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</si>
  <si>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</si>
  <si>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</si>
  <si>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</si>
  <si>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</si>
  <si>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</si>
  <si>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</si>
  <si>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</si>
  <si>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</si>
  <si>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</si>
  <si>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</si>
  <si>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</si>
  <si>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</si>
  <si>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</si>
  <si>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</si>
  <si>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</si>
  <si>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</si>
  <si>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</si>
  <si>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</si>
  <si>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</si>
  <si>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</si>
  <si>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</si>
  <si>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</si>
  <si>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</si>
  <si>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</si>
  <si>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</si>
  <si>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</si>
  <si>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</si>
  <si>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</si>
  <si>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</si>
  <si>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</si>
  <si>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</si>
  <si>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</si>
  <si>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</si>
  <si>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</si>
  <si>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</si>
  <si>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</si>
  <si>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</si>
  <si>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</si>
  <si>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</si>
  <si>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</si>
  <si>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</si>
  <si>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</si>
  <si>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</si>
  <si>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</si>
  <si>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</si>
  <si>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</si>
  <si>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</si>
  <si>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</si>
  <si>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</si>
  <si>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</si>
  <si>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</si>
  <si>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</si>
  <si>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</si>
  <si>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</si>
  <si>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</si>
  <si>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</si>
  <si>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</si>
  <si>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</si>
  <si>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</si>
  <si>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</si>
  <si>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</si>
  <si>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</si>
  <si>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</si>
  <si>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</si>
  <si>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</si>
  <si>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</si>
  <si>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</si>
  <si>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</si>
  <si>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</si>
  <si>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</si>
  <si>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</si>
  <si>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</si>
  <si>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</si>
  <si>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</si>
  <si>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</si>
  <si>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</si>
  <si>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</si>
  <si>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</si>
  <si>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</si>
  <si>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</si>
  <si>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</si>
  <si>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</si>
  <si>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</si>
  <si>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</si>
  <si>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</si>
  <si>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</si>
  <si>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</si>
  <si>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</si>
  <si>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</si>
  <si>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</si>
  <si>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</si>
  <si>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</si>
  <si>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</si>
  <si>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</si>
  <si>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</si>
  <si>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</si>
  <si>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</si>
  <si>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</si>
  <si>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</si>
  <si>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</si>
  <si>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</si>
  <si>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</si>
  <si>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</si>
  <si>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</si>
  <si>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</si>
  <si>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</si>
  <si>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</si>
  <si>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</si>
  <si>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</si>
  <si>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</si>
  <si>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</si>
  <si>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</si>
  <si>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</si>
  <si>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</si>
  <si>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</si>
  <si>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</si>
  <si>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</si>
  <si>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</si>
  <si>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</si>
  <si>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</si>
  <si>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</si>
  <si>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</si>
  <si>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</si>
  <si>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</si>
  <si>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</si>
  <si>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</si>
  <si>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</si>
  <si>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</si>
  <si>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</si>
  <si>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</si>
  <si>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</si>
  <si>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</si>
  <si>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</si>
  <si>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</si>
  <si>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</si>
  <si>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</si>
  <si>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</si>
  <si>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</si>
  <si>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</si>
  <si>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</si>
  <si>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</si>
  <si>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</si>
  <si>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</si>
  <si>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</si>
  <si>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</si>
  <si>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</si>
  <si>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</si>
  <si>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</si>
  <si>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</si>
  <si>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</si>
  <si>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</si>
  <si>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</si>
  <si>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</si>
  <si>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</si>
  <si>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</si>
  <si>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</si>
  <si>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</si>
  <si>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</si>
  <si>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</si>
  <si>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</si>
  <si>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</si>
  <si>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</si>
  <si>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</si>
  <si>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</si>
  <si>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</si>
  <si>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</si>
  <si>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</si>
  <si>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</si>
  <si>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</si>
  <si>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</si>
  <si>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</si>
  <si>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</si>
  <si>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</si>
  <si>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</si>
  <si>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</si>
  <si>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</si>
  <si>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</si>
  <si>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</si>
  <si>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</si>
  <si>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</si>
  <si>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</si>
  <si>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</si>
  <si>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</si>
  <si>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</si>
  <si>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</si>
  <si>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</si>
  <si>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</si>
  <si>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</si>
  <si>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</si>
  <si>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</si>
  <si>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</si>
  <si>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</si>
  <si>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</si>
  <si>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</si>
  <si>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</si>
  <si>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</si>
  <si>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</si>
  <si>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</si>
  <si>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</si>
  <si>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</si>
  <si>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</si>
  <si>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</si>
  <si>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</si>
  <si>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</si>
  <si>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</si>
  <si>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</si>
  <si>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</si>
  <si>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</si>
  <si>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</si>
  <si>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</si>
  <si>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</si>
  <si>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</si>
  <si>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</si>
  <si>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</si>
  <si>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</si>
  <si>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</si>
  <si>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</si>
  <si>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</si>
  <si>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</si>
  <si>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</si>
  <si>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</si>
  <si>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</si>
  <si>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</si>
  <si>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</si>
  <si>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</si>
  <si>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</si>
  <si>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</si>
  <si>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</si>
  <si>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</si>
  <si>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</si>
  <si>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</si>
  <si>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</si>
  <si>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</si>
  <si>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</si>
  <si>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</si>
  <si>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</si>
  <si>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</si>
  <si>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</si>
  <si>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</si>
  <si>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</si>
  <si>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</si>
  <si>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</si>
  <si>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</si>
  <si>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</si>
  <si>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</si>
  <si>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</si>
  <si>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</si>
  <si>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</si>
  <si>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</si>
  <si>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</si>
  <si>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</si>
  <si>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</si>
  <si>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</si>
  <si>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</si>
  <si>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</si>
  <si>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</si>
  <si>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</si>
  <si>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</si>
  <si>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</si>
  <si>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</si>
  <si>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</si>
  <si>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</si>
  <si>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</si>
  <si>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</si>
  <si>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</si>
  <si>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</si>
  <si>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</si>
  <si>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</si>
  <si>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</si>
  <si>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</si>
  <si>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</si>
  <si>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</si>
  <si>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</si>
  <si>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</si>
  <si>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</si>
  <si>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</si>
  <si>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</si>
  <si>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</si>
  <si>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</si>
  <si>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</si>
  <si>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</si>
  <si>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</si>
  <si>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</si>
  <si>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</si>
  <si>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</si>
  <si>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</si>
  <si>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</si>
  <si>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</si>
  <si>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</si>
  <si>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</si>
  <si>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</si>
  <si>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</si>
  <si>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</si>
  <si>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</si>
  <si>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</si>
  <si>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</si>
  <si>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</si>
  <si>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</si>
  <si>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</si>
  <si>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</si>
  <si>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</si>
  <si>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</si>
  <si>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</si>
  <si>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</si>
  <si>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</si>
  <si>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</si>
  <si>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</si>
  <si>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</si>
  <si>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</si>
  <si>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</si>
  <si>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</si>
  <si>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</si>
  <si>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</si>
  <si>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</si>
  <si>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</si>
  <si>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</si>
  <si>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</si>
  <si>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</si>
  <si>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</si>
  <si>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</si>
  <si>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</si>
  <si>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</si>
  <si>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</si>
  <si>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</si>
  <si>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</si>
  <si>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</si>
  <si>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</si>
  <si>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</si>
  <si>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</si>
  <si>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</si>
  <si>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</si>
  <si>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</si>
  <si>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</si>
  <si>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</si>
  <si>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</si>
  <si>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</si>
  <si>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</si>
  <si>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</si>
  <si>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</si>
  <si>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</si>
  <si>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</si>
  <si>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</si>
  <si>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</si>
  <si>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</si>
  <si>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</si>
  <si>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</si>
  <si>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</si>
  <si>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</si>
  <si>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</si>
  <si>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</si>
  <si>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</si>
  <si>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</si>
  <si>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</si>
  <si>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</si>
  <si>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</si>
  <si>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</si>
  <si>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</si>
  <si>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</si>
  <si>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</si>
  <si>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</si>
  <si>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</si>
  <si>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</si>
  <si>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</si>
  <si>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</si>
  <si>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</si>
  <si>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</si>
  <si>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</si>
  <si>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</si>
  <si>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</si>
  <si>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</si>
  <si>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</si>
  <si>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</si>
  <si>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</si>
  <si>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</si>
  <si>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</si>
  <si>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</si>
  <si>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</si>
  <si>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</si>
  <si>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</si>
  <si>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</si>
  <si>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</si>
  <si>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</si>
  <si>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</si>
  <si>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</si>
  <si>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</si>
  <si>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</si>
  <si>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</si>
  <si>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</si>
  <si>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</si>
  <si>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</si>
  <si>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</si>
  <si>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</si>
  <si>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</si>
  <si>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</si>
  <si>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</si>
  <si>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</si>
  <si>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</si>
  <si>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</si>
  <si>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</si>
  <si>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</si>
  <si>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</si>
  <si>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</si>
  <si>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</si>
  <si>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</si>
  <si>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</si>
  <si>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</si>
  <si>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</si>
  <si>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</si>
  <si>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</si>
  <si>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</si>
  <si>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</si>
  <si>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</si>
  <si>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</si>
  <si>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</si>
  <si>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</si>
  <si>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</si>
  <si>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</si>
  <si>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</si>
  <si>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</si>
  <si>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</si>
  <si>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</si>
  <si>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</si>
  <si>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</si>
  <si>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</si>
  <si>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</si>
  <si>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</si>
  <si>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</si>
  <si>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</si>
  <si>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</si>
  <si>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</si>
  <si>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</si>
  <si>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</si>
  <si>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</si>
  <si>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</si>
  <si>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</si>
  <si>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</si>
  <si>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</si>
  <si>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</si>
  <si>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</si>
  <si>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</si>
  <si>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</si>
  <si>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</si>
  <si>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</si>
  <si>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</si>
  <si>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</si>
  <si>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</si>
  <si>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</si>
  <si>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</si>
  <si>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</si>
  <si>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</si>
  <si>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</si>
  <si>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</si>
  <si>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</si>
  <si>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</si>
  <si>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</si>
  <si>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</si>
  <si>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</si>
  <si>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</si>
  <si>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</si>
  <si>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</si>
  <si>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</si>
  <si>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</si>
  <si>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</si>
  <si>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</si>
  <si>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</si>
  <si>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</si>
  <si>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</si>
  <si>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</si>
  <si>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</si>
  <si>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</si>
  <si>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</si>
  <si>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</si>
  <si>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</si>
  <si>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</si>
  <si>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</si>
  <si>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</si>
  <si>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</si>
  <si>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</si>
  <si>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</si>
  <si>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</si>
  <si>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</si>
  <si>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</si>
  <si>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</si>
  <si>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</si>
  <si>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</si>
  <si>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</si>
  <si>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</si>
  <si>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</si>
  <si>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</si>
  <si>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</si>
  <si>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</si>
  <si>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</si>
  <si>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</si>
  <si>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</si>
  <si>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</si>
  <si>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</si>
  <si>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</si>
  <si>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</si>
  <si>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</si>
  <si>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</si>
  <si>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</si>
  <si>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</si>
  <si>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</si>
  <si>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</si>
  <si>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</si>
  <si>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</si>
  <si>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</si>
  <si>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</si>
  <si>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</si>
  <si>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</si>
  <si>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</si>
  <si>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</si>
  <si>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</si>
  <si>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</si>
  <si>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</si>
  <si>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</si>
  <si>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</si>
  <si>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</si>
  <si>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</si>
  <si>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</si>
  <si>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</si>
  <si>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</si>
  <si>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</si>
  <si>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</si>
  <si>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</si>
  <si>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</si>
  <si>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</si>
  <si>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</si>
  <si>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</si>
  <si>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</si>
  <si>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</si>
  <si>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</si>
  <si>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</si>
  <si>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</si>
  <si>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</si>
  <si>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</si>
  <si>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</si>
  <si>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</si>
  <si>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</si>
  <si>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</si>
  <si>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</si>
  <si>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</si>
  <si>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</si>
  <si>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</si>
  <si>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</si>
  <si>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</si>
  <si>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</si>
  <si>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</si>
  <si>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</si>
  <si>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</si>
  <si>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</si>
  <si>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</si>
  <si>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</si>
  <si>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</si>
  <si>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</si>
  <si>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</si>
  <si>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</si>
  <si>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</si>
  <si>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</si>
  <si>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</si>
  <si>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</si>
  <si>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</si>
  <si>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</si>
  <si>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</si>
  <si>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</si>
  <si>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</si>
  <si>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</si>
  <si>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</si>
  <si>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</si>
  <si>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</si>
  <si>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</si>
  <si>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</si>
  <si>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</si>
  <si>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</si>
  <si>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</si>
  <si>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</si>
  <si>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</si>
  <si>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</si>
  <si>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</si>
  <si>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</si>
  <si>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</si>
  <si>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</si>
  <si>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</si>
  <si>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</si>
  <si>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</si>
  <si>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</si>
  <si>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</si>
  <si>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</si>
  <si>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</si>
  <si>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</si>
  <si>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</si>
  <si>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</si>
  <si>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</si>
  <si>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</si>
  <si>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</si>
  <si>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</si>
  <si>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</si>
  <si>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</si>
  <si>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</si>
  <si>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</si>
  <si>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</si>
  <si>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</si>
  <si>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</si>
  <si>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</si>
  <si>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</si>
  <si>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</si>
  <si>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</si>
  <si>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</si>
  <si>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</si>
  <si>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</si>
  <si>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</si>
  <si>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</si>
  <si>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</si>
  <si>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</si>
  <si>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</si>
  <si>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</si>
  <si>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</si>
  <si>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</si>
  <si>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</si>
  <si>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</si>
  <si>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</si>
  <si>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</si>
  <si>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</si>
  <si>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</si>
  <si>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</si>
  <si>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</si>
  <si>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</si>
  <si>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</si>
  <si>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</si>
  <si>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</si>
  <si>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</si>
  <si>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</si>
  <si>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</si>
  <si>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</si>
  <si>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</si>
  <si>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</si>
  <si>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</si>
  <si>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</si>
  <si>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</si>
  <si>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</si>
  <si>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</si>
  <si>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</si>
  <si>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</si>
  <si>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</si>
  <si>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</si>
  <si>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</si>
  <si>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</si>
  <si>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</si>
  <si>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</si>
  <si>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</si>
  <si>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</si>
  <si>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</si>
  <si>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</si>
  <si>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</si>
  <si>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</si>
  <si>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</si>
  <si>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</si>
  <si>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</si>
  <si>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</si>
  <si>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</si>
  <si>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</si>
  <si>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</si>
  <si>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</si>
  <si>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</si>
  <si>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</si>
  <si>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</si>
  <si>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</si>
  <si>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</si>
  <si>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</si>
  <si>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</si>
  <si>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</si>
  <si>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</si>
  <si>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</si>
  <si>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</si>
  <si>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</si>
  <si>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</si>
  <si>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</si>
  <si>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</si>
  <si>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</si>
  <si>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</si>
  <si>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</si>
  <si>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</si>
  <si>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</si>
  <si>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</si>
  <si>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</si>
  <si>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</si>
  <si>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</si>
  <si>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</si>
  <si>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</si>
  <si>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</si>
  <si>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</si>
  <si>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</si>
  <si>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</si>
  <si>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</si>
  <si>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</si>
  <si>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</si>
  <si>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</si>
  <si>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</si>
  <si>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</si>
  <si>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</si>
  <si>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</si>
  <si>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</si>
  <si>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</si>
  <si>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</si>
  <si>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</si>
  <si>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</si>
  <si>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</si>
  <si>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</si>
  <si>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</si>
  <si>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</si>
  <si>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</si>
  <si>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</si>
  <si>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</si>
  <si>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</si>
  <si>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</si>
  <si>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</si>
  <si>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</si>
  <si>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</si>
  <si>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</si>
  <si>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</si>
  <si>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</si>
  <si>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</si>
  <si>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</si>
  <si>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</si>
  <si>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</si>
  <si>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</si>
  <si>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</si>
  <si>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</si>
  <si>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</si>
  <si>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</si>
  <si>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</si>
  <si>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</si>
  <si>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</si>
  <si>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</si>
  <si>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</si>
  <si>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</si>
  <si>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</si>
  <si>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</si>
  <si>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</si>
  <si>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</si>
  <si>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</si>
  <si>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</si>
  <si>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</si>
  <si>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</si>
  <si>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</si>
  <si>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</si>
  <si>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</si>
  <si>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</si>
  <si>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</si>
  <si>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</si>
  <si>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</si>
  <si>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</si>
  <si>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</si>
  <si>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</si>
  <si>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</si>
  <si>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</si>
  <si>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</si>
  <si>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</si>
  <si>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</si>
  <si>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</si>
  <si>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</si>
  <si>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</si>
  <si>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</si>
  <si>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</si>
  <si>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</si>
  <si>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</si>
  <si>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</si>
  <si>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</si>
  <si>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</si>
  <si>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</si>
  <si>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</si>
  <si>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</si>
  <si>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</si>
  <si>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</si>
  <si>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</si>
  <si>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</si>
  <si>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</si>
  <si>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</si>
  <si>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</si>
  <si>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</si>
  <si>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</si>
  <si>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</si>
  <si>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</si>
  <si>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</si>
  <si>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</si>
  <si>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</si>
  <si>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</si>
  <si>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</si>
  <si>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</si>
  <si>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</si>
  <si>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</si>
  <si>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</si>
  <si>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</si>
  <si>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</si>
  <si>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</si>
  <si>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</si>
  <si>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</si>
  <si>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</si>
  <si>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</si>
  <si>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</si>
  <si>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</si>
  <si>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</si>
  <si>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</si>
  <si>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</si>
  <si>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</si>
  <si>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</si>
  <si>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</si>
  <si>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</si>
  <si>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</si>
  <si>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</si>
  <si>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</si>
  <si>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</si>
  <si>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</si>
  <si>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</si>
  <si>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</si>
  <si>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</si>
  <si>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</si>
  <si>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</si>
  <si>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</si>
  <si>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</si>
  <si>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</si>
  <si>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</si>
  <si>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</si>
  <si>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</si>
  <si>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</si>
  <si>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</si>
  <si>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</si>
  <si>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</si>
  <si>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</si>
  <si>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</si>
  <si>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</si>
  <si>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</si>
  <si>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</si>
  <si>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</si>
  <si>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</si>
  <si>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</si>
  <si>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</si>
  <si>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</si>
  <si>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</si>
  <si>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</si>
  <si>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</si>
  <si>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</si>
  <si>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</si>
  <si>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</si>
  <si>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</si>
  <si>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</si>
  <si>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</si>
  <si>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</si>
  <si>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</si>
  <si>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</si>
  <si>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</si>
  <si>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</si>
  <si>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</si>
  <si>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</si>
  <si>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</si>
  <si>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</si>
  <si>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</si>
  <si>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</si>
  <si>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</si>
  <si>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</si>
  <si>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</si>
  <si>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</si>
  <si>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</si>
  <si>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</si>
  <si>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</si>
  <si>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</si>
  <si>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</si>
  <si>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</si>
  <si>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</si>
  <si>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</si>
  <si>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</si>
  <si>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</si>
  <si>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</si>
  <si>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</si>
  <si>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</si>
  <si>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</si>
  <si>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</si>
  <si>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</si>
  <si>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</si>
  <si>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</si>
  <si>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</si>
  <si>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</si>
  <si>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</si>
  <si>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</si>
  <si>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</si>
  <si>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</si>
  <si>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</si>
  <si>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</si>
  <si>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</si>
  <si>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</si>
  <si>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</si>
  <si>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</si>
  <si>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</si>
  <si>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</si>
  <si>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</si>
  <si>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</si>
  <si>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</si>
  <si>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</si>
  <si>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</si>
  <si>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</si>
  <si>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</si>
  <si>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</si>
  <si>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</si>
  <si>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</si>
  <si>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</si>
  <si>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</si>
  <si>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</si>
  <si>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</si>
  <si>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</si>
  <si>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</si>
  <si>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</si>
  <si>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</si>
  <si>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</si>
  <si>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</si>
  <si>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</si>
  <si>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</si>
  <si>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</si>
  <si>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</si>
  <si>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</si>
  <si>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</si>
  <si>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</si>
  <si>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</si>
  <si>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</si>
  <si>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</si>
  <si>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</si>
  <si>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</si>
  <si>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</si>
  <si>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</si>
  <si>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</si>
  <si>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</si>
  <si>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</si>
  <si>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</si>
  <si>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</si>
  <si>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</si>
  <si>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</si>
  <si>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</si>
  <si>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</si>
  <si>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</si>
  <si>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</si>
  <si>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</si>
  <si>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</si>
  <si>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</si>
  <si>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</si>
  <si>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</si>
  <si>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</si>
  <si>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</si>
  <si>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</si>
  <si>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</si>
  <si>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</si>
  <si>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</si>
  <si>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</si>
  <si>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</si>
  <si>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</si>
  <si>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</si>
  <si>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</si>
  <si>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</si>
  <si>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</si>
  <si>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</si>
  <si>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</si>
  <si>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</si>
  <si>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</si>
  <si>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</si>
  <si>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</si>
  <si>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</si>
  <si>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</si>
  <si>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</si>
  <si>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</si>
  <si>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</si>
  <si>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</si>
  <si>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</si>
  <si>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</si>
  <si>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</si>
  <si>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</si>
  <si>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</si>
  <si>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</si>
  <si>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</si>
  <si>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</si>
  <si>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</si>
  <si>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</si>
  <si>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</si>
  <si>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</si>
  <si>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</si>
  <si>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</si>
  <si>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</si>
  <si>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</si>
  <si>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</si>
  <si>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</si>
  <si>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</si>
  <si>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</si>
  <si>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</si>
  <si>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</si>
  <si>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</si>
  <si>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</si>
  <si>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</si>
  <si>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</si>
  <si>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</si>
  <si>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</si>
  <si>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</si>
  <si>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</si>
  <si>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</si>
  <si>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</si>
  <si>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</si>
  <si>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</si>
  <si>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</si>
  <si>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</si>
  <si>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</si>
  <si>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</si>
  <si>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</si>
  <si>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</si>
  <si>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</si>
  <si>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</si>
  <si>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</si>
  <si>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</si>
  <si>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</si>
  <si>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</si>
  <si>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</si>
  <si>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</si>
  <si>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</si>
  <si>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</si>
  <si>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</si>
  <si>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</si>
  <si>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</si>
  <si>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</si>
  <si>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</si>
  <si>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</si>
  <si>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</si>
  <si>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</si>
  <si>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</si>
  <si>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</si>
  <si>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</si>
  <si>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</si>
  <si>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</si>
  <si>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</si>
  <si>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</si>
  <si>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</si>
  <si>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</si>
  <si>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</si>
  <si>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</si>
  <si>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</si>
  <si>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</si>
  <si>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</si>
  <si>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</si>
  <si>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</si>
  <si>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</si>
  <si>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</si>
  <si>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</si>
  <si>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</si>
  <si>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</si>
  <si>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</si>
  <si>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</si>
  <si>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</si>
  <si>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</si>
  <si>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</si>
  <si>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</si>
  <si>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</si>
  <si>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</si>
  <si>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</si>
  <si>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</si>
  <si>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</si>
  <si>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</si>
  <si>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</si>
  <si>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</si>
  <si>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</si>
  <si>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</si>
  <si>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</si>
  <si>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</si>
  <si>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</si>
  <si>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</si>
  <si>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</si>
  <si>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</si>
  <si>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</si>
  <si>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</si>
  <si>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</si>
  <si>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</si>
  <si>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</si>
  <si>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</si>
  <si>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</si>
  <si>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</si>
  <si>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</si>
  <si>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</si>
  <si>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</si>
  <si>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</si>
  <si>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</si>
  <si>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</si>
  <si>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</si>
  <si>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</si>
  <si>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</si>
  <si>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</si>
  <si>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</si>
  <si>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</si>
  <si>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</si>
  <si>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</si>
  <si>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</si>
  <si>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</si>
  <si>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</si>
  <si>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</si>
  <si>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</si>
  <si>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</si>
  <si>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</si>
  <si>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</si>
  <si>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</si>
  <si>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</si>
  <si>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</si>
  <si>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</si>
  <si>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</si>
  <si>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</si>
  <si>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</si>
  <si>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</si>
  <si>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</si>
  <si>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</si>
  <si>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</si>
  <si>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</si>
  <si>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</si>
  <si>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</si>
  <si>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</si>
  <si>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</si>
  <si>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</si>
  <si>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</si>
  <si>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</si>
  <si>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</si>
  <si>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</si>
  <si>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</si>
  <si>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</si>
  <si>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</si>
  <si>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</si>
  <si>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</si>
  <si>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</si>
  <si>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</si>
  <si>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</si>
  <si>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</si>
  <si>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</si>
  <si>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</si>
  <si>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</si>
  <si>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</si>
  <si>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</si>
  <si>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</si>
  <si>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</si>
  <si>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</si>
  <si>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</si>
  <si>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</si>
  <si>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</si>
  <si>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</si>
  <si>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</si>
  <si>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</si>
  <si>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</si>
  <si>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</si>
  <si>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</si>
  <si>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</si>
  <si>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</si>
  <si>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</si>
  <si>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</si>
  <si>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</si>
  <si>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</si>
  <si>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</si>
  <si>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</si>
  <si>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</si>
  <si>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</si>
  <si>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</si>
  <si>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</si>
  <si>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</si>
  <si>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</si>
  <si>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</si>
  <si>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</si>
  <si>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</si>
  <si>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</si>
  <si>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</si>
  <si>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</si>
  <si>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</si>
  <si>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</si>
  <si>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</si>
  <si>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</si>
  <si>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</si>
  <si>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</si>
  <si>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</si>
  <si>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</si>
  <si>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</si>
  <si>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</si>
  <si>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</si>
  <si>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</si>
  <si>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</si>
  <si>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</si>
  <si>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</si>
  <si>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</si>
  <si>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</si>
  <si>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</si>
  <si>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</si>
  <si>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</si>
  <si>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</si>
  <si>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</si>
  <si>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</si>
  <si>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</si>
  <si>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</si>
  <si>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</si>
  <si>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</si>
  <si>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</si>
  <si>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</si>
  <si>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</si>
  <si>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</si>
  <si>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</si>
  <si>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</si>
  <si>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</si>
  <si>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</si>
  <si>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</si>
  <si>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</si>
  <si>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</si>
  <si>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</si>
  <si>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</si>
  <si>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</si>
  <si>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</si>
  <si>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</si>
  <si>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</si>
  <si>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</si>
  <si>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</si>
  <si>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</si>
  <si>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</si>
  <si>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</si>
  <si>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</si>
  <si>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</si>
  <si>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</si>
  <si>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</si>
  <si>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</si>
  <si>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</si>
  <si>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</si>
  <si>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</si>
  <si>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</si>
  <si>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</si>
  <si>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</si>
  <si>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</si>
  <si>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</si>
  <si>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</si>
  <si>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</si>
  <si>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</si>
  <si>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</si>
  <si>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</si>
  <si>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</si>
  <si>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</si>
  <si>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</si>
  <si>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</si>
  <si>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</si>
  <si>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</si>
  <si>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</si>
  <si>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</si>
  <si>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</si>
  <si>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</si>
  <si>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</si>
  <si>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</si>
  <si>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</si>
  <si>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</si>
  <si>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</si>
  <si>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</si>
  <si>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</si>
  <si>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</si>
  <si>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</si>
  <si>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</si>
  <si>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</si>
  <si>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</si>
  <si>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</si>
  <si>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</si>
  <si>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</si>
  <si>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</si>
  <si>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</si>
  <si>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</si>
  <si>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</si>
  <si>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</si>
  <si>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</si>
  <si>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</si>
  <si>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</si>
  <si>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</si>
  <si>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</si>
  <si>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</si>
  <si>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</si>
  <si>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</si>
  <si>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</si>
  <si>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</si>
  <si>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</si>
  <si>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</si>
  <si>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</si>
  <si>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</si>
  <si>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</si>
  <si>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</si>
  <si>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</si>
  <si>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</si>
  <si>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</si>
  <si>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</si>
  <si>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</si>
  <si>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</si>
  <si>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</si>
  <si>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</si>
  <si>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</si>
  <si>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</si>
  <si>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</si>
  <si>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</si>
  <si>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</si>
  <si>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</si>
  <si>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</si>
  <si>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</si>
  <si>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</si>
  <si>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</si>
  <si>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</si>
  <si>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</si>
  <si>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</si>
  <si>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</si>
  <si>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</si>
  <si>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</si>
  <si>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</si>
  <si>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</si>
  <si>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</si>
  <si>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</si>
  <si>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</si>
  <si>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</si>
  <si>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</si>
  <si>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</si>
  <si>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</si>
  <si>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</si>
  <si>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</si>
  <si>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</si>
  <si>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</si>
  <si>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</si>
  <si>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</si>
  <si>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</si>
  <si>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</si>
  <si>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</si>
  <si>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</si>
  <si>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</si>
  <si>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</si>
  <si>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</si>
  <si>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</si>
  <si>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</si>
  <si>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</si>
  <si>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</si>
  <si>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</si>
  <si>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</si>
  <si>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</si>
  <si>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</si>
  <si>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</si>
  <si>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</si>
  <si>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</si>
  <si>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</si>
  <si>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</si>
  <si>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</si>
  <si>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</si>
  <si>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</si>
  <si>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</si>
  <si>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</si>
  <si>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</si>
  <si>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</si>
  <si>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</si>
  <si>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</si>
  <si>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</si>
  <si>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</si>
  <si>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</si>
  <si>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</si>
  <si>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</si>
  <si>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</si>
  <si>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</si>
  <si>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</si>
  <si>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</si>
  <si>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</si>
  <si>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</si>
  <si>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</si>
  <si>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</si>
  <si>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</si>
  <si>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</si>
  <si>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</si>
  <si>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</si>
  <si>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</si>
  <si>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</si>
  <si>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</si>
  <si>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</si>
  <si>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</si>
  <si>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</si>
  <si>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</si>
  <si>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</si>
  <si>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</si>
  <si>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</si>
  <si>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</si>
  <si>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</si>
  <si>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</si>
  <si>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</si>
  <si>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</si>
  <si>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</si>
  <si>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</si>
  <si>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</si>
  <si>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</si>
  <si>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</si>
  <si>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</si>
  <si>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</si>
  <si>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</si>
  <si>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</si>
  <si>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</si>
  <si>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</si>
  <si>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</si>
  <si>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</si>
  <si>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</si>
  <si>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</si>
  <si>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</si>
  <si>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</si>
  <si>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</si>
  <si>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</si>
  <si>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</si>
  <si>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</si>
  <si>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</si>
  <si>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</si>
  <si>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</si>
  <si>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</si>
  <si>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</si>
  <si>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</si>
  <si>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</si>
  <si>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</si>
  <si>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</si>
  <si>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</si>
  <si>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</si>
  <si>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</si>
  <si>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</si>
  <si>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</si>
  <si>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</si>
  <si>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</si>
  <si>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</si>
  <si>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</si>
  <si>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</si>
  <si>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</si>
  <si>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</si>
  <si>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</si>
  <si>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</si>
  <si>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</si>
  <si>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</si>
  <si>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</si>
  <si>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</si>
  <si>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</si>
  <si>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</si>
  <si>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</si>
  <si>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</si>
  <si>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</si>
  <si>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</si>
  <si>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</si>
  <si>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</si>
  <si>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</si>
  <si>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</si>
  <si>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</si>
  <si>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</si>
  <si>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</si>
  <si>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</si>
  <si>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</si>
  <si>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</si>
  <si>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</si>
  <si>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</si>
  <si>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</si>
  <si>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</si>
  <si>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</si>
  <si>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</si>
  <si>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</si>
  <si>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</si>
  <si>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</si>
  <si>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</si>
  <si>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</si>
  <si>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</si>
  <si>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</si>
  <si>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</si>
  <si>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</si>
  <si>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</si>
  <si>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</si>
  <si>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</si>
  <si>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</si>
  <si>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</si>
  <si>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</si>
  <si>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</si>
  <si>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</si>
  <si>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</si>
  <si>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</si>
  <si>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</si>
  <si>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</si>
  <si>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</si>
  <si>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</si>
  <si>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</si>
  <si>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</si>
  <si>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</si>
  <si>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</si>
  <si>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</si>
  <si>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</si>
  <si>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</si>
  <si>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</si>
  <si>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</si>
  <si>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</si>
  <si>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</si>
  <si>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</si>
  <si>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</si>
  <si>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</si>
  <si>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</si>
  <si>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</si>
  <si>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</si>
  <si>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</si>
  <si>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</si>
  <si>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</si>
  <si>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</si>
  <si>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</si>
  <si>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</si>
  <si>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</si>
  <si>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</si>
  <si>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</si>
  <si>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</si>
  <si>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</si>
  <si>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</si>
  <si>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</si>
  <si>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</si>
  <si>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</si>
  <si>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</si>
  <si>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</si>
  <si>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</si>
  <si>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</si>
  <si>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</si>
  <si>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</si>
  <si>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</si>
  <si>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</si>
  <si>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</si>
  <si>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</si>
  <si>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</si>
  <si>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</si>
  <si>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</si>
  <si>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</si>
  <si>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</si>
  <si>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</si>
  <si>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</si>
  <si>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</si>
  <si>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</si>
  <si>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</si>
  <si>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</si>
  <si>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</si>
  <si>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</si>
  <si>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</si>
  <si>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</si>
  <si>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</si>
  <si>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</si>
  <si>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</si>
  <si>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</si>
  <si>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</si>
  <si>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</si>
  <si>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</si>
  <si>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</si>
  <si>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</si>
  <si>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</si>
  <si>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</si>
  <si>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</si>
  <si>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</si>
  <si>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</si>
  <si>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</si>
  <si>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</si>
  <si>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</si>
  <si>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</si>
  <si>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</si>
  <si>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</si>
  <si>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</si>
  <si>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</si>
  <si>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</si>
  <si>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</si>
  <si>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</si>
  <si>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</si>
  <si>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</si>
  <si>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</si>
  <si>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</si>
  <si>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</si>
  <si>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</si>
  <si>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</si>
  <si>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</si>
  <si>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</si>
  <si>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</si>
  <si>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</si>
  <si>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</si>
  <si>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</si>
  <si>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</si>
  <si>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</si>
  <si>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</si>
  <si>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</si>
  <si>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</si>
  <si>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</si>
  <si>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</si>
  <si>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</si>
  <si>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</si>
  <si>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</si>
  <si>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</si>
  <si>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</si>
  <si>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</si>
  <si>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</si>
  <si>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</si>
  <si>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</si>
  <si>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</si>
  <si>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</si>
  <si>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</si>
  <si>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</si>
  <si>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</si>
  <si>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</si>
  <si>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</si>
  <si>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</si>
  <si>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</si>
  <si>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</si>
  <si>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</si>
  <si>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</si>
  <si>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</si>
  <si>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</si>
  <si>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</si>
  <si>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</si>
  <si>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</si>
  <si>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</si>
  <si>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</si>
  <si>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</si>
  <si>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</si>
  <si>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</si>
  <si>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</si>
  <si>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</si>
  <si>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</si>
  <si>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</si>
  <si>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</si>
  <si>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</si>
  <si>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</si>
  <si>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</si>
  <si>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</si>
  <si>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</si>
  <si>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</si>
  <si>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</si>
  <si>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</si>
  <si>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</si>
  <si>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</si>
  <si>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</si>
  <si>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</si>
  <si>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</si>
  <si>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</si>
  <si>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</si>
  <si>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</si>
  <si>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</si>
  <si>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</si>
  <si>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</si>
  <si>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</si>
  <si>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</si>
  <si>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</si>
  <si>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</si>
  <si>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</si>
  <si>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</si>
  <si>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</si>
  <si>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</si>
  <si>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</si>
  <si>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</si>
  <si>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</si>
  <si>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</si>
  <si>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</si>
  <si>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</si>
  <si>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</si>
  <si>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</si>
  <si>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</si>
  <si>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</si>
  <si>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</si>
  <si>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</si>
  <si>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</si>
  <si>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</si>
  <si>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</si>
  <si>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</si>
  <si>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</si>
  <si>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</si>
  <si>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</si>
  <si>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</si>
  <si>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</si>
  <si>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</si>
  <si>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</si>
  <si>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</si>
  <si>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</si>
  <si>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</si>
  <si>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</si>
  <si>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</si>
  <si>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</si>
  <si>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</si>
  <si>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</si>
  <si>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</si>
  <si>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</si>
  <si>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</si>
  <si>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</si>
  <si>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</si>
  <si>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</si>
  <si>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</si>
  <si>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</si>
  <si>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</si>
  <si>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</si>
  <si>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</si>
  <si>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</si>
  <si>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</si>
  <si>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</si>
  <si>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</si>
  <si>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</si>
  <si>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</si>
  <si>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</si>
  <si>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</si>
  <si>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</si>
  <si>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</si>
  <si>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</si>
  <si>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</si>
  <si>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</si>
  <si>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</si>
  <si>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</si>
  <si>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</si>
  <si>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</si>
  <si>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</si>
  <si>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</si>
  <si>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</si>
  <si>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</si>
  <si>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</si>
  <si>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</si>
  <si>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</si>
  <si>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</si>
  <si>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</si>
  <si>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</si>
  <si>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</si>
  <si>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</si>
  <si>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</si>
  <si>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</si>
  <si>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</si>
  <si>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</si>
  <si>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</si>
  <si>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</si>
  <si>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</si>
  <si>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</si>
  <si>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</si>
  <si>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</si>
  <si>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</si>
  <si>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</si>
  <si>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</si>
  <si>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</si>
  <si>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</si>
  <si>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</si>
  <si>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</si>
  <si>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</si>
  <si>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</si>
  <si>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</si>
  <si>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</si>
  <si>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</si>
  <si>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</si>
  <si>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</si>
  <si>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</si>
  <si>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</si>
  <si>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</si>
  <si>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</si>
  <si>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</si>
  <si>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</si>
  <si>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</si>
  <si>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</si>
  <si>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</si>
  <si>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</si>
  <si>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</si>
  <si>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</si>
  <si>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</si>
  <si>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</si>
  <si>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</si>
  <si>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</si>
  <si>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</si>
  <si>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</si>
  <si>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</si>
  <si>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</si>
  <si>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</si>
  <si>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</si>
  <si>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</si>
  <si>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</si>
  <si>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</si>
  <si>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</si>
  <si>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</si>
  <si>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</si>
  <si>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</si>
  <si>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</si>
  <si>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</si>
  <si>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</si>
  <si>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</si>
  <si>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</si>
  <si>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</si>
  <si>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</si>
  <si>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</si>
  <si>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</si>
  <si>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</si>
  <si>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</si>
  <si>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</si>
  <si>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</si>
  <si>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</si>
  <si>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</si>
  <si>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</si>
  <si>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</si>
  <si>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</si>
  <si>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</si>
  <si>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</si>
  <si>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</si>
  <si>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</si>
  <si>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</si>
  <si>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</si>
  <si>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</si>
  <si>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</si>
  <si>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</si>
  <si>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</si>
  <si>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</si>
  <si>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</si>
  <si>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</si>
  <si>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</si>
  <si>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</si>
  <si>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</si>
  <si>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</si>
  <si>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</si>
  <si>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</si>
  <si>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</si>
  <si>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</si>
  <si>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</si>
  <si>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</si>
  <si>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</si>
  <si>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</si>
  <si>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</si>
  <si>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</si>
  <si>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</si>
  <si>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</si>
  <si>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</si>
  <si>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</si>
  <si>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</si>
  <si>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</si>
  <si>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</si>
  <si>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</si>
  <si>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</si>
  <si>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</si>
  <si>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</si>
  <si>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</si>
  <si>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</si>
  <si>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</si>
  <si>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</si>
  <si>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</si>
  <si>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</si>
  <si>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</si>
  <si>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</si>
  <si>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</si>
  <si>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</si>
  <si>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</si>
  <si>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</si>
  <si>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</si>
  <si>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</si>
  <si>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</si>
  <si>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</si>
  <si>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</si>
  <si>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</si>
  <si>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</si>
  <si>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</si>
  <si>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</si>
  <si>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</si>
  <si>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</si>
  <si>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</si>
  <si>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</si>
  <si>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</si>
  <si>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</si>
  <si>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</si>
  <si>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</si>
  <si>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</si>
  <si>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</si>
  <si>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</si>
  <si>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</si>
  <si>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</si>
  <si>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</si>
  <si>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</si>
  <si>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</si>
  <si>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</si>
  <si>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</si>
  <si>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</si>
  <si>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</si>
  <si>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</si>
  <si>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</si>
  <si>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</si>
  <si>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</si>
  <si>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</si>
  <si>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</si>
  <si>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</si>
  <si>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</si>
  <si>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</si>
  <si>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</si>
  <si>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</si>
  <si>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</si>
  <si>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</si>
  <si>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</si>
  <si>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</si>
  <si>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</si>
  <si>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</si>
  <si>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</si>
  <si>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</si>
  <si>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</si>
  <si>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</si>
  <si>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</si>
  <si>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</si>
  <si>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</si>
  <si>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</si>
  <si>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</si>
  <si>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</si>
  <si>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</si>
  <si>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</si>
  <si>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</si>
  <si>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</si>
  <si>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</si>
  <si>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</si>
  <si>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</si>
  <si>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</si>
  <si>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</si>
  <si>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</si>
  <si>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</si>
  <si>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</si>
  <si>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</si>
  <si>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</si>
  <si>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</si>
  <si>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</si>
  <si>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</si>
  <si>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</si>
  <si>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</si>
  <si>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</si>
  <si>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</si>
  <si>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</si>
  <si>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</si>
  <si>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</si>
  <si>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</si>
  <si>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</si>
  <si>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</si>
  <si>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</si>
  <si>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</si>
  <si>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</si>
  <si>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</si>
  <si>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</si>
  <si>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47-052-1700-22</t>
  </si>
  <si>
    <t>Lee</t>
  </si>
  <si>
    <t>1355 Franklin Grove Road</t>
  </si>
  <si>
    <t>Dixon, IL</t>
  </si>
  <si>
    <t>dblackburn@dps170.org</t>
  </si>
  <si>
    <t>Margo Empen</t>
  </si>
  <si>
    <t>mempen@dps170.org</t>
  </si>
  <si>
    <t>815-284-7722</t>
  </si>
  <si>
    <t>815-284-8576</t>
  </si>
  <si>
    <t>Matthew J. Schueler</t>
  </si>
  <si>
    <t>General Obligation School Bonds, Series 2014</t>
  </si>
  <si>
    <t>General Obligation School Bonds, Series 2016</t>
  </si>
  <si>
    <t>General Obligation School Bonds, Series 2017</t>
  </si>
  <si>
    <t>General Obligation School Bonds, Series 2018A</t>
  </si>
  <si>
    <t>General Obligation Refunding School Bonds, Series 2018B</t>
  </si>
  <si>
    <t>1 - One administrator filed economic statement late.</t>
  </si>
  <si>
    <t>General Obligation School Bonds, Series 2019A</t>
  </si>
  <si>
    <t>General Obligation School Bonds, Series 2019B</t>
  </si>
  <si>
    <t>x</t>
  </si>
  <si>
    <t>Lee County Special Education Assoc - Dixon and Paw Paw Schools</t>
  </si>
  <si>
    <t xml:space="preserve">1 - Whiteside Regional Vocational System - Amboy, Ashton/Franklin Center, Bureau Valley, Dixon, Eastland, Erie, Faith Christian, Forreston, Fulton/Riverbend, Milledgeville/Chadwick, Sterling Schools, Rock Falls </t>
  </si>
  <si>
    <t>Education Fund - 1999 - Other Local Revenue - Reimbursements, sale of books, and miscellaneous revenue</t>
  </si>
  <si>
    <t>Education Fund - 1690 - Other Food Revenue - Receipts from vendors</t>
  </si>
  <si>
    <t>Operations and Maintence Fund - 1999 - Other Local Revenue - Insurance reimbursements and miscellaneous revenue</t>
  </si>
  <si>
    <t>Capital Projects Fund - 1999 - Other Local Revenue - Miscellaneous revenue</t>
  </si>
  <si>
    <t>Education Fund - 4399 - Other Title I - Title I School Improvement and Accountability</t>
  </si>
  <si>
    <t>Education Fund - 2190 Other Support Services (Pupils) - Salaries assocated with part time secretaries</t>
  </si>
  <si>
    <t>IMRF Fund - 2190 Other Support Services (Pupils) - Benefits assocated with part time secretaries</t>
  </si>
  <si>
    <t>Education Fund - 4190 Other Payments to in-state govt units - Grant overpayment reimbursement</t>
  </si>
  <si>
    <t>Debt Service Fund - 5400 Debt Services - Other interets on short term debt - Agent fees and bond issuance costs</t>
  </si>
  <si>
    <t>NA</t>
  </si>
  <si>
    <t>Administration Assessment for SFY19 Medical Assistance Program</t>
  </si>
  <si>
    <r>
      <t xml:space="preserve">The accompanying Schedule of Expenditures of Federal Awards includes the federal grant activity of </t>
    </r>
    <r>
      <rPr>
        <b/>
        <sz val="9"/>
        <rFont val="Calibri"/>
        <family val="2"/>
        <scheme val="minor"/>
      </rPr>
      <t>Dixon Public School District #170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</si>
  <si>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 xml:space="preserve">Of the federal expenditures presented in the schedule, </t>
    </r>
    <r>
      <rPr>
        <b/>
        <sz val="9"/>
        <rFont val="Calibri"/>
        <family val="2"/>
        <scheme val="minor"/>
      </rPr>
      <t>Dixon School District #170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</si>
  <si>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Dixon Public School District #170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</si>
  <si>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CFDA#</t>
  </si>
  <si>
    <t>Grant Term</t>
  </si>
  <si>
    <t>Revenue (7/1/17-6/30/18)</t>
  </si>
  <si>
    <t>Obligations</t>
  </si>
  <si>
    <t>Final Status</t>
  </si>
  <si>
    <t>US Dept of Agriculture</t>
  </si>
  <si>
    <t>Pass-thru: IL State Board of Education</t>
  </si>
  <si>
    <t>Child Nutrition Cluster</t>
  </si>
  <si>
    <t>17-4220-00</t>
  </si>
  <si>
    <t>(M)</t>
  </si>
  <si>
    <t>18-4220-00</t>
  </si>
  <si>
    <t>17-4210-00</t>
  </si>
  <si>
    <t>18-4210-00</t>
  </si>
  <si>
    <t>US Dept of Education</t>
  </si>
  <si>
    <t>Title I, Part A Cluster</t>
  </si>
  <si>
    <t>84.010</t>
  </si>
  <si>
    <t>17-4300-00</t>
  </si>
  <si>
    <t>18-4300-00</t>
  </si>
  <si>
    <t>17-4932-00</t>
  </si>
  <si>
    <t>18-4932-00</t>
  </si>
  <si>
    <t>US Dept of Health and Human Services</t>
  </si>
  <si>
    <t>Pass-thru: IL Dept of Healthcare and Family Services</t>
  </si>
  <si>
    <t>Medical Assistance Program</t>
  </si>
  <si>
    <t>Medicaid Outreach</t>
  </si>
  <si>
    <t>n/a</t>
  </si>
  <si>
    <t>FY2018</t>
  </si>
  <si>
    <t>TOTALS</t>
  </si>
  <si>
    <t>Dixon School District #170</t>
  </si>
  <si>
    <t>Passed Through</t>
  </si>
  <si>
    <t>Identifying</t>
  </si>
  <si>
    <t>to Subrecipients</t>
  </si>
  <si>
    <t xml:space="preserve">Expenditures </t>
  </si>
  <si>
    <t xml:space="preserve">Revenue Account No.
</t>
  </si>
  <si>
    <t xml:space="preserve">PROGRAMS - NON LOAN PROGRAMS
</t>
  </si>
  <si>
    <t>Number</t>
  </si>
  <si>
    <t>(7/1/17-6/30/18)</t>
  </si>
  <si>
    <t>10.4210</t>
  </si>
  <si>
    <t>9/1/16-9/30/17</t>
  </si>
  <si>
    <t>9/1/17-9/30/18</t>
  </si>
  <si>
    <t>10.4220</t>
  </si>
  <si>
    <t>non cash</t>
  </si>
  <si>
    <t>Food Commodities</t>
  </si>
  <si>
    <t>47052170022A1</t>
  </si>
  <si>
    <t>Dept of Defense Fresh Fruit &amp; Vegetables</t>
  </si>
  <si>
    <t>Total US Dept of Agriculture</t>
  </si>
  <si>
    <t>10.4330</t>
  </si>
  <si>
    <t>11/4/16-6/30/17</t>
  </si>
  <si>
    <t>12/21/17-6/30/18</t>
  </si>
  <si>
    <t>Special Education (IDEA) Cluster</t>
  </si>
  <si>
    <t>Pass thru grantor:  IL State Board of Education</t>
  </si>
  <si>
    <t>10.4625</t>
  </si>
  <si>
    <t>84.027</t>
  </si>
  <si>
    <t>Sp Ed IDEA Room &amp; Board</t>
  </si>
  <si>
    <t>9/1/16-8/31/17</t>
  </si>
  <si>
    <t>18-4625-00</t>
  </si>
  <si>
    <t>9/1/17-8/31/18</t>
  </si>
  <si>
    <t>84.367A</t>
  </si>
  <si>
    <t>Title II - Improving Teacher Quality</t>
  </si>
  <si>
    <t>11/6/16-6/30/17</t>
  </si>
  <si>
    <t>Total US Dept of Education</t>
  </si>
  <si>
    <t>Total US Dept of Health and Human Services</t>
  </si>
  <si>
    <t>Revenue (7/1/18-6/30/19)</t>
  </si>
  <si>
    <t>(7/1/18-6/30/19)</t>
  </si>
  <si>
    <t>19-4210-00</t>
  </si>
  <si>
    <t>19-4220-00</t>
  </si>
  <si>
    <t>9/1/18-9/30/19</t>
  </si>
  <si>
    <t>19-4300-00</t>
  </si>
  <si>
    <t>7/1/18-8/31/19</t>
  </si>
  <si>
    <t>10.4331</t>
  </si>
  <si>
    <t>Title I - School Improvement &amp; Accountability</t>
  </si>
  <si>
    <t>19-4399-00</t>
  </si>
  <si>
    <t>11/30/18-8/31/19</t>
  </si>
  <si>
    <t>17-4625-XC</t>
  </si>
  <si>
    <t>19-4625-00</t>
  </si>
  <si>
    <t>9/1/18-8/31/19</t>
  </si>
  <si>
    <t>19-4932-00</t>
  </si>
  <si>
    <t>10.440</t>
  </si>
  <si>
    <t>84.424A</t>
  </si>
  <si>
    <t>Title IV - Student Support and Academic</t>
  </si>
  <si>
    <t>19-4400-00</t>
  </si>
  <si>
    <t>FY2019</t>
  </si>
  <si>
    <t>Unmodified</t>
  </si>
  <si>
    <t>10.553, 10.555</t>
  </si>
  <si>
    <t>Management is responsible for establishing and maintaining internal controls and for the fair presentation of the financial statements including the related disclosures, in conformity with U.S. generally accepted accounting principles (GAAP).</t>
  </si>
  <si>
    <t>The District does not have an internal control policy in place over annual financial reporting that would enable management to prepare its annual financial statements and ensure related footnote disclosures are complete and presented in accordance with GAAP.</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</si>
  <si>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</si>
  <si>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</si>
  <si>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</si>
  <si>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</si>
  <si>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</si>
  <si>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Segregation of duties</t>
  </si>
  <si>
    <t>There is inadequate control over the functions of processing and recording of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</si>
  <si>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fianncial statements.</t>
  </si>
  <si>
    <t>The District has a limited number of staff to allow for adequate segregation of duties.</t>
  </si>
  <si>
    <t xml:space="preserve">The District's management and Board of Education's close supervision and review of accounting information is the most economical and appropriate manner to help prevent and detect errors and irregularities in the District's accounting and financial reporting.  </t>
  </si>
  <si>
    <t>District is not in compliance with 105 ILCS 5 School Code.</t>
  </si>
  <si>
    <t>District had excess of expenses over budget.</t>
  </si>
  <si>
    <t>None.</t>
  </si>
  <si>
    <t>District will consider amending its budget in the future.</t>
  </si>
  <si>
    <t>The Distict overspent the District's legally adopted budget.</t>
  </si>
  <si>
    <t>The District overspent the District's legally adopted budget.</t>
  </si>
  <si>
    <t>2017-001</t>
  </si>
  <si>
    <t>2017-002</t>
  </si>
  <si>
    <t>2017-003</t>
  </si>
  <si>
    <t xml:space="preserve">Financial statements drafted by auditors. </t>
  </si>
  <si>
    <t xml:space="preserve">accounting department. </t>
  </si>
  <si>
    <t xml:space="preserve">District had excess of expenses over budget in several </t>
  </si>
  <si>
    <t>funds.</t>
  </si>
  <si>
    <t>Ongoing</t>
  </si>
  <si>
    <t>2018-001</t>
  </si>
  <si>
    <t>2018-002</t>
  </si>
  <si>
    <t>2018-003</t>
  </si>
  <si>
    <t>District lacks proper segregation of duties in the</t>
  </si>
  <si>
    <t>District had excess of expenses over budget in several funds.</t>
  </si>
  <si>
    <t>Dixon USD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</si>
</sst>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00;\-"/>
    <numFmt numFmtId="183" formatCode="0_);\(0\)"/>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0"/>
      <color indexed="8"/>
      <name val="Arial"/>
      <family val="2"/>
    </font>
    <font>
      <sz val="11"/>
      <color indexed="8"/>
      <name val="Calibri"/>
      <family val="2"/>
    </font>
    <font>
      <sz val="12"/>
      <name val="Times New Roman"/>
      <family val="1"/>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2"/>
      <name val="MartinGotURWTLig"/>
    </font>
    <font>
      <sz val="10"/>
      <name val="MS Sans Serif"/>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indexed="62"/>
      <name val="Cambria"/>
      <family val="2"/>
      <scheme val="major"/>
    </font>
    <font>
      <b/>
      <sz val="18"/>
      <color theme="3"/>
      <name val="Cambria"/>
      <family val="2"/>
      <scheme val="major"/>
    </font>
    <font>
      <sz val="10"/>
      <color rgb="FFFF0000"/>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
      <b/>
      <sz val="8"/>
      <color theme="1"/>
      <name val="Arial"/>
      <family val="2"/>
    </font>
    <font>
      <sz val="8"/>
      <color theme="1"/>
      <name val="Arial"/>
      <family val="2"/>
    </font>
    <font>
      <b/>
      <sz val="8"/>
      <color rgb="FFFF0000"/>
      <name val="Arial"/>
      <family val="2"/>
    </font>
    <font>
      <b/>
      <sz val="8"/>
      <color rgb="FF0000FF"/>
      <name val="Arial"/>
      <family val="2"/>
    </font>
    <font>
      <sz val="10"/>
      <color indexed="8"/>
      <name val="Arial"/>
    </font>
    <font>
      <sz val="12"/>
      <name val="Arial"/>
    </font>
    <font>
      <sz val="12"/>
      <name val="Times New Roman"/>
    </font>
    <font>
      <sz val="10"/>
      <color indexed="8"/>
      <name val="ARIAL"/>
      <charset val="1"/>
    </font>
  </fonts>
  <fills count="7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8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36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0" fillId="57" borderId="0" applyNumberFormat="0" applyBorder="0" applyAlignment="0" applyProtection="0"/>
    <xf numFmtId="0" fontId="150" fillId="34" borderId="0" applyNumberFormat="0" applyBorder="0" applyAlignment="0" applyProtection="0"/>
    <xf numFmtId="0" fontId="1" fillId="34" borderId="0" applyNumberFormat="0" applyBorder="0" applyAlignment="0" applyProtection="0"/>
    <xf numFmtId="0" fontId="150" fillId="34" borderId="0" applyNumberFormat="0" applyBorder="0" applyAlignment="0" applyProtection="0"/>
    <xf numFmtId="0" fontId="150" fillId="57"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58" borderId="0" applyNumberFormat="0" applyBorder="0" applyAlignment="0" applyProtection="0"/>
    <xf numFmtId="0" fontId="150" fillId="38" borderId="0" applyNumberFormat="0" applyBorder="0" applyAlignment="0" applyProtection="0"/>
    <xf numFmtId="0" fontId="1" fillId="38" borderId="0" applyNumberFormat="0" applyBorder="0" applyAlignment="0" applyProtection="0"/>
    <xf numFmtId="0" fontId="150" fillId="38" borderId="0" applyNumberFormat="0" applyBorder="0" applyAlignment="0" applyProtection="0"/>
    <xf numFmtId="0" fontId="150" fillId="5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59" borderId="0" applyNumberFormat="0" applyBorder="0" applyAlignment="0" applyProtection="0"/>
    <xf numFmtId="0" fontId="150" fillId="42" borderId="0" applyNumberFormat="0" applyBorder="0" applyAlignment="0" applyProtection="0"/>
    <xf numFmtId="0" fontId="1" fillId="42" borderId="0" applyNumberFormat="0" applyBorder="0" applyAlignment="0" applyProtection="0"/>
    <xf numFmtId="0" fontId="150" fillId="42" borderId="0" applyNumberFormat="0" applyBorder="0" applyAlignment="0" applyProtection="0"/>
    <xf numFmtId="0" fontId="150" fillId="59"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60" borderId="0" applyNumberFormat="0" applyBorder="0" applyAlignment="0" applyProtection="0"/>
    <xf numFmtId="0" fontId="150" fillId="46" borderId="0" applyNumberFormat="0" applyBorder="0" applyAlignment="0" applyProtection="0"/>
    <xf numFmtId="0" fontId="1" fillId="46" borderId="0" applyNumberFormat="0" applyBorder="0" applyAlignment="0" applyProtection="0"/>
    <xf numFmtId="0" fontId="150" fillId="46" borderId="0" applyNumberFormat="0" applyBorder="0" applyAlignment="0" applyProtection="0"/>
    <xf numFmtId="0" fontId="150" fillId="60"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9" borderId="0" applyNumberFormat="0" applyBorder="0" applyAlignment="0" applyProtection="0"/>
    <xf numFmtId="0" fontId="150" fillId="54" borderId="0" applyNumberFormat="0" applyBorder="0" applyAlignment="0" applyProtection="0"/>
    <xf numFmtId="0" fontId="1" fillId="54" borderId="0" applyNumberFormat="0" applyBorder="0" applyAlignment="0" applyProtection="0"/>
    <xf numFmtId="0" fontId="150" fillId="54" borderId="0" applyNumberFormat="0" applyBorder="0" applyAlignment="0" applyProtection="0"/>
    <xf numFmtId="0" fontId="150" fillId="59"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61" borderId="0" applyNumberFormat="0" applyBorder="0" applyAlignment="0" applyProtection="0"/>
    <xf numFmtId="0" fontId="150" fillId="35" borderId="0" applyNumberFormat="0" applyBorder="0" applyAlignment="0" applyProtection="0"/>
    <xf numFmtId="0" fontId="1" fillId="35" borderId="0" applyNumberFormat="0" applyBorder="0" applyAlignment="0" applyProtection="0"/>
    <xf numFmtId="0" fontId="150" fillId="35" borderId="0" applyNumberFormat="0" applyBorder="0" applyAlignment="0" applyProtection="0"/>
    <xf numFmtId="0" fontId="150" fillId="61"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62" borderId="0" applyNumberFormat="0" applyBorder="0" applyAlignment="0" applyProtection="0"/>
    <xf numFmtId="0" fontId="150" fillId="43" borderId="0" applyNumberFormat="0" applyBorder="0" applyAlignment="0" applyProtection="0"/>
    <xf numFmtId="0" fontId="1" fillId="43" borderId="0" applyNumberFormat="0" applyBorder="0" applyAlignment="0" applyProtection="0"/>
    <xf numFmtId="0" fontId="150" fillId="43" borderId="0" applyNumberFormat="0" applyBorder="0" applyAlignment="0" applyProtection="0"/>
    <xf numFmtId="0" fontId="150" fillId="62"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63" borderId="0" applyNumberFormat="0" applyBorder="0" applyAlignment="0" applyProtection="0"/>
    <xf numFmtId="0" fontId="150" fillId="47" borderId="0" applyNumberFormat="0" applyBorder="0" applyAlignment="0" applyProtection="0"/>
    <xf numFmtId="0" fontId="1" fillId="47" borderId="0" applyNumberFormat="0" applyBorder="0" applyAlignment="0" applyProtection="0"/>
    <xf numFmtId="0" fontId="150" fillId="47" borderId="0" applyNumberFormat="0" applyBorder="0" applyAlignment="0" applyProtection="0"/>
    <xf numFmtId="0" fontId="150" fillId="63"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61" borderId="0" applyNumberFormat="0" applyBorder="0" applyAlignment="0" applyProtection="0"/>
    <xf numFmtId="0" fontId="150" fillId="51" borderId="0" applyNumberFormat="0" applyBorder="0" applyAlignment="0" applyProtection="0"/>
    <xf numFmtId="0" fontId="1" fillId="51" borderId="0" applyNumberFormat="0" applyBorder="0" applyAlignment="0" applyProtection="0"/>
    <xf numFmtId="0" fontId="150" fillId="51" borderId="0" applyNumberFormat="0" applyBorder="0" applyAlignment="0" applyProtection="0"/>
    <xf numFmtId="0" fontId="150" fillId="6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9" borderId="0" applyNumberFormat="0" applyBorder="0" applyAlignment="0" applyProtection="0"/>
    <xf numFmtId="0" fontId="150" fillId="55" borderId="0" applyNumberFormat="0" applyBorder="0" applyAlignment="0" applyProtection="0"/>
    <xf numFmtId="0" fontId="1" fillId="55" borderId="0" applyNumberFormat="0" applyBorder="0" applyAlignment="0" applyProtection="0"/>
    <xf numFmtId="0" fontId="150" fillId="55" borderId="0" applyNumberFormat="0" applyBorder="0" applyAlignment="0" applyProtection="0"/>
    <xf numFmtId="0" fontId="150" fillId="59"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54" fillId="61" borderId="0" applyNumberFormat="0" applyBorder="0" applyAlignment="0" applyProtection="0"/>
    <xf numFmtId="0" fontId="154" fillId="36" borderId="0" applyNumberFormat="0" applyBorder="0" applyAlignment="0" applyProtection="0"/>
    <xf numFmtId="0" fontId="133" fillId="36" borderId="0" applyNumberFormat="0" applyBorder="0" applyAlignment="0" applyProtection="0"/>
    <xf numFmtId="0" fontId="154" fillId="36" borderId="0" applyNumberFormat="0" applyBorder="0" applyAlignment="0" applyProtection="0"/>
    <xf numFmtId="0" fontId="154" fillId="61"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64" borderId="0" applyNumberFormat="0" applyBorder="0" applyAlignment="0" applyProtection="0"/>
    <xf numFmtId="0" fontId="154" fillId="40" borderId="0" applyNumberFormat="0" applyBorder="0" applyAlignment="0" applyProtection="0"/>
    <xf numFmtId="0" fontId="133" fillId="40" borderId="0" applyNumberFormat="0" applyBorder="0" applyAlignment="0" applyProtection="0"/>
    <xf numFmtId="0" fontId="154" fillId="40" borderId="0" applyNumberFormat="0" applyBorder="0" applyAlignment="0" applyProtection="0"/>
    <xf numFmtId="0" fontId="154" fillId="64"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65" borderId="0" applyNumberFormat="0" applyBorder="0" applyAlignment="0" applyProtection="0"/>
    <xf numFmtId="0" fontId="154" fillId="44" borderId="0" applyNumberFormat="0" applyBorder="0" applyAlignment="0" applyProtection="0"/>
    <xf numFmtId="0" fontId="133" fillId="44" borderId="0" applyNumberFormat="0" applyBorder="0" applyAlignment="0" applyProtection="0"/>
    <xf numFmtId="0" fontId="154" fillId="44" borderId="0" applyNumberFormat="0" applyBorder="0" applyAlignment="0" applyProtection="0"/>
    <xf numFmtId="0" fontId="154" fillId="65"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63" borderId="0" applyNumberFormat="0" applyBorder="0" applyAlignment="0" applyProtection="0"/>
    <xf numFmtId="0" fontId="154" fillId="48" borderId="0" applyNumberFormat="0" applyBorder="0" applyAlignment="0" applyProtection="0"/>
    <xf numFmtId="0" fontId="133" fillId="48" borderId="0" applyNumberFormat="0" applyBorder="0" applyAlignment="0" applyProtection="0"/>
    <xf numFmtId="0" fontId="154" fillId="48" borderId="0" applyNumberFormat="0" applyBorder="0" applyAlignment="0" applyProtection="0"/>
    <xf numFmtId="0" fontId="154" fillId="63" borderId="0" applyNumberFormat="0" applyBorder="0" applyAlignment="0" applyProtection="0"/>
    <xf numFmtId="0" fontId="154" fillId="48" borderId="0" applyNumberFormat="0" applyBorder="0" applyAlignment="0" applyProtection="0"/>
    <xf numFmtId="0" fontId="154" fillId="48" borderId="0" applyNumberFormat="0" applyBorder="0" applyAlignment="0" applyProtection="0"/>
    <xf numFmtId="0" fontId="154" fillId="61" borderId="0" applyNumberFormat="0" applyBorder="0" applyAlignment="0" applyProtection="0"/>
    <xf numFmtId="0" fontId="154" fillId="52" borderId="0" applyNumberFormat="0" applyBorder="0" applyAlignment="0" applyProtection="0"/>
    <xf numFmtId="0" fontId="133" fillId="52" borderId="0" applyNumberFormat="0" applyBorder="0" applyAlignment="0" applyProtection="0"/>
    <xf numFmtId="0" fontId="154" fillId="52" borderId="0" applyNumberFormat="0" applyBorder="0" applyAlignment="0" applyProtection="0"/>
    <xf numFmtId="0" fontId="154" fillId="61"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33" fillId="56" borderId="0" applyNumberFormat="0" applyBorder="0" applyAlignment="0" applyProtection="0"/>
    <xf numFmtId="0" fontId="154" fillId="56"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66" borderId="0" applyNumberFormat="0" applyBorder="0" applyAlignment="0" applyProtection="0"/>
    <xf numFmtId="0" fontId="154" fillId="33" borderId="0" applyNumberFormat="0" applyBorder="0" applyAlignment="0" applyProtection="0"/>
    <xf numFmtId="0" fontId="133" fillId="33" borderId="0" applyNumberFormat="0" applyBorder="0" applyAlignment="0" applyProtection="0"/>
    <xf numFmtId="0" fontId="154" fillId="33" borderId="0" applyNumberFormat="0" applyBorder="0" applyAlignment="0" applyProtection="0"/>
    <xf numFmtId="0" fontId="154" fillId="66"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64" borderId="0" applyNumberFormat="0" applyBorder="0" applyAlignment="0" applyProtection="0"/>
    <xf numFmtId="0" fontId="154" fillId="37" borderId="0" applyNumberFormat="0" applyBorder="0" applyAlignment="0" applyProtection="0"/>
    <xf numFmtId="0" fontId="133" fillId="37" borderId="0" applyNumberFormat="0" applyBorder="0" applyAlignment="0" applyProtection="0"/>
    <xf numFmtId="0" fontId="154" fillId="37" borderId="0" applyNumberFormat="0" applyBorder="0" applyAlignment="0" applyProtection="0"/>
    <xf numFmtId="0" fontId="154" fillId="64"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65" borderId="0" applyNumberFormat="0" applyBorder="0" applyAlignment="0" applyProtection="0"/>
    <xf numFmtId="0" fontId="154" fillId="41" borderId="0" applyNumberFormat="0" applyBorder="0" applyAlignment="0" applyProtection="0"/>
    <xf numFmtId="0" fontId="133" fillId="41" borderId="0" applyNumberFormat="0" applyBorder="0" applyAlignment="0" applyProtection="0"/>
    <xf numFmtId="0" fontId="154" fillId="41" borderId="0" applyNumberFormat="0" applyBorder="0" applyAlignment="0" applyProtection="0"/>
    <xf numFmtId="0" fontId="154" fillId="65"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67" borderId="0" applyNumberFormat="0" applyBorder="0" applyAlignment="0" applyProtection="0"/>
    <xf numFmtId="0" fontId="154" fillId="45" borderId="0" applyNumberFormat="0" applyBorder="0" applyAlignment="0" applyProtection="0"/>
    <xf numFmtId="0" fontId="133" fillId="45" borderId="0" applyNumberFormat="0" applyBorder="0" applyAlignment="0" applyProtection="0"/>
    <xf numFmtId="0" fontId="154" fillId="45" borderId="0" applyNumberFormat="0" applyBorder="0" applyAlignment="0" applyProtection="0"/>
    <xf numFmtId="0" fontId="154" fillId="67"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33"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68" borderId="0" applyNumberFormat="0" applyBorder="0" applyAlignment="0" applyProtection="0"/>
    <xf numFmtId="0" fontId="154" fillId="53" borderId="0" applyNumberFormat="0" applyBorder="0" applyAlignment="0" applyProtection="0"/>
    <xf numFmtId="0" fontId="133" fillId="53" borderId="0" applyNumberFormat="0" applyBorder="0" applyAlignment="0" applyProtection="0"/>
    <xf numFmtId="0" fontId="154" fillId="53" borderId="0" applyNumberFormat="0" applyBorder="0" applyAlignment="0" applyProtection="0"/>
    <xf numFmtId="0" fontId="154" fillId="68"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67" fillId="69" borderId="0" applyNumberFormat="0" applyBorder="0" applyAlignment="0" applyProtection="0"/>
    <xf numFmtId="0" fontId="167" fillId="27" borderId="0" applyNumberFormat="0" applyBorder="0" applyAlignment="0" applyProtection="0"/>
    <xf numFmtId="0" fontId="142" fillId="27" borderId="0" applyNumberFormat="0" applyBorder="0" applyAlignment="0" applyProtection="0"/>
    <xf numFmtId="0" fontId="167" fillId="27" borderId="0" applyNumberFormat="0" applyBorder="0" applyAlignment="0" applyProtection="0"/>
    <xf numFmtId="0" fontId="167" fillId="69"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59" fillId="70" borderId="164" applyNumberFormat="0" applyAlignment="0" applyProtection="0"/>
    <xf numFmtId="0" fontId="168" fillId="30" borderId="164" applyNumberFormat="0" applyAlignment="0" applyProtection="0"/>
    <xf numFmtId="0" fontId="145" fillId="30" borderId="164" applyNumberFormat="0" applyAlignment="0" applyProtection="0"/>
    <xf numFmtId="0" fontId="168" fillId="30" borderId="164" applyNumberFormat="0" applyAlignment="0" applyProtection="0"/>
    <xf numFmtId="0" fontId="159" fillId="70" borderId="164" applyNumberFormat="0" applyAlignment="0" applyProtection="0"/>
    <xf numFmtId="0" fontId="168" fillId="30" borderId="164" applyNumberFormat="0" applyAlignment="0" applyProtection="0"/>
    <xf numFmtId="0" fontId="168" fillId="30" borderId="164" applyNumberFormat="0" applyAlignment="0" applyProtection="0"/>
    <xf numFmtId="0" fontId="169" fillId="31" borderId="167" applyNumberFormat="0" applyAlignment="0" applyProtection="0"/>
    <xf numFmtId="0" fontId="169" fillId="31" borderId="167" applyNumberFormat="0" applyAlignment="0" applyProtection="0"/>
    <xf numFmtId="0" fontId="147" fillId="31" borderId="167" applyNumberFormat="0" applyAlignment="0" applyProtection="0"/>
    <xf numFmtId="0" fontId="169" fillId="31" borderId="167" applyNumberFormat="0" applyAlignment="0" applyProtection="0"/>
    <xf numFmtId="0" fontId="169" fillId="31" borderId="167" applyNumberFormat="0" applyAlignment="0" applyProtection="0"/>
    <xf numFmtId="43" fontId="156" fillId="0" borderId="0" applyFont="0" applyFill="0" applyBorder="0" applyAlignment="0" applyProtection="0"/>
    <xf numFmtId="43" fontId="44" fillId="0" borderId="0" applyFont="0" applyFill="0" applyBorder="0" applyAlignment="0" applyProtection="0"/>
    <xf numFmtId="43" fontId="156"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6" fillId="0" borderId="0" applyFont="0" applyFill="0" applyBorder="0" applyAlignment="0" applyProtection="0"/>
    <xf numFmtId="43" fontId="158"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66"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66"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49"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61" borderId="0" applyNumberFormat="0" applyBorder="0" applyAlignment="0" applyProtection="0"/>
    <xf numFmtId="0" fontId="172" fillId="26" borderId="0" applyNumberFormat="0" applyBorder="0" applyAlignment="0" applyProtection="0"/>
    <xf numFmtId="0" fontId="141" fillId="26" borderId="0" applyNumberFormat="0" applyBorder="0" applyAlignment="0" applyProtection="0"/>
    <xf numFmtId="0" fontId="172" fillId="26" borderId="0" applyNumberFormat="0" applyBorder="0" applyAlignment="0" applyProtection="0"/>
    <xf numFmtId="0" fontId="172" fillId="61"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60" fillId="0" borderId="170" applyNumberFormat="0" applyFill="0" applyAlignment="0" applyProtection="0"/>
    <xf numFmtId="0" fontId="173" fillId="0" borderId="161" applyNumberFormat="0" applyFill="0" applyAlignment="0" applyProtection="0"/>
    <xf numFmtId="0" fontId="138" fillId="0" borderId="161" applyNumberFormat="0" applyFill="0" applyAlignment="0" applyProtection="0"/>
    <xf numFmtId="0" fontId="173" fillId="0" borderId="161" applyNumberFormat="0" applyFill="0" applyAlignment="0" applyProtection="0"/>
    <xf numFmtId="0" fontId="160" fillId="0" borderId="170" applyNumberFormat="0" applyFill="0" applyAlignment="0" applyProtection="0"/>
    <xf numFmtId="0" fontId="173" fillId="0" borderId="161" applyNumberFormat="0" applyFill="0" applyAlignment="0" applyProtection="0"/>
    <xf numFmtId="0" fontId="173" fillId="0" borderId="161" applyNumberFormat="0" applyFill="0" applyAlignment="0" applyProtection="0"/>
    <xf numFmtId="0" fontId="161" fillId="0" borderId="171" applyNumberFormat="0" applyFill="0" applyAlignment="0" applyProtection="0"/>
    <xf numFmtId="0" fontId="174" fillId="0" borderId="162" applyNumberFormat="0" applyFill="0" applyAlignment="0" applyProtection="0"/>
    <xf numFmtId="0" fontId="139" fillId="0" borderId="162" applyNumberFormat="0" applyFill="0" applyAlignment="0" applyProtection="0"/>
    <xf numFmtId="0" fontId="174" fillId="0" borderId="162" applyNumberFormat="0" applyFill="0" applyAlignment="0" applyProtection="0"/>
    <xf numFmtId="0" fontId="161" fillId="0" borderId="171" applyNumberFormat="0" applyFill="0" applyAlignment="0" applyProtection="0"/>
    <xf numFmtId="0" fontId="174" fillId="0" borderId="162" applyNumberFormat="0" applyFill="0" applyAlignment="0" applyProtection="0"/>
    <xf numFmtId="0" fontId="174" fillId="0" borderId="162" applyNumberFormat="0" applyFill="0" applyAlignment="0" applyProtection="0"/>
    <xf numFmtId="0" fontId="162" fillId="0" borderId="172" applyNumberFormat="0" applyFill="0" applyAlignment="0" applyProtection="0"/>
    <xf numFmtId="0" fontId="175" fillId="0" borderId="163" applyNumberFormat="0" applyFill="0" applyAlignment="0" applyProtection="0"/>
    <xf numFmtId="0" fontId="140" fillId="0" borderId="163" applyNumberFormat="0" applyFill="0" applyAlignment="0" applyProtection="0"/>
    <xf numFmtId="0" fontId="175" fillId="0" borderId="163" applyNumberFormat="0" applyFill="0" applyAlignment="0" applyProtection="0"/>
    <xf numFmtId="0" fontId="162" fillId="0" borderId="172" applyNumberFormat="0" applyFill="0" applyAlignment="0" applyProtection="0"/>
    <xf numFmtId="0" fontId="175" fillId="0" borderId="163" applyNumberFormat="0" applyFill="0" applyAlignment="0" applyProtection="0"/>
    <xf numFmtId="0" fontId="175" fillId="0" borderId="163" applyNumberFormat="0" applyFill="0" applyAlignment="0" applyProtection="0"/>
    <xf numFmtId="0" fontId="162" fillId="0" borderId="0" applyNumberFormat="0" applyFill="0" applyBorder="0" applyAlignment="0" applyProtection="0"/>
    <xf numFmtId="0" fontId="175" fillId="0" borderId="0" applyNumberFormat="0" applyFill="0" applyBorder="0" applyAlignment="0" applyProtection="0"/>
    <xf numFmtId="0" fontId="140" fillId="0" borderId="0" applyNumberFormat="0" applyFill="0" applyBorder="0" applyAlignment="0" applyProtection="0"/>
    <xf numFmtId="0" fontId="175" fillId="0" borderId="0" applyNumberFormat="0" applyFill="0" applyBorder="0" applyAlignment="0" applyProtection="0"/>
    <xf numFmtId="0" fontId="16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2" fillId="0" borderId="0" applyNumberFormat="0" applyFill="0" applyBorder="0" applyAlignment="0" applyProtection="0">
      <alignment vertical="top"/>
      <protection locked="0"/>
    </xf>
    <xf numFmtId="0" fontId="176" fillId="62" borderId="164" applyNumberFormat="0" applyAlignment="0" applyProtection="0"/>
    <xf numFmtId="0" fontId="176" fillId="29" borderId="164" applyNumberFormat="0" applyAlignment="0" applyProtection="0"/>
    <xf numFmtId="0" fontId="143" fillId="29" borderId="164" applyNumberFormat="0" applyAlignment="0" applyProtection="0"/>
    <xf numFmtId="0" fontId="176" fillId="29" borderId="164" applyNumberFormat="0" applyAlignment="0" applyProtection="0"/>
    <xf numFmtId="0" fontId="176" fillId="62" borderId="164" applyNumberFormat="0" applyAlignment="0" applyProtection="0"/>
    <xf numFmtId="0" fontId="176" fillId="29" borderId="164" applyNumberFormat="0" applyAlignment="0" applyProtection="0"/>
    <xf numFmtId="0" fontId="176" fillId="29" borderId="164" applyNumberFormat="0" applyAlignment="0" applyProtection="0"/>
    <xf numFmtId="0" fontId="163" fillId="0" borderId="173" applyNumberFormat="0" applyFill="0" applyAlignment="0" applyProtection="0"/>
    <xf numFmtId="0" fontId="177" fillId="0" borderId="166" applyNumberFormat="0" applyFill="0" applyAlignment="0" applyProtection="0"/>
    <xf numFmtId="0" fontId="146" fillId="0" borderId="166" applyNumberFormat="0" applyFill="0" applyAlignment="0" applyProtection="0"/>
    <xf numFmtId="0" fontId="177" fillId="0" borderId="166" applyNumberFormat="0" applyFill="0" applyAlignment="0" applyProtection="0"/>
    <xf numFmtId="0" fontId="163" fillId="0" borderId="173" applyNumberFormat="0" applyFill="0" applyAlignment="0" applyProtection="0"/>
    <xf numFmtId="0" fontId="177" fillId="0" borderId="166" applyNumberFormat="0" applyFill="0" applyAlignment="0" applyProtection="0"/>
    <xf numFmtId="0" fontId="177" fillId="0" borderId="166" applyNumberFormat="0" applyFill="0" applyAlignment="0" applyProtection="0"/>
    <xf numFmtId="0" fontId="164" fillId="28" borderId="0" applyNumberFormat="0" applyBorder="0" applyAlignment="0" applyProtection="0"/>
    <xf numFmtId="0" fontId="178" fillId="28" borderId="0" applyNumberFormat="0" applyBorder="0" applyAlignment="0" applyProtection="0"/>
    <xf numFmtId="0" fontId="155" fillId="28" borderId="0" applyNumberFormat="0" applyBorder="0" applyAlignment="0" applyProtection="0"/>
    <xf numFmtId="0" fontId="178" fillId="28" borderId="0" applyNumberFormat="0" applyBorder="0" applyAlignment="0" applyProtection="0"/>
    <xf numFmtId="0" fontId="164" fillId="28" borderId="0" applyNumberFormat="0" applyBorder="0" applyAlignment="0" applyProtection="0"/>
    <xf numFmtId="0" fontId="178" fillId="28" borderId="0" applyNumberFormat="0" applyBorder="0" applyAlignment="0" applyProtection="0"/>
    <xf numFmtId="0" fontId="178" fillId="28" borderId="0" applyNumberFormat="0" applyBorder="0" applyAlignment="0" applyProtection="0"/>
    <xf numFmtId="0" fontId="158" fillId="0" borderId="0"/>
    <xf numFmtId="0" fontId="158" fillId="0" borderId="0"/>
    <xf numFmtId="0" fontId="158" fillId="0" borderId="0"/>
    <xf numFmtId="0" fontId="9" fillId="0" borderId="0"/>
    <xf numFmtId="0" fontId="1" fillId="0" borderId="0"/>
    <xf numFmtId="0" fontId="158" fillId="0" borderId="0"/>
    <xf numFmtId="0" fontId="158" fillId="0" borderId="0"/>
    <xf numFmtId="0" fontId="158"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9" fillId="0" borderId="0"/>
    <xf numFmtId="0" fontId="9" fillId="0" borderId="0"/>
    <xf numFmtId="0" fontId="1" fillId="0" borderId="0"/>
    <xf numFmtId="0" fontId="1" fillId="0" borderId="0"/>
    <xf numFmtId="0" fontId="44" fillId="0" borderId="0"/>
    <xf numFmtId="0" fontId="9" fillId="0" borderId="0"/>
    <xf numFmtId="0" fontId="9" fillId="0" borderId="0"/>
    <xf numFmtId="0" fontId="9" fillId="0" borderId="0"/>
    <xf numFmtId="0" fontId="150"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9" fillId="0" borderId="0"/>
    <xf numFmtId="0" fontId="9" fillId="0" borderId="0"/>
    <xf numFmtId="0" fontId="151" fillId="0" borderId="0"/>
    <xf numFmtId="0" fontId="9" fillId="0" borderId="0"/>
    <xf numFmtId="0" fontId="9" fillId="0" borderId="0"/>
    <xf numFmtId="0" fontId="9" fillId="0" borderId="0"/>
    <xf numFmtId="0" fontId="9" fillId="0" borderId="0"/>
    <xf numFmtId="0" fontId="151" fillId="0" borderId="0"/>
    <xf numFmtId="0" fontId="151" fillId="0" borderId="0"/>
    <xf numFmtId="0" fontId="9" fillId="0" borderId="0"/>
    <xf numFmtId="0" fontId="151" fillId="0" borderId="0"/>
    <xf numFmtId="0" fontId="9" fillId="0" borderId="0"/>
    <xf numFmtId="0" fontId="9" fillId="0" borderId="0"/>
    <xf numFmtId="0" fontId="9" fillId="0" borderId="0"/>
    <xf numFmtId="0" fontId="9"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151" fillId="0" borderId="0"/>
    <xf numFmtId="0" fontId="151" fillId="0" borderId="0"/>
    <xf numFmtId="0" fontId="9" fillId="0" borderId="0"/>
    <xf numFmtId="0" fontId="9" fillId="0" borderId="0"/>
    <xf numFmtId="0" fontId="9" fillId="0" borderId="0"/>
    <xf numFmtId="0" fontId="9" fillId="0" borderId="0"/>
    <xf numFmtId="0" fontId="151" fillId="0" borderId="0"/>
    <xf numFmtId="0" fontId="9"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158" fillId="0" borderId="0"/>
    <xf numFmtId="0" fontId="151" fillId="0" borderId="0"/>
    <xf numFmtId="0" fontId="151" fillId="0" borderId="0"/>
    <xf numFmtId="0" fontId="9" fillId="0" borderId="0"/>
    <xf numFmtId="0" fontId="151" fillId="0" borderId="0"/>
    <xf numFmtId="0" fontId="9" fillId="0" borderId="0"/>
    <xf numFmtId="0" fontId="9" fillId="0" borderId="0"/>
    <xf numFmtId="0" fontId="9" fillId="0" borderId="0"/>
    <xf numFmtId="0" fontId="9" fillId="0" borderId="0"/>
    <xf numFmtId="0" fontId="17" fillId="0" borderId="0"/>
    <xf numFmtId="0" fontId="44"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9" fillId="0" borderId="0"/>
    <xf numFmtId="0" fontId="9" fillId="0" borderId="0"/>
    <xf numFmtId="0" fontId="44" fillId="0" borderId="0"/>
    <xf numFmtId="0" fontId="151" fillId="0" borderId="0"/>
    <xf numFmtId="0" fontId="151" fillId="0" borderId="0"/>
    <xf numFmtId="0" fontId="44" fillId="0" borderId="0"/>
    <xf numFmtId="0" fontId="151" fillId="0" borderId="0"/>
    <xf numFmtId="0" fontId="9" fillId="0" borderId="0"/>
    <xf numFmtId="0" fontId="158" fillId="0" borderId="0"/>
    <xf numFmtId="0" fontId="158" fillId="0" borderId="0"/>
    <xf numFmtId="0" fontId="44" fillId="0" borderId="0"/>
    <xf numFmtId="0" fontId="151"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1" fillId="0" borderId="0"/>
    <xf numFmtId="0" fontId="1"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158" fillId="0" borderId="0"/>
    <xf numFmtId="0" fontId="9" fillId="0" borderId="0"/>
    <xf numFmtId="0" fontId="9" fillId="0" borderId="0"/>
    <xf numFmtId="0" fontId="9" fillId="0" borderId="0"/>
    <xf numFmtId="0" fontId="158" fillId="0" borderId="0"/>
    <xf numFmtId="0" fontId="158"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151" fillId="0" borderId="0"/>
    <xf numFmtId="0" fontId="151"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51" fillId="0" borderId="0"/>
    <xf numFmtId="0" fontId="151" fillId="0" borderId="0"/>
    <xf numFmtId="0" fontId="156" fillId="0" borderId="0"/>
    <xf numFmtId="0" fontId="156" fillId="0" borderId="0"/>
    <xf numFmtId="0" fontId="156" fillId="0" borderId="0"/>
    <xf numFmtId="0" fontId="156" fillId="0" borderId="0"/>
    <xf numFmtId="0" fontId="1" fillId="0" borderId="0"/>
    <xf numFmtId="0" fontId="156" fillId="0" borderId="0"/>
    <xf numFmtId="0" fontId="156" fillId="0" borderId="0"/>
    <xf numFmtId="0" fontId="156" fillId="0" borderId="0"/>
    <xf numFmtId="0" fontId="156" fillId="0" borderId="0"/>
    <xf numFmtId="0" fontId="165"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151" fillId="0" borderId="0"/>
    <xf numFmtId="0" fontId="1" fillId="0" borderId="0"/>
    <xf numFmtId="0" fontId="9" fillId="0" borderId="0"/>
    <xf numFmtId="0" fontId="1" fillId="0" borderId="0"/>
    <xf numFmtId="0" fontId="9" fillId="0" borderId="0"/>
    <xf numFmtId="0" fontId="44" fillId="0" borderId="0"/>
    <xf numFmtId="0" fontId="44" fillId="0" borderId="0"/>
    <xf numFmtId="0" fontId="156" fillId="0" borderId="0"/>
    <xf numFmtId="0" fontId="156" fillId="0" borderId="0">
      <alignment vertical="top"/>
    </xf>
    <xf numFmtId="0" fontId="17" fillId="0" borderId="0"/>
    <xf numFmtId="0" fontId="166" fillId="0" borderId="0"/>
    <xf numFmtId="0" fontId="17" fillId="0" borderId="0"/>
    <xf numFmtId="0" fontId="17" fillId="0" borderId="0"/>
    <xf numFmtId="0" fontId="17" fillId="0" borderId="0"/>
    <xf numFmtId="0" fontId="1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6" fillId="0" borderId="0"/>
    <xf numFmtId="0" fontId="158" fillId="0" borderId="0"/>
    <xf numFmtId="0" fontId="151" fillId="0" borderId="0"/>
    <xf numFmtId="0" fontId="17" fillId="0" borderId="0"/>
    <xf numFmtId="0" fontId="9" fillId="0" borderId="0"/>
    <xf numFmtId="0" fontId="166" fillId="0" borderId="0"/>
    <xf numFmtId="0" fontId="158" fillId="0" borderId="0"/>
    <xf numFmtId="0" fontId="151" fillId="0" borderId="0"/>
    <xf numFmtId="0" fontId="158" fillId="0" borderId="0"/>
    <xf numFmtId="0" fontId="9" fillId="0" borderId="0"/>
    <xf numFmtId="0" fontId="158" fillId="0" borderId="0"/>
    <xf numFmtId="0" fontId="158" fillId="0" borderId="0"/>
    <xf numFmtId="0" fontId="9" fillId="0" borderId="0"/>
    <xf numFmtId="0" fontId="179" fillId="0" borderId="0"/>
    <xf numFmtId="0" fontId="179" fillId="0" borderId="0"/>
    <xf numFmtId="0" fontId="9" fillId="0" borderId="0"/>
    <xf numFmtId="0" fontId="151" fillId="0" borderId="0"/>
    <xf numFmtId="0" fontId="44" fillId="0" borderId="0"/>
    <xf numFmtId="0" fontId="151" fillId="0" borderId="0"/>
    <xf numFmtId="0" fontId="151" fillId="0" borderId="0"/>
    <xf numFmtId="0" fontId="9" fillId="0" borderId="0"/>
    <xf numFmtId="0" fontId="158" fillId="0" borderId="0"/>
    <xf numFmtId="0" fontId="17" fillId="0" borderId="0"/>
    <xf numFmtId="0" fontId="44" fillId="0" borderId="0"/>
    <xf numFmtId="0" fontId="17" fillId="0" borderId="0"/>
    <xf numFmtId="0" fontId="158" fillId="0" borderId="0"/>
    <xf numFmtId="0" fontId="158" fillId="0" borderId="0"/>
    <xf numFmtId="0" fontId="170"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 fillId="0" borderId="0"/>
    <xf numFmtId="0" fontId="151" fillId="0" borderId="0"/>
    <xf numFmtId="0" fontId="158" fillId="0" borderId="0"/>
    <xf numFmtId="0" fontId="158" fillId="0" borderId="0"/>
    <xf numFmtId="0" fontId="151" fillId="0" borderId="0"/>
    <xf numFmtId="0" fontId="150" fillId="0" borderId="0"/>
    <xf numFmtId="0" fontId="150" fillId="0" borderId="0"/>
    <xf numFmtId="0" fontId="151" fillId="0" borderId="0"/>
    <xf numFmtId="0" fontId="44" fillId="0" borderId="0"/>
    <xf numFmtId="0" fontId="156" fillId="32" borderId="168" applyNumberFormat="0" applyFont="0" applyAlignment="0" applyProtection="0"/>
    <xf numFmtId="0" fontId="150" fillId="32" borderId="168" applyNumberFormat="0" applyFont="0" applyAlignment="0" applyProtection="0"/>
    <xf numFmtId="0" fontId="1" fillId="32" borderId="168" applyNumberFormat="0" applyFont="0" applyAlignment="0" applyProtection="0"/>
    <xf numFmtId="0" fontId="150" fillId="32" borderId="168" applyNumberFormat="0" applyFont="0" applyAlignment="0" applyProtection="0"/>
    <xf numFmtId="0" fontId="156"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80" fillId="70" borderId="165" applyNumberFormat="0" applyAlignment="0" applyProtection="0"/>
    <xf numFmtId="0" fontId="180" fillId="30" borderId="165" applyNumberFormat="0" applyAlignment="0" applyProtection="0"/>
    <xf numFmtId="0" fontId="144" fillId="30" borderId="165" applyNumberFormat="0" applyAlignment="0" applyProtection="0"/>
    <xf numFmtId="0" fontId="180" fillId="30" borderId="165" applyNumberFormat="0" applyAlignment="0" applyProtection="0"/>
    <xf numFmtId="0" fontId="180" fillId="70" borderId="165" applyNumberFormat="0" applyAlignment="0" applyProtection="0"/>
    <xf numFmtId="0" fontId="180" fillId="30" borderId="165" applyNumberFormat="0" applyAlignment="0" applyProtection="0"/>
    <xf numFmtId="0" fontId="180" fillId="30" borderId="16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66"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6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6" fillId="0" borderId="0" applyFont="0" applyFill="0" applyBorder="0" applyAlignment="0" applyProtection="0">
      <alignment vertical="top"/>
    </xf>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53" fillId="0" borderId="174" applyNumberFormat="0" applyFill="0" applyAlignment="0" applyProtection="0"/>
    <xf numFmtId="0" fontId="153" fillId="0" borderId="169" applyNumberFormat="0" applyFill="0" applyAlignment="0" applyProtection="0"/>
    <xf numFmtId="0" fontId="124" fillId="0" borderId="169" applyNumberFormat="0" applyFill="0" applyAlignment="0" applyProtection="0"/>
    <xf numFmtId="0" fontId="153" fillId="0" borderId="169" applyNumberFormat="0" applyFill="0" applyAlignment="0" applyProtection="0"/>
    <xf numFmtId="0" fontId="153" fillId="0" borderId="174"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8"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6"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56" fillId="0" borderId="0" applyFont="0" applyFill="0" applyBorder="0" applyAlignment="0" applyProtection="0">
      <alignment vertical="top"/>
    </xf>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4" fontId="1" fillId="0" borderId="0" applyFont="0" applyFill="0" applyBorder="0" applyAlignment="0" applyProtection="0"/>
    <xf numFmtId="0" fontId="1" fillId="0" borderId="0"/>
    <xf numFmtId="0" fontId="158" fillId="0" borderId="0"/>
    <xf numFmtId="0" fontId="151" fillId="0" borderId="0"/>
    <xf numFmtId="0" fontId="1" fillId="0" borderId="0"/>
    <xf numFmtId="0" fontId="1" fillId="0" borderId="0"/>
    <xf numFmtId="0" fontId="1" fillId="0" borderId="0"/>
    <xf numFmtId="0" fontId="1" fillId="0" borderId="0"/>
    <xf numFmtId="0" fontId="151" fillId="0" borderId="0"/>
    <xf numFmtId="0" fontId="151" fillId="0" borderId="0"/>
    <xf numFmtId="0" fontId="9" fillId="0" borderId="0"/>
    <xf numFmtId="0" fontId="9" fillId="0" borderId="0"/>
    <xf numFmtId="0" fontId="1" fillId="0" borderId="0"/>
    <xf numFmtId="0" fontId="1" fillId="0" borderId="0"/>
    <xf numFmtId="0" fontId="1" fillId="0" borderId="0"/>
    <xf numFmtId="0" fontId="9" fillId="0" borderId="0"/>
    <xf numFmtId="0" fontId="151" fillId="0" borderId="0"/>
    <xf numFmtId="0" fontId="1" fillId="0" borderId="0"/>
    <xf numFmtId="0" fontId="1" fillId="0" borderId="0"/>
    <xf numFmtId="0" fontId="1" fillId="0" borderId="0"/>
    <xf numFmtId="0" fontId="156" fillId="0" borderId="0">
      <alignment vertical="top"/>
    </xf>
    <xf numFmtId="0" fontId="151" fillId="0" borderId="0"/>
    <xf numFmtId="0" fontId="158" fillId="0" borderId="0"/>
    <xf numFmtId="0" fontId="158" fillId="0" borderId="0"/>
    <xf numFmtId="0" fontId="1" fillId="32" borderId="168" applyNumberFormat="0" applyFont="0" applyAlignment="0" applyProtection="0"/>
    <xf numFmtId="9" fontId="156" fillId="0" borderId="0" applyFont="0" applyFill="0" applyBorder="0" applyAlignment="0" applyProtection="0">
      <alignment vertical="top"/>
    </xf>
    <xf numFmtId="0" fontId="1" fillId="0" borderId="0"/>
    <xf numFmtId="0" fontId="1" fillId="0" borderId="0"/>
    <xf numFmtId="0" fontId="1"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1" fillId="0" borderId="0"/>
    <xf numFmtId="0" fontId="1" fillId="0" borderId="0"/>
    <xf numFmtId="0" fontId="9" fillId="0" borderId="0"/>
    <xf numFmtId="0" fontId="151" fillId="0" borderId="0"/>
    <xf numFmtId="0" fontId="151" fillId="0" borderId="0"/>
    <xf numFmtId="0" fontId="150" fillId="59"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4" fillId="59" borderId="0" applyNumberFormat="0" applyBorder="0" applyAlignment="0" applyProtection="0"/>
    <xf numFmtId="0" fontId="1" fillId="0" borderId="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0" fontId="1" fillId="38" borderId="0" applyNumberFormat="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0" fontId="1" fillId="42" borderId="0" applyNumberFormat="0" applyBorder="0" applyAlignment="0" applyProtection="0"/>
    <xf numFmtId="0" fontId="178" fillId="60" borderId="0" applyNumberFormat="0" applyBorder="0" applyAlignment="0" applyProtection="0"/>
    <xf numFmtId="0" fontId="1" fillId="0" borderId="0"/>
    <xf numFmtId="0" fontId="1" fillId="0" borderId="0"/>
    <xf numFmtId="0" fontId="151" fillId="0" borderId="0"/>
    <xf numFmtId="0" fontId="9" fillId="0" borderId="0"/>
    <xf numFmtId="0" fontId="158" fillId="0" borderId="0"/>
    <xf numFmtId="0" fontId="9" fillId="0" borderId="0"/>
    <xf numFmtId="0" fontId="1" fillId="0" borderId="0"/>
    <xf numFmtId="0" fontId="151" fillId="0" borderId="0"/>
    <xf numFmtId="0" fontId="151" fillId="0" borderId="0"/>
    <xf numFmtId="0" fontId="1" fillId="50" borderId="0" applyNumberFormat="0" applyBorder="0" applyAlignment="0" applyProtection="0"/>
    <xf numFmtId="0" fontId="9" fillId="0" borderId="0"/>
    <xf numFmtId="0" fontId="151" fillId="0" borderId="0"/>
    <xf numFmtId="0" fontId="1" fillId="54" borderId="0" applyNumberFormat="0" applyBorder="0" applyAlignment="0" applyProtection="0"/>
    <xf numFmtId="0" fontId="1" fillId="35" borderId="0" applyNumberFormat="0" applyBorder="0" applyAlignment="0" applyProtection="0"/>
    <xf numFmtId="0" fontId="156" fillId="32" borderId="168" applyNumberFormat="0" applyFont="0" applyAlignment="0" applyProtection="0"/>
    <xf numFmtId="0" fontId="1" fillId="46" borderId="0" applyNumberFormat="0" applyBorder="0" applyAlignment="0" applyProtection="0"/>
    <xf numFmtId="0" fontId="1" fillId="34" borderId="0" applyNumberFormat="0" applyBorder="0" applyAlignment="0" applyProtection="0"/>
    <xf numFmtId="0" fontId="156"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1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0" fontId="1" fillId="0" borderId="0"/>
    <xf numFmtId="0" fontId="1" fillId="0" borderId="0"/>
    <xf numFmtId="0" fontId="1" fillId="0" borderId="0"/>
    <xf numFmtId="0" fontId="151" fillId="0" borderId="0"/>
    <xf numFmtId="0" fontId="44" fillId="0" borderId="0"/>
    <xf numFmtId="0" fontId="1" fillId="0" borderId="0"/>
    <xf numFmtId="0" fontId="17" fillId="0" borderId="0"/>
    <xf numFmtId="0" fontId="17" fillId="0" borderId="0"/>
    <xf numFmtId="0" fontId="1" fillId="0" borderId="0"/>
    <xf numFmtId="0" fontId="9" fillId="0" borderId="0"/>
    <xf numFmtId="0" fontId="153" fillId="0" borderId="174" applyNumberFormat="0" applyFill="0" applyAlignment="0" applyProtection="0"/>
    <xf numFmtId="0" fontId="1" fillId="0" borderId="0"/>
    <xf numFmtId="0" fontId="156" fillId="0" borderId="0"/>
    <xf numFmtId="0" fontId="151" fillId="0" borderId="0"/>
    <xf numFmtId="0" fontId="1" fillId="0" borderId="0"/>
    <xf numFmtId="0" fontId="1" fillId="0" borderId="0"/>
    <xf numFmtId="0" fontId="44" fillId="0" borderId="0"/>
    <xf numFmtId="0" fontId="150" fillId="32" borderId="168" applyNumberFormat="0" applyFont="0" applyAlignment="0" applyProtection="0"/>
    <xf numFmtId="0" fontId="1" fillId="32" borderId="168" applyNumberFormat="0" applyFont="0" applyAlignment="0" applyProtection="0"/>
    <xf numFmtId="0" fontId="153" fillId="0" borderId="174" applyNumberFormat="0" applyFill="0" applyAlignment="0" applyProtection="0"/>
    <xf numFmtId="0" fontId="156" fillId="0" borderId="0"/>
    <xf numFmtId="0" fontId="156" fillId="0" borderId="0"/>
    <xf numFmtId="0" fontId="156" fillId="0" borderId="0"/>
    <xf numFmtId="0" fontId="156" fillId="0" borderId="0"/>
    <xf numFmtId="0" fontId="156" fillId="0" borderId="0"/>
    <xf numFmtId="0" fontId="1" fillId="0" borderId="0"/>
    <xf numFmtId="0" fontId="156"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lignment vertical="top"/>
    </xf>
    <xf numFmtId="0" fontId="1" fillId="32" borderId="168" applyNumberFormat="0" applyFont="0" applyAlignment="0" applyProtection="0"/>
    <xf numFmtId="0" fontId="156" fillId="0" borderId="0"/>
    <xf numFmtId="0" fontId="156" fillId="0" borderId="0"/>
    <xf numFmtId="0" fontId="156"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56"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6" fillId="0" borderId="0" applyFont="0" applyFill="0" applyBorder="0" applyAlignment="0" applyProtection="0">
      <alignment vertical="top"/>
    </xf>
    <xf numFmtId="0" fontId="1" fillId="0" borderId="0"/>
    <xf numFmtId="0" fontId="1" fillId="0" borderId="0"/>
    <xf numFmtId="0" fontId="1" fillId="0" borderId="0"/>
    <xf numFmtId="0" fontId="1" fillId="32" borderId="168" applyNumberFormat="0" applyFont="0" applyAlignment="0" applyProtection="0"/>
    <xf numFmtId="0" fontId="156" fillId="0" borderId="0"/>
    <xf numFmtId="9" fontId="156" fillId="0" borderId="0" applyFont="0" applyFill="0" applyBorder="0" applyAlignment="0" applyProtection="0">
      <alignment vertical="top"/>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38" borderId="0" applyNumberFormat="0" applyBorder="0" applyAlignment="0" applyProtection="0"/>
    <xf numFmtId="0" fontId="156" fillId="0" borderId="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56"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56"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lignment vertical="top"/>
    </xf>
    <xf numFmtId="0" fontId="1" fillId="32" borderId="168" applyNumberFormat="0" applyFont="0" applyAlignment="0" applyProtection="0"/>
    <xf numFmtId="0" fontId="156" fillId="0" borderId="0"/>
    <xf numFmtId="0" fontId="156" fillId="0" borderId="0"/>
    <xf numFmtId="0" fontId="156"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201" fillId="0" borderId="0"/>
    <xf numFmtId="0" fontId="198"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6" fillId="0" borderId="0"/>
    <xf numFmtId="0" fontId="200" fillId="0" borderId="0"/>
    <xf numFmtId="0" fontId="199" fillId="0" borderId="0"/>
    <xf numFmtId="0" fontId="197" fillId="0" borderId="0"/>
    <xf numFmtId="0" fontId="196" fillId="0" borderId="0"/>
    <xf numFmtId="0" fontId="194" fillId="0" borderId="0"/>
    <xf numFmtId="0" fontId="193" fillId="0" borderId="0"/>
    <xf numFmtId="0" fontId="185" fillId="0" borderId="0"/>
    <xf numFmtId="0" fontId="153" fillId="0" borderId="174" applyNumberFormat="0" applyFill="0" applyAlignment="0" applyProtection="0"/>
    <xf numFmtId="0" fontId="189" fillId="0" borderId="0"/>
    <xf numFmtId="0" fontId="184" fillId="0" borderId="0"/>
    <xf numFmtId="0" fontId="190" fillId="0" borderId="0"/>
    <xf numFmtId="0" fontId="188" fillId="0" borderId="0"/>
    <xf numFmtId="0" fontId="187" fillId="0" borderId="0"/>
    <xf numFmtId="0" fontId="187" fillId="0" borderId="0"/>
    <xf numFmtId="0" fontId="153" fillId="0" borderId="174" applyNumberFormat="0" applyFill="0" applyAlignment="0" applyProtection="0"/>
    <xf numFmtId="0" fontId="1" fillId="0" borderId="0"/>
    <xf numFmtId="0" fontId="187" fillId="0" borderId="0"/>
    <xf numFmtId="0" fontId="170" fillId="0" borderId="0"/>
    <xf numFmtId="0" fontId="153" fillId="0" borderId="174" applyNumberFormat="0" applyFill="0" applyAlignment="0" applyProtection="0"/>
    <xf numFmtId="0" fontId="1" fillId="0" borderId="0"/>
    <xf numFmtId="0" fontId="1" fillId="0" borderId="0"/>
    <xf numFmtId="0" fontId="1" fillId="0" borderId="0"/>
    <xf numFmtId="0" fontId="19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86"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95" fillId="0" borderId="0"/>
    <xf numFmtId="0" fontId="192" fillId="0" borderId="0"/>
    <xf numFmtId="0" fontId="192" fillId="0" borderId="0"/>
    <xf numFmtId="0" fontId="185" fillId="0" borderId="0"/>
    <xf numFmtId="0" fontId="194" fillId="0" borderId="0"/>
    <xf numFmtId="0" fontId="204" fillId="0" borderId="0"/>
    <xf numFmtId="0" fontId="185" fillId="0" borderId="0"/>
    <xf numFmtId="0" fontId="153" fillId="0" borderId="174" applyNumberFormat="0" applyFill="0" applyAlignment="0" applyProtection="0"/>
    <xf numFmtId="0" fontId="202" fillId="0" borderId="0"/>
    <xf numFmtId="0" fontId="205" fillId="0" borderId="0"/>
    <xf numFmtId="0" fontId="185" fillId="0" borderId="0"/>
    <xf numFmtId="0" fontId="203" fillId="0" borderId="0"/>
    <xf numFmtId="0" fontId="192" fillId="0" borderId="0"/>
    <xf numFmtId="0" fontId="185" fillId="0" borderId="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53" fillId="0" borderId="17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3" fillId="0" borderId="174" applyNumberFormat="0" applyFill="0" applyAlignment="0" applyProtection="0"/>
    <xf numFmtId="0" fontId="1" fillId="0" borderId="0"/>
    <xf numFmtId="0" fontId="1" fillId="0" borderId="0"/>
    <xf numFmtId="0" fontId="1" fillId="0" borderId="0"/>
    <xf numFmtId="0" fontId="153" fillId="0" borderId="174" applyNumberFormat="0" applyFill="0" applyAlignment="0" applyProtection="0"/>
    <xf numFmtId="0" fontId="1" fillId="0" borderId="0"/>
    <xf numFmtId="0" fontId="1" fillId="0" borderId="0"/>
    <xf numFmtId="0" fontId="1" fillId="0" borderId="0"/>
    <xf numFmtId="0" fontId="1" fillId="0" borderId="0"/>
    <xf numFmtId="0" fontId="153" fillId="0" borderId="174" applyNumberFormat="0" applyFill="0" applyAlignment="0" applyProtection="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158" fillId="0" borderId="0"/>
    <xf numFmtId="0" fontId="158" fillId="0" borderId="0"/>
    <xf numFmtId="0" fontId="153" fillId="0" borderId="174" applyNumberFormat="0" applyFill="0" applyAlignment="0" applyProtection="0"/>
    <xf numFmtId="0" fontId="153" fillId="0" borderId="174" applyNumberFormat="0" applyFill="0" applyAlignment="0" applyProtection="0"/>
    <xf numFmtId="0" fontId="153" fillId="0" borderId="174" applyNumberFormat="0" applyFill="0" applyAlignment="0" applyProtection="0"/>
    <xf numFmtId="0" fontId="153" fillId="0" borderId="1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82" fillId="0" borderId="0" applyNumberFormat="0" applyFill="0" applyBorder="0" applyAlignment="0" applyProtection="0"/>
    <xf numFmtId="0" fontId="1" fillId="0" borderId="0"/>
    <xf numFmtId="0" fontId="150" fillId="71" borderId="0" applyNumberFormat="0" applyBorder="0" applyAlignment="0" applyProtection="0"/>
    <xf numFmtId="0" fontId="1"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50" fillId="71" borderId="0" applyNumberFormat="0" applyBorder="0" applyAlignment="0" applyProtection="0"/>
    <xf numFmtId="0" fontId="1"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50" fillId="59" borderId="0" applyNumberFormat="0" applyBorder="0" applyAlignment="0" applyProtection="0"/>
    <xf numFmtId="0" fontId="1"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54" fillId="59" borderId="0" applyNumberFormat="0" applyBorder="0" applyAlignment="0" applyProtection="0"/>
    <xf numFmtId="0" fontId="133"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8" borderId="0" applyNumberFormat="0" applyBorder="0" applyAlignment="0" applyProtection="0"/>
    <xf numFmtId="0" fontId="133"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67" fillId="69" borderId="0" applyNumberFormat="0" applyBorder="0" applyAlignment="0" applyProtection="0"/>
    <xf numFmtId="0" fontId="142"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78" fillId="60" borderId="0" applyNumberFormat="0" applyBorder="0" applyAlignment="0" applyProtection="0"/>
    <xf numFmtId="0" fontId="155" fillId="60" borderId="0" applyNumberFormat="0" applyBorder="0" applyAlignment="0" applyProtection="0"/>
    <xf numFmtId="0" fontId="178" fillId="60" borderId="0" applyNumberFormat="0" applyBorder="0" applyAlignment="0" applyProtection="0"/>
    <xf numFmtId="0" fontId="178" fillId="60" borderId="0" applyNumberFormat="0" applyBorder="0" applyAlignment="0" applyProtection="0"/>
    <xf numFmtId="0" fontId="178" fillId="60" borderId="0" applyNumberFormat="0" applyBorder="0" applyAlignment="0" applyProtection="0"/>
    <xf numFmtId="0" fontId="178"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44" fillId="0" borderId="0"/>
    <xf numFmtId="0" fontId="1" fillId="0" borderId="0"/>
    <xf numFmtId="0" fontId="1" fillId="0" borderId="0"/>
    <xf numFmtId="0" fontId="1" fillId="0" borderId="0"/>
    <xf numFmtId="0" fontId="1" fillId="0" borderId="0"/>
    <xf numFmtId="0" fontId="151" fillId="0" borderId="0"/>
    <xf numFmtId="0" fontId="151" fillId="0" borderId="0"/>
    <xf numFmtId="0" fontId="44" fillId="0" borderId="0"/>
    <xf numFmtId="0" fontId="1" fillId="0" borderId="0"/>
    <xf numFmtId="0" fontId="156" fillId="0" borderId="0"/>
    <xf numFmtId="0" fontId="9" fillId="0" borderId="0"/>
    <xf numFmtId="0" fontId="156" fillId="0" borderId="0"/>
    <xf numFmtId="0" fontId="1" fillId="0" borderId="0"/>
    <xf numFmtId="0" fontId="1" fillId="0" borderId="0"/>
    <xf numFmtId="0" fontId="157" fillId="32" borderId="168" applyNumberFormat="0" applyFont="0" applyAlignment="0" applyProtection="0"/>
    <xf numFmtId="0" fontId="156" fillId="32" borderId="168" applyNumberFormat="0" applyFont="0" applyAlignment="0" applyProtection="0"/>
    <xf numFmtId="0" fontId="156" fillId="32" borderId="168" applyNumberFormat="0" applyFont="0" applyAlignment="0" applyProtection="0"/>
    <xf numFmtId="0" fontId="156" fillId="32" borderId="168" applyNumberFormat="0" applyFont="0" applyAlignment="0" applyProtection="0"/>
    <xf numFmtId="0" fontId="156" fillId="32" borderId="168" applyNumberFormat="0" applyFont="0" applyAlignment="0" applyProtection="0"/>
    <xf numFmtId="0" fontId="156" fillId="32" borderId="168" applyNumberFormat="0" applyFont="0" applyAlignment="0" applyProtection="0"/>
    <xf numFmtId="9" fontId="156" fillId="0" borderId="0" applyFont="0" applyFill="0" applyBorder="0" applyAlignment="0" applyProtection="0"/>
    <xf numFmtId="0" fontId="150" fillId="34" borderId="0" applyNumberFormat="0" applyBorder="0" applyAlignment="0" applyProtection="0"/>
    <xf numFmtId="0" fontId="150" fillId="46" borderId="0" applyNumberFormat="0" applyBorder="0" applyAlignment="0" applyProtection="0"/>
    <xf numFmtId="0" fontId="150" fillId="43" borderId="0" applyNumberFormat="0" applyBorder="0" applyAlignment="0" applyProtection="0"/>
    <xf numFmtId="0" fontId="154" fillId="44" borderId="0" applyNumberFormat="0" applyBorder="0" applyAlignment="0" applyProtection="0"/>
    <xf numFmtId="0" fontId="154" fillId="56" borderId="0" applyNumberFormat="0" applyBorder="0" applyAlignment="0" applyProtection="0"/>
    <xf numFmtId="0" fontId="167" fillId="27" borderId="0" applyNumberFormat="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8" fillId="28" borderId="0" applyNumberFormat="0" applyBorder="0" applyAlignment="0" applyProtection="0"/>
    <xf numFmtId="0" fontId="150" fillId="32" borderId="168" applyNumberFormat="0" applyFont="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0" fillId="34" borderId="0" applyNumberFormat="0" applyBorder="0" applyAlignment="0" applyProtection="0"/>
    <xf numFmtId="0" fontId="1" fillId="34" borderId="0" applyNumberFormat="0" applyBorder="0" applyAlignment="0" applyProtection="0"/>
    <xf numFmtId="0" fontId="150" fillId="34" borderId="0" applyNumberFormat="0" applyBorder="0" applyAlignment="0" applyProtection="0"/>
    <xf numFmtId="0" fontId="150" fillId="57" borderId="0" applyNumberFormat="0" applyBorder="0" applyAlignment="0" applyProtection="0"/>
    <xf numFmtId="0" fontId="150" fillId="57"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58" borderId="0" applyNumberFormat="0" applyBorder="0" applyAlignment="0" applyProtection="0"/>
    <xf numFmtId="0" fontId="150" fillId="59" borderId="0" applyNumberFormat="0" applyBorder="0" applyAlignment="0" applyProtection="0"/>
    <xf numFmtId="0" fontId="150" fillId="46" borderId="0" applyNumberFormat="0" applyBorder="0" applyAlignment="0" applyProtection="0"/>
    <xf numFmtId="0" fontId="1" fillId="46" borderId="0" applyNumberFormat="0" applyBorder="0" applyAlignment="0" applyProtection="0"/>
    <xf numFmtId="0" fontId="150" fillId="46"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59" borderId="0" applyNumberFormat="0" applyBorder="0" applyAlignment="0" applyProtection="0"/>
    <xf numFmtId="0" fontId="150" fillId="61" borderId="0" applyNumberFormat="0" applyBorder="0" applyAlignment="0" applyProtection="0"/>
    <xf numFmtId="0" fontId="150" fillId="43" borderId="0" applyNumberFormat="0" applyBorder="0" applyAlignment="0" applyProtection="0"/>
    <xf numFmtId="0" fontId="1" fillId="43" borderId="0" applyNumberFormat="0" applyBorder="0" applyAlignment="0" applyProtection="0"/>
    <xf numFmtId="0" fontId="150" fillId="43"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63" borderId="0" applyNumberFormat="0" applyBorder="0" applyAlignment="0" applyProtection="0"/>
    <xf numFmtId="0" fontId="150" fillId="61" borderId="0" applyNumberFormat="0" applyBorder="0" applyAlignment="0" applyProtection="0"/>
    <xf numFmtId="0" fontId="150" fillId="59" borderId="0" applyNumberFormat="0" applyBorder="0" applyAlignment="0" applyProtection="0"/>
    <xf numFmtId="0" fontId="154" fillId="61" borderId="0" applyNumberFormat="0" applyBorder="0" applyAlignment="0" applyProtection="0"/>
    <xf numFmtId="0" fontId="154" fillId="64" borderId="0" applyNumberFormat="0" applyBorder="0" applyAlignment="0" applyProtection="0"/>
    <xf numFmtId="0" fontId="154" fillId="44" borderId="0" applyNumberFormat="0" applyBorder="0" applyAlignment="0" applyProtection="0"/>
    <xf numFmtId="0" fontId="133" fillId="44" borderId="0" applyNumberFormat="0" applyBorder="0" applyAlignment="0" applyProtection="0"/>
    <xf numFmtId="0" fontId="154" fillId="44"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63" borderId="0" applyNumberFormat="0" applyBorder="0" applyAlignment="0" applyProtection="0"/>
    <xf numFmtId="0" fontId="154" fillId="61" borderId="0" applyNumberFormat="0" applyBorder="0" applyAlignment="0" applyProtection="0"/>
    <xf numFmtId="0" fontId="154" fillId="56" borderId="0" applyNumberFormat="0" applyBorder="0" applyAlignment="0" applyProtection="0"/>
    <xf numFmtId="0" fontId="133" fillId="56" borderId="0" applyNumberFormat="0" applyBorder="0" applyAlignment="0" applyProtection="0"/>
    <xf numFmtId="0" fontId="154" fillId="56" borderId="0" applyNumberFormat="0" applyBorder="0" applyAlignment="0" applyProtection="0"/>
    <xf numFmtId="0" fontId="154" fillId="58"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66" borderId="0" applyNumberFormat="0" applyBorder="0" applyAlignment="0" applyProtection="0"/>
    <xf numFmtId="0" fontId="154" fillId="64" borderId="0" applyNumberFormat="0" applyBorder="0" applyAlignment="0" applyProtection="0"/>
    <xf numFmtId="0" fontId="154" fillId="65"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67" fillId="27" borderId="0" applyNumberFormat="0" applyBorder="0" applyAlignment="0" applyProtection="0"/>
    <xf numFmtId="0" fontId="142" fillId="27" borderId="0" applyNumberFormat="0" applyBorder="0" applyAlignment="0" applyProtection="0"/>
    <xf numFmtId="0" fontId="167" fillId="27" borderId="0" applyNumberFormat="0" applyBorder="0" applyAlignment="0" applyProtection="0"/>
    <xf numFmtId="0" fontId="167" fillId="69"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59" fillId="70" borderId="16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172" fillId="61" borderId="0" applyNumberFormat="0" applyBorder="0" applyAlignment="0" applyProtection="0"/>
    <xf numFmtId="0" fontId="160" fillId="0" borderId="170" applyNumberFormat="0" applyFill="0" applyAlignment="0" applyProtection="0"/>
    <xf numFmtId="0" fontId="161" fillId="0" borderId="171" applyNumberFormat="0" applyFill="0" applyAlignment="0" applyProtection="0"/>
    <xf numFmtId="0" fontId="162" fillId="0" borderId="172" applyNumberFormat="0" applyFill="0" applyAlignment="0" applyProtection="0"/>
    <xf numFmtId="0" fontId="162" fillId="0" borderId="0" applyNumberFormat="0" applyFill="0" applyBorder="0" applyAlignment="0" applyProtection="0"/>
    <xf numFmtId="0" fontId="152" fillId="0" borderId="0" applyNumberFormat="0" applyFill="0" applyBorder="0" applyAlignment="0" applyProtection="0">
      <alignment vertical="top"/>
      <protection locked="0"/>
    </xf>
    <xf numFmtId="0" fontId="176" fillId="62" borderId="164" applyNumberFormat="0" applyAlignment="0" applyProtection="0"/>
    <xf numFmtId="0" fontId="163" fillId="0" borderId="173" applyNumberFormat="0" applyFill="0" applyAlignment="0" applyProtection="0"/>
    <xf numFmtId="0" fontId="178" fillId="28" borderId="0" applyNumberFormat="0" applyBorder="0" applyAlignment="0" applyProtection="0"/>
    <xf numFmtId="0" fontId="155" fillId="28" borderId="0" applyNumberFormat="0" applyBorder="0" applyAlignment="0" applyProtection="0"/>
    <xf numFmtId="0" fontId="178" fillId="28" borderId="0" applyNumberFormat="0" applyBorder="0" applyAlignment="0" applyProtection="0"/>
    <xf numFmtId="0" fontId="164" fillId="28" borderId="0" applyNumberFormat="0" applyBorder="0" applyAlignment="0" applyProtection="0"/>
    <xf numFmtId="0" fontId="164" fillId="28" borderId="0" applyNumberFormat="0" applyBorder="0" applyAlignment="0" applyProtection="0"/>
    <xf numFmtId="0" fontId="178" fillId="28" borderId="0" applyNumberFormat="0" applyBorder="0" applyAlignment="0" applyProtection="0"/>
    <xf numFmtId="0" fontId="178" fillId="28" borderId="0" applyNumberFormat="0" applyBorder="0" applyAlignment="0" applyProtection="0"/>
    <xf numFmtId="0" fontId="151" fillId="0" borderId="0"/>
    <xf numFmtId="0" fontId="9" fillId="0" borderId="0"/>
    <xf numFmtId="0" fontId="9" fillId="0" borderId="0"/>
    <xf numFmtId="0" fontId="44" fillId="0" borderId="0"/>
    <xf numFmtId="0" fontId="9" fillId="0" borderId="0"/>
    <xf numFmtId="0" fontId="151" fillId="0" borderId="0"/>
    <xf numFmtId="0" fontId="9" fillId="0" borderId="0"/>
    <xf numFmtId="0" fontId="44" fillId="0" borderId="0"/>
    <xf numFmtId="0" fontId="17" fillId="0" borderId="0"/>
    <xf numFmtId="0" fontId="17" fillId="0" borderId="0"/>
    <xf numFmtId="0" fontId="17" fillId="0" borderId="0"/>
    <xf numFmtId="0" fontId="17" fillId="0" borderId="0"/>
    <xf numFmtId="0" fontId="151" fillId="0" borderId="0"/>
    <xf numFmtId="0" fontId="9" fillId="0" borderId="0"/>
    <xf numFmtId="0" fontId="170" fillId="0" borderId="0"/>
    <xf numFmtId="0" fontId="158" fillId="0" borderId="0"/>
    <xf numFmtId="0" fontId="158" fillId="0" borderId="0"/>
    <xf numFmtId="0" fontId="151" fillId="0" borderId="0"/>
    <xf numFmtId="0" fontId="1" fillId="32" borderId="168" applyNumberFormat="0" applyFont="0" applyAlignment="0" applyProtection="0"/>
    <xf numFmtId="0" fontId="150" fillId="32" borderId="168" applyNumberFormat="0" applyFont="0" applyAlignment="0" applyProtection="0"/>
    <xf numFmtId="0" fontId="156"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80" fillId="70" borderId="16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3" fillId="0" borderId="174" applyNumberFormat="0" applyFill="0" applyAlignment="0" applyProtection="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56" fillId="0" borderId="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56" fillId="0" borderId="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156" fillId="0" borderId="0"/>
    <xf numFmtId="43" fontId="1" fillId="0" borderId="0" applyFont="0" applyFill="0" applyBorder="0" applyAlignment="0" applyProtection="0"/>
    <xf numFmtId="0" fontId="1" fillId="0" borderId="0"/>
    <xf numFmtId="0" fontId="150" fillId="7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43" fontId="1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0" borderId="0"/>
    <xf numFmtId="0" fontId="1" fillId="46" borderId="0" applyNumberFormat="0" applyBorder="0" applyAlignment="0" applyProtection="0"/>
    <xf numFmtId="43" fontId="150" fillId="0" borderId="0" applyFont="0" applyFill="0" applyBorder="0" applyAlignment="0" applyProtection="0"/>
    <xf numFmtId="0" fontId="1" fillId="0" borderId="0"/>
    <xf numFmtId="0" fontId="1" fillId="54" borderId="0" applyNumberFormat="0" applyBorder="0" applyAlignment="0" applyProtection="0"/>
    <xf numFmtId="0" fontId="1" fillId="43" borderId="0" applyNumberFormat="0" applyBorder="0" applyAlignment="0" applyProtection="0"/>
    <xf numFmtId="0" fontId="150" fillId="71" borderId="0" applyNumberFormat="0" applyBorder="0" applyAlignment="0" applyProtection="0"/>
    <xf numFmtId="43" fontId="1" fillId="0" borderId="0" applyFont="0" applyFill="0" applyBorder="0" applyAlignment="0" applyProtection="0"/>
    <xf numFmtId="0" fontId="1" fillId="0" borderId="0"/>
    <xf numFmtId="43" fontId="1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56" fillId="0" borderId="0"/>
    <xf numFmtId="0" fontId="1" fillId="0" borderId="0"/>
    <xf numFmtId="0" fontId="1" fillId="0" borderId="0"/>
    <xf numFmtId="0" fontId="1" fillId="0" borderId="0"/>
    <xf numFmtId="0" fontId="1" fillId="0" borderId="0"/>
    <xf numFmtId="0" fontId="9" fillId="0" borderId="0"/>
    <xf numFmtId="0" fontId="156" fillId="0" borderId="0"/>
    <xf numFmtId="0" fontId="166" fillId="0" borderId="0"/>
    <xf numFmtId="0" fontId="1" fillId="0" borderId="0"/>
    <xf numFmtId="0" fontId="166" fillId="0" borderId="0"/>
    <xf numFmtId="0" fontId="1" fillId="0" borderId="0"/>
    <xf numFmtId="0" fontId="1" fillId="0" borderId="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56" fillId="0" borderId="0" applyFont="0" applyFill="0" applyBorder="0" applyAlignment="0" applyProtection="0">
      <alignment vertical="top"/>
    </xf>
    <xf numFmtId="0" fontId="1" fillId="0" borderId="0"/>
    <xf numFmtId="0" fontId="154" fillId="59" borderId="0" applyNumberFormat="0" applyBorder="0" applyAlignment="0" applyProtection="0"/>
    <xf numFmtId="43" fontId="156" fillId="0" borderId="0" applyFont="0" applyFill="0" applyBorder="0" applyAlignment="0" applyProtection="0"/>
    <xf numFmtId="0" fontId="1" fillId="42" borderId="0" applyNumberFormat="0" applyBorder="0" applyAlignment="0" applyProtection="0"/>
    <xf numFmtId="0" fontId="178" fillId="60" borderId="0" applyNumberFormat="0" applyBorder="0" applyAlignment="0" applyProtection="0"/>
    <xf numFmtId="0" fontId="1" fillId="50" borderId="0" applyNumberFormat="0" applyBorder="0" applyAlignment="0" applyProtection="0"/>
    <xf numFmtId="0" fontId="9"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6" fillId="0" borderId="0"/>
    <xf numFmtId="0" fontId="1" fillId="32" borderId="168" applyNumberFormat="0" applyFont="0" applyAlignment="0" applyProtection="0"/>
    <xf numFmtId="0" fontId="1" fillId="46"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alignment vertical="top"/>
      <protection locked="0"/>
    </xf>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9" fillId="0" borderId="0"/>
    <xf numFmtId="0" fontId="166" fillId="0" borderId="0"/>
    <xf numFmtId="0" fontId="1" fillId="46" borderId="0" applyNumberFormat="0" applyBorder="0" applyAlignment="0" applyProtection="0"/>
    <xf numFmtId="0" fontId="1" fillId="0" borderId="0"/>
    <xf numFmtId="0" fontId="150" fillId="59" borderId="0" applyNumberFormat="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56" fillId="0" borderId="0"/>
    <xf numFmtId="0" fontId="156" fillId="0" borderId="0"/>
    <xf numFmtId="44" fontId="1" fillId="0" borderId="0" applyFont="0" applyFill="0" applyBorder="0" applyAlignment="0" applyProtection="0"/>
    <xf numFmtId="0" fontId="1" fillId="32" borderId="168" applyNumberFormat="0" applyFont="0" applyAlignment="0" applyProtection="0"/>
    <xf numFmtId="0" fontId="1" fillId="0" borderId="0"/>
    <xf numFmtId="43" fontId="158"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43" borderId="0" applyNumberFormat="0" applyBorder="0" applyAlignment="0" applyProtection="0"/>
    <xf numFmtId="0" fontId="156" fillId="0" borderId="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46"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174" applyNumberFormat="0" applyFill="0" applyAlignment="0" applyProtection="0"/>
    <xf numFmtId="0" fontId="153" fillId="0" borderId="174" applyNumberFormat="0" applyFill="0" applyAlignment="0" applyProtection="0"/>
    <xf numFmtId="0" fontId="1" fillId="0" borderId="0"/>
    <xf numFmtId="0" fontId="1" fillId="0" borderId="0"/>
    <xf numFmtId="0" fontId="1" fillId="46" borderId="0" applyNumberFormat="0" applyBorder="0" applyAlignment="0" applyProtection="0"/>
    <xf numFmtId="0" fontId="1" fillId="0" borderId="0"/>
    <xf numFmtId="0" fontId="1" fillId="71" borderId="0" applyNumberFormat="0" applyBorder="0" applyAlignment="0" applyProtection="0"/>
    <xf numFmtId="43" fontId="1" fillId="0" borderId="0" applyFont="0" applyFill="0" applyBorder="0" applyAlignment="0" applyProtection="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50"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53" fillId="0" borderId="174" applyNumberFormat="0" applyFill="0" applyAlignment="0" applyProtection="0"/>
    <xf numFmtId="0" fontId="1" fillId="34"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51" fillId="0" borderId="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42" borderId="0" applyNumberFormat="0" applyBorder="0" applyAlignment="0" applyProtection="0"/>
    <xf numFmtId="0" fontId="1"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0" fontId="1" fillId="5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3" fillId="0" borderId="1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56" fillId="0" borderId="0"/>
    <xf numFmtId="0" fontId="1" fillId="54" borderId="0" applyNumberFormat="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0" borderId="0"/>
    <xf numFmtId="0" fontId="1" fillId="0" borderId="0"/>
    <xf numFmtId="0" fontId="1" fillId="47" borderId="0" applyNumberFormat="0" applyBorder="0" applyAlignment="0" applyProtection="0"/>
    <xf numFmtId="0" fontId="1" fillId="4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0" fontId="1" fillId="0" borderId="0"/>
    <xf numFmtId="0" fontId="1" fillId="42" borderId="0" applyNumberFormat="0" applyBorder="0" applyAlignment="0" applyProtection="0"/>
    <xf numFmtId="0" fontId="1" fillId="0" borderId="0"/>
    <xf numFmtId="0" fontId="1" fillId="3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3" fillId="0" borderId="174"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0" fontId="9" fillId="0" borderId="0"/>
    <xf numFmtId="43" fontId="1" fillId="0" borderId="0" applyFont="0" applyFill="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53" fillId="0" borderId="174" applyNumberFormat="0" applyFill="0" applyAlignment="0" applyProtection="0"/>
    <xf numFmtId="0" fontId="1" fillId="0" borderId="0"/>
    <xf numFmtId="0" fontId="1" fillId="35" borderId="0" applyNumberFormat="0" applyBorder="0" applyAlignment="0" applyProtection="0"/>
    <xf numFmtId="0" fontId="1" fillId="0" borderId="0"/>
    <xf numFmtId="0" fontId="1" fillId="34" borderId="0" applyNumberFormat="0" applyBorder="0" applyAlignment="0" applyProtection="0"/>
    <xf numFmtId="0" fontId="1" fillId="32" borderId="16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51" fillId="0" borderId="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53" fillId="0" borderId="174" applyNumberFormat="0" applyFill="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53" fillId="0" borderId="174" applyNumberFormat="0" applyFill="0" applyAlignment="0" applyProtection="0"/>
    <xf numFmtId="0" fontId="153" fillId="0" borderId="17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2" borderId="0" applyNumberFormat="0" applyBorder="0" applyAlignment="0" applyProtection="0"/>
    <xf numFmtId="0" fontId="1" fillId="39" borderId="0" applyNumberFormat="0" applyBorder="0" applyAlignment="0" applyProtection="0"/>
    <xf numFmtId="0" fontId="1" fillId="0" borderId="0"/>
    <xf numFmtId="0" fontId="1" fillId="46" borderId="0" applyNumberFormat="0" applyBorder="0" applyAlignment="0" applyProtection="0"/>
    <xf numFmtId="0" fontId="1" fillId="0" borderId="0"/>
    <xf numFmtId="0" fontId="1" fillId="54"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2" borderId="0" applyNumberFormat="0" applyBorder="0" applyAlignment="0" applyProtection="0"/>
    <xf numFmtId="0" fontId="1" fillId="50"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2" borderId="168" applyNumberFormat="0" applyFont="0" applyAlignment="0" applyProtection="0"/>
    <xf numFmtId="0" fontId="1" fillId="46" borderId="0" applyNumberFormat="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0" borderId="0"/>
    <xf numFmtId="43" fontId="1" fillId="0" borderId="0" applyFont="0" applyFill="0" applyBorder="0" applyAlignment="0" applyProtection="0"/>
    <xf numFmtId="0" fontId="1" fillId="50"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2" borderId="168"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46"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46" borderId="0" applyNumberFormat="0" applyBorder="0" applyAlignment="0" applyProtection="0"/>
    <xf numFmtId="0" fontId="1" fillId="0" borderId="0"/>
    <xf numFmtId="0" fontId="1" fillId="71" borderId="0" applyNumberFormat="0" applyBorder="0" applyAlignment="0" applyProtection="0"/>
    <xf numFmtId="43" fontId="1" fillId="0" borderId="0" applyFont="0" applyFill="0" applyBorder="0" applyAlignment="0" applyProtection="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50"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42"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0" borderId="0"/>
    <xf numFmtId="0" fontId="1" fillId="0" borderId="0"/>
    <xf numFmtId="0" fontId="1" fillId="47" borderId="0" applyNumberFormat="0" applyBorder="0" applyAlignment="0" applyProtection="0"/>
    <xf numFmtId="0" fontId="1" fillId="4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1"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71"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3" borderId="0" applyNumberFormat="0" applyBorder="0" applyAlignment="0" applyProtection="0"/>
    <xf numFmtId="43" fontId="1" fillId="0" borderId="0" applyFont="0" applyFill="0" applyBorder="0" applyAlignment="0" applyProtection="0"/>
    <xf numFmtId="0" fontId="1" fillId="0" borderId="0"/>
    <xf numFmtId="0" fontId="1" fillId="42" borderId="0" applyNumberFormat="0" applyBorder="0" applyAlignment="0" applyProtection="0"/>
    <xf numFmtId="0" fontId="1" fillId="0" borderId="0"/>
    <xf numFmtId="0" fontId="1" fillId="3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0" borderId="0"/>
    <xf numFmtId="0" fontId="1" fillId="35" borderId="0" applyNumberFormat="0" applyBorder="0" applyAlignment="0" applyProtection="0"/>
    <xf numFmtId="0" fontId="1" fillId="0" borderId="0"/>
    <xf numFmtId="0" fontId="1" fillId="34" borderId="0" applyNumberFormat="0" applyBorder="0" applyAlignment="0" applyProtection="0"/>
    <xf numFmtId="0" fontId="1" fillId="32" borderId="16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8" borderId="0" applyNumberFormat="0" applyBorder="0" applyAlignment="0" applyProtection="0"/>
    <xf numFmtId="0" fontId="1" fillId="42"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0" borderId="0"/>
    <xf numFmtId="0" fontId="1" fillId="0" borderId="0"/>
    <xf numFmtId="0" fontId="1" fillId="38"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68" applyNumberFormat="0" applyFont="0" applyAlignment="0" applyProtection="0"/>
    <xf numFmtId="0" fontId="1" fillId="0" borderId="0"/>
    <xf numFmtId="0" fontId="156" fillId="0" borderId="0"/>
    <xf numFmtId="0" fontId="137" fillId="0" borderId="0"/>
    <xf numFmtId="43" fontId="137" fillId="0" borderId="0" applyFont="0" applyFill="0" applyBorder="0" applyAlignment="0" applyProtection="0"/>
    <xf numFmtId="43" fontId="156" fillId="0" borderId="0" applyFont="0" applyFill="0" applyBorder="0" applyAlignment="0" applyProtection="0"/>
    <xf numFmtId="43" fontId="137" fillId="0" borderId="0" applyFont="0" applyFill="0" applyBorder="0" applyAlignment="0" applyProtection="0"/>
    <xf numFmtId="44" fontId="137" fillId="0" borderId="0" applyFont="0" applyFill="0" applyBorder="0" applyAlignment="0" applyProtection="0"/>
    <xf numFmtId="0" fontId="9" fillId="0" borderId="0"/>
    <xf numFmtId="0" fontId="212" fillId="0" borderId="0"/>
    <xf numFmtId="43" fontId="215" fillId="0" borderId="0" applyFont="0" applyFill="0" applyBorder="0" applyAlignment="0" applyProtection="0">
      <alignment vertical="top"/>
    </xf>
    <xf numFmtId="43" fontId="137"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1" fillId="0" borderId="0" applyFont="0" applyFill="0" applyBorder="0" applyAlignment="0" applyProtection="0"/>
    <xf numFmtId="43" fontId="214" fillId="0" borderId="0" applyFont="0" applyFill="0" applyBorder="0" applyAlignment="0" applyProtection="0"/>
    <xf numFmtId="0" fontId="214" fillId="0" borderId="0"/>
    <xf numFmtId="0" fontId="214" fillId="0" borderId="0"/>
    <xf numFmtId="0" fontId="213" fillId="0" borderId="0"/>
    <xf numFmtId="0" fontId="213" fillId="0" borderId="0"/>
    <xf numFmtId="0" fontId="213" fillId="0" borderId="0"/>
    <xf numFmtId="0" fontId="213" fillId="0" borderId="0"/>
    <xf numFmtId="43" fontId="156" fillId="0" borderId="0" applyFont="0" applyFill="0" applyBorder="0" applyAlignment="0" applyProtection="0">
      <alignment vertical="top"/>
    </xf>
    <xf numFmtId="0" fontId="213" fillId="0" borderId="0"/>
    <xf numFmtId="0" fontId="213" fillId="0" borderId="0"/>
    <xf numFmtId="0" fontId="137" fillId="0" borderId="0"/>
    <xf numFmtId="0" fontId="137" fillId="0" borderId="0"/>
    <xf numFmtId="0" fontId="9" fillId="0" borderId="0"/>
    <xf numFmtId="0" fontId="137" fillId="0" borderId="0"/>
    <xf numFmtId="0" fontId="137" fillId="0" borderId="0"/>
    <xf numFmtId="0" fontId="215" fillId="0" borderId="0">
      <alignment vertical="top"/>
    </xf>
    <xf numFmtId="0" fontId="137" fillId="0" borderId="0"/>
    <xf numFmtId="0" fontId="137" fillId="0" borderId="0"/>
    <xf numFmtId="0" fontId="9" fillId="0" borderId="0"/>
    <xf numFmtId="0" fontId="213" fillId="0" borderId="0"/>
    <xf numFmtId="0" fontId="213" fillId="0" borderId="0"/>
    <xf numFmtId="0" fontId="215" fillId="0" borderId="0">
      <alignment vertical="top"/>
    </xf>
    <xf numFmtId="0" fontId="166" fillId="0" borderId="0"/>
    <xf numFmtId="0" fontId="166" fillId="0" borderId="0"/>
    <xf numFmtId="0" fontId="166" fillId="0" borderId="0"/>
    <xf numFmtId="0" fontId="213" fillId="0" borderId="0"/>
    <xf numFmtId="0" fontId="213" fillId="0" borderId="0"/>
    <xf numFmtId="0" fontId="214" fillId="0" borderId="0"/>
    <xf numFmtId="0" fontId="214" fillId="0" borderId="0"/>
    <xf numFmtId="0" fontId="214" fillId="0" borderId="0"/>
    <xf numFmtId="0" fontId="214" fillId="0" borderId="0"/>
    <xf numFmtId="9" fontId="166" fillId="0" borderId="0" applyFont="0" applyFill="0" applyBorder="0" applyAlignment="0" applyProtection="0"/>
    <xf numFmtId="9" fontId="166" fillId="0" borderId="0" applyFont="0" applyFill="0" applyBorder="0" applyAlignment="0" applyProtection="0"/>
    <xf numFmtId="9" fontId="215" fillId="0" borderId="0" applyFont="0" applyFill="0" applyBorder="0" applyAlignment="0" applyProtection="0">
      <alignment vertical="top"/>
    </xf>
    <xf numFmtId="0" fontId="156" fillId="0" borderId="0">
      <alignment vertical="top"/>
    </xf>
    <xf numFmtId="9" fontId="156" fillId="0" borderId="0" applyFont="0" applyFill="0" applyBorder="0" applyAlignment="0" applyProtection="0">
      <alignment vertical="top"/>
    </xf>
    <xf numFmtId="43" fontId="156"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0" fontId="151" fillId="0" borderId="0"/>
    <xf numFmtId="0" fontId="9"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43" fontId="156" fillId="0" borderId="0" applyFont="0" applyFill="0" applyBorder="0" applyAlignment="0" applyProtection="0"/>
    <xf numFmtId="0" fontId="156" fillId="0" borderId="0">
      <alignment vertical="top"/>
    </xf>
    <xf numFmtId="9" fontId="156" fillId="0" borderId="0" applyFont="0" applyFill="0" applyBorder="0" applyAlignment="0" applyProtection="0">
      <alignment vertical="top"/>
    </xf>
    <xf numFmtId="43" fontId="9" fillId="0" borderId="0" applyFont="0" applyFill="0" applyBorder="0" applyAlignment="0" applyProtection="0"/>
    <xf numFmtId="0" fontId="150" fillId="59" borderId="0" applyNumberFormat="0" applyBorder="0" applyAlignment="0" applyProtection="0"/>
    <xf numFmtId="0" fontId="150" fillId="71" borderId="0" applyNumberFormat="0" applyBorder="0" applyAlignment="0" applyProtection="0"/>
    <xf numFmtId="0" fontId="150" fillId="71" borderId="0" applyNumberFormat="0" applyBorder="0" applyAlignment="0" applyProtection="0"/>
    <xf numFmtId="0" fontId="154" fillId="59" borderId="0" applyNumberFormat="0" applyBorder="0" applyAlignment="0" applyProtection="0"/>
    <xf numFmtId="0" fontId="178" fillId="60" borderId="0" applyNumberFormat="0" applyBorder="0" applyAlignment="0" applyProtection="0"/>
    <xf numFmtId="43" fontId="157" fillId="0" borderId="0" applyFont="0" applyFill="0" applyBorder="0" applyAlignment="0" applyProtection="0"/>
    <xf numFmtId="0" fontId="44" fillId="0" borderId="0"/>
    <xf numFmtId="0" fontId="44" fillId="0" borderId="0"/>
    <xf numFmtId="9" fontId="156" fillId="0" borderId="0" applyFont="0" applyFill="0" applyBorder="0" applyAlignment="0" applyProtection="0"/>
    <xf numFmtId="0" fontId="154" fillId="56" borderId="0" applyNumberFormat="0" applyBorder="0" applyAlignment="0" applyProtection="0"/>
    <xf numFmtId="0" fontId="167" fillId="27" borderId="0" applyNumberFormat="0" applyBorder="0" applyAlignment="0" applyProtection="0"/>
    <xf numFmtId="43" fontId="150" fillId="0" borderId="0" applyFont="0" applyFill="0" applyBorder="0" applyAlignment="0" applyProtection="0"/>
    <xf numFmtId="0" fontId="150" fillId="32" borderId="168" applyNumberFormat="0" applyFont="0" applyAlignment="0" applyProtection="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3"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0" fillId="0" borderId="0" xfId="0"/>
    <xf numFmtId="0" fontId="0" fillId="0" borderId="0" xfId="0"/>
    <xf numFmtId="1" fontId="10" fillId="0" borderId="0" xfId="1" applyNumberFormat="1" applyFont="1"/>
    <xf numFmtId="0" fontId="208" fillId="0" borderId="0" xfId="5278" applyFont="1" applyFill="1" applyBorder="1"/>
    <xf numFmtId="0" fontId="209" fillId="0" borderId="0" xfId="5278" applyFont="1" applyFill="1" applyBorder="1"/>
    <xf numFmtId="49" fontId="10" fillId="0" borderId="0" xfId="477" applyNumberFormat="1" applyFont="1" applyFill="1" applyBorder="1" applyAlignment="1" applyProtection="1">
      <alignment horizontal="center"/>
    </xf>
    <xf numFmtId="0" fontId="10" fillId="0" borderId="0" xfId="477" applyFont="1" applyFill="1" applyBorder="1" applyProtection="1"/>
    <xf numFmtId="0" fontId="10" fillId="0" borderId="0" xfId="477" applyFont="1" applyFill="1" applyBorder="1" applyAlignment="1" applyProtection="1">
      <alignment horizontal="center"/>
    </xf>
    <xf numFmtId="0" fontId="10" fillId="0" borderId="0" xfId="477" quotePrefix="1" applyFont="1" applyFill="1" applyAlignment="1">
      <alignment horizontal="center"/>
    </xf>
    <xf numFmtId="182" fontId="209" fillId="0" borderId="0" xfId="1346" applyNumberFormat="1" applyFont="1" applyFill="1" applyBorder="1" applyAlignment="1">
      <alignment horizontal="center" vertical="center" wrapText="1"/>
    </xf>
    <xf numFmtId="0" fontId="208" fillId="0" borderId="72" xfId="5278" quotePrefix="1" applyFont="1" applyFill="1" applyBorder="1" applyAlignment="1">
      <alignment horizontal="left"/>
    </xf>
    <xf numFmtId="0" fontId="10" fillId="0" borderId="0" xfId="477" applyFont="1" applyFill="1" applyAlignment="1" applyProtection="1">
      <alignment horizontal="center" shrinkToFit="1"/>
    </xf>
    <xf numFmtId="0" fontId="10" fillId="0" borderId="72" xfId="668" quotePrefix="1" applyFont="1" applyFill="1" applyBorder="1" applyAlignment="1">
      <alignment horizontal="center"/>
    </xf>
    <xf numFmtId="0" fontId="10" fillId="0" borderId="72" xfId="668" applyFont="1" applyFill="1" applyBorder="1"/>
    <xf numFmtId="0" fontId="10" fillId="0" borderId="72" xfId="668" applyFont="1" applyFill="1" applyBorder="1" applyAlignment="1">
      <alignment horizontal="center"/>
    </xf>
    <xf numFmtId="37" fontId="11" fillId="0" borderId="72" xfId="668" applyNumberFormat="1" applyFont="1" applyFill="1" applyBorder="1"/>
    <xf numFmtId="37" fontId="10" fillId="0" borderId="72" xfId="668" applyNumberFormat="1" applyFont="1" applyFill="1" applyBorder="1" applyAlignment="1">
      <alignment wrapText="1"/>
    </xf>
    <xf numFmtId="0" fontId="10" fillId="0" borderId="0" xfId="477" applyFont="1" applyFill="1" applyAlignment="1" applyProtection="1">
      <alignment horizontal="center"/>
    </xf>
    <xf numFmtId="0" fontId="10" fillId="0" borderId="0" xfId="722" applyFont="1" applyFill="1" applyProtection="1"/>
    <xf numFmtId="37" fontId="10" fillId="0" borderId="72" xfId="668" applyNumberFormat="1" applyFont="1" applyFill="1" applyBorder="1"/>
    <xf numFmtId="0" fontId="208" fillId="0" borderId="74" xfId="5278" quotePrefix="1" applyFont="1" applyFill="1" applyBorder="1" applyAlignment="1">
      <alignment horizontal="left"/>
    </xf>
    <xf numFmtId="0" fontId="10" fillId="0" borderId="0" xfId="477" quotePrefix="1" applyFont="1" applyFill="1" applyAlignment="1" applyProtection="1">
      <alignment horizontal="center"/>
    </xf>
    <xf numFmtId="0" fontId="208" fillId="0" borderId="0" xfId="5278" applyFont="1" applyFill="1"/>
    <xf numFmtId="0" fontId="10" fillId="0" borderId="0" xfId="1346" quotePrefix="1" applyFont="1" applyFill="1" applyBorder="1" applyAlignment="1">
      <alignment horizontal="center"/>
    </xf>
    <xf numFmtId="0" fontId="10" fillId="0" borderId="0" xfId="1346" applyFont="1" applyFill="1" applyBorder="1" applyAlignment="1">
      <alignment horizontal="center"/>
    </xf>
    <xf numFmtId="37" fontId="10" fillId="0" borderId="0" xfId="1346" applyNumberFormat="1" applyFont="1" applyFill="1" applyBorder="1"/>
    <xf numFmtId="37" fontId="10" fillId="0" borderId="0" xfId="1346" applyNumberFormat="1" applyFont="1" applyFill="1" applyBorder="1" applyAlignment="1">
      <alignment horizontal="right" wrapText="1"/>
    </xf>
    <xf numFmtId="0" fontId="10" fillId="0" borderId="0" xfId="1346" applyFont="1" applyFill="1" applyBorder="1"/>
    <xf numFmtId="37" fontId="10" fillId="0" borderId="0" xfId="1346" applyNumberFormat="1" applyFont="1" applyFill="1" applyBorder="1" applyAlignment="1">
      <alignment wrapText="1"/>
    </xf>
    <xf numFmtId="0" fontId="210" fillId="0" borderId="0" xfId="668" applyFont="1" applyFill="1" applyAlignment="1">
      <alignment horizontal="left" vertical="justify"/>
    </xf>
    <xf numFmtId="0" fontId="10" fillId="0" borderId="0" xfId="5279" applyFont="1" applyAlignment="1"/>
    <xf numFmtId="0" fontId="10" fillId="0" borderId="0" xfId="5279" applyFont="1"/>
    <xf numFmtId="0" fontId="11" fillId="0" borderId="0" xfId="5279" applyFont="1"/>
    <xf numFmtId="181" fontId="10" fillId="0" borderId="0" xfId="219" applyNumberFormat="1" applyFont="1"/>
    <xf numFmtId="0" fontId="10" fillId="0" borderId="72" xfId="5279" applyFont="1" applyFill="1" applyBorder="1"/>
    <xf numFmtId="181" fontId="10" fillId="0" borderId="72" xfId="219" applyNumberFormat="1" applyFont="1" applyFill="1" applyBorder="1"/>
    <xf numFmtId="0" fontId="10" fillId="0" borderId="0" xfId="5279" applyFont="1" applyFill="1"/>
    <xf numFmtId="37" fontId="211" fillId="0" borderId="0" xfId="1346" applyNumberFormat="1" applyFont="1" applyFill="1" applyBorder="1"/>
    <xf numFmtId="0" fontId="10" fillId="0" borderId="74" xfId="5279" applyFont="1" applyFill="1" applyBorder="1"/>
    <xf numFmtId="37" fontId="10" fillId="0" borderId="74" xfId="5279" applyNumberFormat="1" applyFont="1" applyFill="1" applyBorder="1"/>
    <xf numFmtId="181" fontId="10" fillId="0" borderId="158" xfId="5279" applyNumberFormat="1" applyFont="1" applyFill="1" applyBorder="1"/>
    <xf numFmtId="37" fontId="11" fillId="0" borderId="72" xfId="5279" applyNumberFormat="1" applyFont="1" applyFill="1" applyBorder="1"/>
    <xf numFmtId="0" fontId="10" fillId="0" borderId="0" xfId="668" applyFont="1" applyFill="1" applyBorder="1" applyAlignment="1">
      <alignment horizontal="center"/>
    </xf>
    <xf numFmtId="181" fontId="10" fillId="0" borderId="0" xfId="1" applyNumberFormat="1" applyFont="1"/>
    <xf numFmtId="0" fontId="10" fillId="24" borderId="175" xfId="5279" applyFont="1" applyFill="1" applyBorder="1" applyAlignment="1"/>
    <xf numFmtId="0" fontId="10" fillId="24" borderId="177" xfId="5279" applyFont="1" applyFill="1" applyBorder="1" applyAlignment="1"/>
    <xf numFmtId="0" fontId="10" fillId="24" borderId="178" xfId="5279" applyFont="1" applyFill="1" applyBorder="1" applyAlignment="1"/>
    <xf numFmtId="0" fontId="10" fillId="24" borderId="176" xfId="5279" applyFont="1" applyFill="1" applyBorder="1" applyAlignment="1"/>
    <xf numFmtId="183" fontId="10" fillId="0" borderId="72" xfId="668" applyNumberFormat="1" applyFont="1" applyFill="1" applyBorder="1"/>
    <xf numFmtId="183" fontId="10" fillId="0" borderId="158" xfId="5279" applyNumberFormat="1" applyFont="1" applyFill="1" applyBorder="1"/>
    <xf numFmtId="183" fontId="11" fillId="0" borderId="72" xfId="5279" applyNumberFormat="1" applyFont="1" applyFill="1" applyBorder="1"/>
    <xf numFmtId="183" fontId="11" fillId="0" borderId="72" xfId="668" applyNumberFormat="1" applyFont="1" applyFill="1" applyBorder="1"/>
    <xf numFmtId="183" fontId="10" fillId="0" borderId="0" xfId="5279" applyNumberFormat="1" applyFont="1" applyFill="1"/>
    <xf numFmtId="183" fontId="10" fillId="0" borderId="72" xfId="219" applyNumberFormat="1" applyFont="1" applyFill="1" applyBorder="1"/>
    <xf numFmtId="183" fontId="10" fillId="0" borderId="0" xfId="1" applyNumberFormat="1" applyFont="1"/>
    <xf numFmtId="183" fontId="10" fillId="0" borderId="74" xfId="5279" applyNumberFormat="1" applyFont="1" applyFill="1" applyBorder="1"/>
    <xf numFmtId="183" fontId="10" fillId="0" borderId="0" xfId="1346" applyNumberFormat="1" applyFont="1" applyFill="1" applyBorder="1"/>
    <xf numFmtId="0" fontId="11" fillId="24" borderId="175" xfId="5279" applyFont="1" applyFill="1" applyBorder="1" applyAlignment="1">
      <alignment horizontal="center"/>
    </xf>
    <xf numFmtId="0" fontId="11" fillId="24" borderId="177" xfId="5279" applyFont="1" applyFill="1" applyBorder="1" applyAlignment="1">
      <alignment horizontal="center"/>
    </xf>
    <xf numFmtId="0" fontId="11" fillId="24" borderId="179" xfId="5279" applyFont="1" applyFill="1" applyBorder="1" applyAlignment="1">
      <alignment horizontal="center"/>
    </xf>
    <xf numFmtId="0" fontId="11" fillId="24" borderId="180" xfId="5279" applyFont="1" applyFill="1" applyBorder="1" applyAlignment="1">
      <alignment horizontal="center"/>
    </xf>
    <xf numFmtId="0" fontId="9" fillId="0" borderId="0" xfId="426" applyFont="1" applyFill="1"/>
    <xf numFmtId="0" fontId="11" fillId="24" borderId="175" xfId="5279" applyFont="1" applyFill="1" applyBorder="1" applyAlignment="1"/>
    <xf numFmtId="0" fontId="11" fillId="24" borderId="177" xfId="5279" applyFont="1" applyFill="1" applyBorder="1" applyAlignment="1"/>
    <xf numFmtId="0" fontId="11" fillId="24" borderId="179" xfId="5279" applyFont="1" applyFill="1" applyBorder="1" applyAlignment="1"/>
    <xf numFmtId="0" fontId="10" fillId="0" borderId="0" xfId="668" quotePrefix="1" applyFont="1" applyFill="1" applyBorder="1" applyAlignment="1">
      <alignment horizontal="center"/>
    </xf>
    <xf numFmtId="0" fontId="10" fillId="0" borderId="0" xfId="668" applyFont="1" applyFill="1" applyBorder="1"/>
    <xf numFmtId="37" fontId="11" fillId="0" borderId="0" xfId="668" applyNumberFormat="1" applyFont="1" applyFill="1" applyBorder="1"/>
    <xf numFmtId="183" fontId="11" fillId="0" borderId="0" xfId="668" applyNumberFormat="1" applyFont="1" applyFill="1" applyBorder="1"/>
    <xf numFmtId="37" fontId="10" fillId="0" borderId="0" xfId="668" applyNumberFormat="1" applyFont="1" applyFill="1" applyBorder="1"/>
    <xf numFmtId="37" fontId="10" fillId="0" borderId="0" xfId="668" applyNumberFormat="1" applyFont="1" applyFill="1" applyBorder="1" applyAlignment="1">
      <alignment wrapText="1"/>
    </xf>
    <xf numFmtId="0" fontId="10" fillId="0" borderId="74" xfId="668" quotePrefix="1" applyFont="1" applyFill="1" applyBorder="1" applyAlignment="1">
      <alignment horizontal="center"/>
    </xf>
    <xf numFmtId="0" fontId="10" fillId="0" borderId="74" xfId="668" applyFont="1" applyFill="1" applyBorder="1"/>
    <xf numFmtId="0" fontId="10" fillId="0" borderId="74" xfId="668" applyFont="1" applyFill="1" applyBorder="1" applyAlignment="1">
      <alignment horizontal="center"/>
    </xf>
    <xf numFmtId="37" fontId="10" fillId="0" borderId="74" xfId="668" applyNumberFormat="1" applyFont="1" applyFill="1" applyBorder="1"/>
    <xf numFmtId="183" fontId="10" fillId="0" borderId="74" xfId="668" applyNumberFormat="1" applyFont="1" applyFill="1" applyBorder="1"/>
    <xf numFmtId="37" fontId="10" fillId="0" borderId="74" xfId="668" applyNumberFormat="1" applyFont="1" applyFill="1" applyBorder="1" applyAlignment="1">
      <alignment wrapText="1"/>
    </xf>
    <xf numFmtId="0" fontId="56" fillId="0" borderId="0" xfId="3" applyFont="1" applyAlignment="1" applyProtection="1">
      <alignment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1" fillId="0" borderId="0" xfId="5279" applyFont="1" applyAlignment="1">
      <alignment horizontal="center"/>
    </xf>
    <xf numFmtId="0" fontId="11" fillId="24" borderId="175" xfId="5279" applyFont="1" applyFill="1" applyBorder="1" applyAlignment="1">
      <alignment horizontal="center" wrapText="1"/>
    </xf>
    <xf numFmtId="0" fontId="11" fillId="24" borderId="177" xfId="5279" applyFont="1" applyFill="1" applyBorder="1" applyAlignment="1">
      <alignment horizontal="center" wrapText="1"/>
    </xf>
    <xf numFmtId="0" fontId="11" fillId="24" borderId="179" xfId="5279" applyFont="1" applyFill="1" applyBorder="1" applyAlignment="1">
      <alignment horizontal="center" wrapText="1"/>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5367">
    <cellStyle name="20% - Accent1 2" xfId="33" xr:uid="{ACAC145C-E08A-4AA7-BD00-E76ED34A537C}"/>
    <cellStyle name="20% - Accent1 2 2" xfId="34" xr:uid="{1FA9B1B0-C0F8-43E0-ABFA-2F655F5698FC}"/>
    <cellStyle name="20% - Accent1 2 2 2" xfId="2239" xr:uid="{7B0CDFD4-4E66-429A-BDED-F5556903BEF3}"/>
    <cellStyle name="20% - Accent1 2 2 3" xfId="2108" xr:uid="{BF4D0640-DE4E-4AB5-A5E4-41D3617D0232}"/>
    <cellStyle name="20% - Accent1 2 3" xfId="35" xr:uid="{989FF1B9-C0F2-486D-97F8-95BED5255383}"/>
    <cellStyle name="20% - Accent1 2 3 10" xfId="3238" xr:uid="{925A8143-119E-411E-818A-B743F2F6A80A}"/>
    <cellStyle name="20% - Accent1 2 3 2" xfId="816" xr:uid="{2A26DCF7-F8E3-4CC3-8C58-270004CCABA1}"/>
    <cellStyle name="20% - Accent1 2 3 2 2" xfId="1086" xr:uid="{7A7A68BF-ED72-46B2-AE31-3E1E061AC6AD}"/>
    <cellStyle name="20% - Accent1 2 3 2 2 2" xfId="1503" xr:uid="{35E5A9D2-33A3-4714-A7EC-C9FB1075E755}"/>
    <cellStyle name="20% - Accent1 2 3 2 2 2 2" xfId="2672" xr:uid="{ADD52789-3C8E-4843-8614-E0480338595D}"/>
    <cellStyle name="20% - Accent1 2 3 2 2 2 2 2" xfId="4742" xr:uid="{DCB8FFF1-3AAA-4FF9-A097-D5CDC281BB4B}"/>
    <cellStyle name="20% - Accent1 2 3 2 2 2 3" xfId="3838" xr:uid="{EF45CE0E-D738-4F52-868B-C10C571A3CD8}"/>
    <cellStyle name="20% - Accent1 2 3 2 2 3" xfId="1909" xr:uid="{6B79A60E-A9D4-4657-A73A-592AE62CCF47}"/>
    <cellStyle name="20% - Accent1 2 3 2 2 3 2" xfId="3055" xr:uid="{40CAA562-2C4A-4BF1-ADC7-40FA5C33A3C9}"/>
    <cellStyle name="20% - Accent1 2 3 2 2 3 2 2" xfId="5104" xr:uid="{DAF29519-4786-46FB-A37B-849B4E02B4D0}"/>
    <cellStyle name="20% - Accent1 2 3 2 2 3 3" xfId="4226" xr:uid="{28A8FB3D-16A7-4445-909D-04A6CB9FB9C3}"/>
    <cellStyle name="20% - Accent1 2 3 2 2 4" xfId="2404" xr:uid="{C4CA1855-451C-4089-8239-C6B58275478A}"/>
    <cellStyle name="20% - Accent1 2 3 2 2 4 2" xfId="4505" xr:uid="{0F433204-400F-4C81-A243-91BA4FA70F20}"/>
    <cellStyle name="20% - Accent1 2 3 2 2 5" xfId="3450" xr:uid="{23E2CA8F-A27E-433A-A58D-A9C2B90FCD41}"/>
    <cellStyle name="20% - Accent1 2 3 2 3" xfId="1193" xr:uid="{A720C468-4491-4DF8-B4BB-DD79FA4784CF}"/>
    <cellStyle name="20% - Accent1 2 3 2 3 2" xfId="1608" xr:uid="{BA7AC281-81E1-4473-B89D-AAAC9FBE46C9}"/>
    <cellStyle name="20% - Accent1 2 3 2 3 2 2" xfId="2775" xr:uid="{D0D67665-AA2A-47EA-9E8B-856FFD165699}"/>
    <cellStyle name="20% - Accent1 2 3 2 3 2 2 2" xfId="4845" xr:uid="{FE224236-FB1B-4081-B088-4E143D8F02F9}"/>
    <cellStyle name="20% - Accent1 2 3 2 3 2 3" xfId="3943" xr:uid="{86B6AA2A-FC4C-417E-9ACC-587F08F79F7F}"/>
    <cellStyle name="20% - Accent1 2 3 2 3 3" xfId="2014" xr:uid="{B55F2084-330C-4AF1-AAAD-5D49B584F1C7}"/>
    <cellStyle name="20% - Accent1 2 3 2 3 3 2" xfId="3160" xr:uid="{673FFF97-98DB-4E0F-8ADD-73AAC5676AE1}"/>
    <cellStyle name="20% - Accent1 2 3 2 3 3 2 2" xfId="5209" xr:uid="{A54446BF-B879-4E65-B110-E8AFA0B4E774}"/>
    <cellStyle name="20% - Accent1 2 3 2 3 3 3" xfId="4331" xr:uid="{3D1F284A-5A54-40E1-9931-A3CD82A428AF}"/>
    <cellStyle name="20% - Accent1 2 3 2 3 4" xfId="2538" xr:uid="{A1EAE8C1-21DD-4366-BDC5-29D38184E72E}"/>
    <cellStyle name="20% - Accent1 2 3 2 3 4 2" xfId="4617" xr:uid="{90BDC466-40ED-4F2A-9B59-39C95961CFBE}"/>
    <cellStyle name="20% - Accent1 2 3 2 3 5" xfId="3555" xr:uid="{9F73ABE4-D01A-4DF5-92E4-36EE87F088E5}"/>
    <cellStyle name="20% - Accent1 2 3 2 4" xfId="963" xr:uid="{0F59DFF1-2770-470A-94D4-45D1C7CA671C}"/>
    <cellStyle name="20% - Accent1 2 3 2 4 2" xfId="1398" xr:uid="{61D11D7F-B332-4D3E-BB58-853FB0679BE7}"/>
    <cellStyle name="20% - Accent1 2 3 2 4 2 2" xfId="2846" xr:uid="{66DBD803-153E-4796-BB08-78B2419CB9E8}"/>
    <cellStyle name="20% - Accent1 2 3 2 4 2 2 2" xfId="4904" xr:uid="{0134DEF0-DAB9-4521-B957-8F7B8CA14DB4}"/>
    <cellStyle name="20% - Accent1 2 3 2 4 2 3" xfId="3733" xr:uid="{E15D9A9C-3096-471C-8BC1-18D5D36B88AF}"/>
    <cellStyle name="20% - Accent1 2 3 2 4 3" xfId="1804" xr:uid="{78C8FBEB-F6ED-4E45-97B0-A7ED0FB29707}"/>
    <cellStyle name="20% - Accent1 2 3 2 4 3 2" xfId="4121" xr:uid="{A2A241D2-CC1B-48FF-B5A9-0BDD209F8EA4}"/>
    <cellStyle name="20% - Accent1 2 3 2 4 4" xfId="2479" xr:uid="{F2F5CA2A-EA4C-4106-A470-223E85826AC5}"/>
    <cellStyle name="20% - Accent1 2 3 2 4 4 2" xfId="4573" xr:uid="{079FA7A1-CD31-4036-B78B-9DEEC0CDAB9B}"/>
    <cellStyle name="20% - Accent1 2 3 2 4 5" xfId="3345" xr:uid="{15A13854-17E3-4FF9-941A-9F393AA61935}"/>
    <cellStyle name="20% - Accent1 2 3 2 5" xfId="1324" xr:uid="{44D3F02C-1153-4B3A-9395-7ADC5E1B6D4F}"/>
    <cellStyle name="20% - Accent1 2 3 2 5 2" xfId="2509" xr:uid="{BA64E1B3-5B14-4A21-9EA3-C4ACB73A9F97}"/>
    <cellStyle name="20% - Accent1 2 3 2 5 2 2" xfId="4595" xr:uid="{4C5C7696-FCE8-4D22-98DD-982E7781D83B}"/>
    <cellStyle name="20% - Accent1 2 3 2 5 3" xfId="3660" xr:uid="{60FD9CE0-2F41-432B-BD43-2802AB14A96E}"/>
    <cellStyle name="20% - Accent1 2 3 2 6" xfId="1731" xr:uid="{19BCF3FF-0E7A-4209-BEA2-A29D7581F10F}"/>
    <cellStyle name="20% - Accent1 2 3 2 6 2" xfId="2903" xr:uid="{E1D484C0-F906-49B4-90C3-A0D00CBC2C04}"/>
    <cellStyle name="20% - Accent1 2 3 2 6 2 2" xfId="4957" xr:uid="{088378CF-BC00-4E10-97A1-AB8FB1E64730}"/>
    <cellStyle name="20% - Accent1 2 3 2 6 3" xfId="4048" xr:uid="{73339193-6427-42B7-9015-0A20B216D7E0}"/>
    <cellStyle name="20% - Accent1 2 3 2 7" xfId="2848" xr:uid="{67B0586B-0811-4476-B444-645F38917D41}"/>
    <cellStyle name="20% - Accent1 2 3 2 7 2" xfId="4906" xr:uid="{98A7CAC1-B221-47A2-BC86-1DB7386E7784}"/>
    <cellStyle name="20% - Accent1 2 3 2 8" xfId="2212" xr:uid="{3F46DB55-3E52-4C20-9756-0104966EF1D5}"/>
    <cellStyle name="20% - Accent1 2 3 2 8 2" xfId="4433" xr:uid="{8C85B8C7-6F01-40CD-BA62-20207F33DD63}"/>
    <cellStyle name="20% - Accent1 2 3 2 9" xfId="3272" xr:uid="{7EF7780F-3FB9-46E6-BA0D-3D5861B8842C}"/>
    <cellStyle name="20% - Accent1 2 3 3" xfId="1001" xr:uid="{21A8D49B-78B4-41D6-8F45-5691766B6807}"/>
    <cellStyle name="20% - Accent1 2 3 3 2" xfId="1120" xr:uid="{E478084B-2A42-43B9-AA3B-05B806D7BAF0}"/>
    <cellStyle name="20% - Accent1 2 3 3 2 2" xfId="1537" xr:uid="{B2016C65-48F7-440D-B781-EE73AE4BB8AD}"/>
    <cellStyle name="20% - Accent1 2 3 3 2 2 2" xfId="2705" xr:uid="{E4A3A6BE-D954-4428-921F-F3E843FF4FF9}"/>
    <cellStyle name="20% - Accent1 2 3 3 2 2 2 2" xfId="4775" xr:uid="{C35FF9D3-F675-40EE-A9BF-6150405267DE}"/>
    <cellStyle name="20% - Accent1 2 3 3 2 2 3" xfId="3872" xr:uid="{C189910E-655C-482A-87E3-35E63AD894F9}"/>
    <cellStyle name="20% - Accent1 2 3 3 2 3" xfId="1943" xr:uid="{AFE85C4B-35E1-443F-BE32-D2D296E2DA38}"/>
    <cellStyle name="20% - Accent1 2 3 3 2 3 2" xfId="3089" xr:uid="{726660A3-60FE-442C-B464-D659E8F34358}"/>
    <cellStyle name="20% - Accent1 2 3 3 2 3 2 2" xfId="5138" xr:uid="{E7AC3A0C-7175-48A6-996C-F621131CE218}"/>
    <cellStyle name="20% - Accent1 2 3 3 2 3 3" xfId="4260" xr:uid="{911B9ACF-600A-47F4-86A6-6A190B50ED99}"/>
    <cellStyle name="20% - Accent1 2 3 3 2 4" xfId="2431" xr:uid="{683093F3-9EAC-498E-9965-E7A53AC08784}"/>
    <cellStyle name="20% - Accent1 2 3 3 2 4 2" xfId="4532" xr:uid="{762C7792-3D4B-4BE7-8999-F3749AB56A54}"/>
    <cellStyle name="20% - Accent1 2 3 3 2 5" xfId="3484" xr:uid="{E32FBB73-08AF-4590-806F-998401492E09}"/>
    <cellStyle name="20% - Accent1 2 3 3 3" xfId="1231" xr:uid="{0EC7EBF4-CACC-4D0A-BA15-ABCB00E4C3DB}"/>
    <cellStyle name="20% - Accent1 2 3 3 3 2" xfId="1642" xr:uid="{3937377C-9E41-4236-8710-B6481CF7A305}"/>
    <cellStyle name="20% - Accent1 2 3 3 3 2 2" xfId="3194" xr:uid="{C5EDFD8F-FFB6-4964-902F-45CBE78AD325}"/>
    <cellStyle name="20% - Accent1 2 3 3 3 2 2 2" xfId="5243" xr:uid="{1093EDA4-581C-49C6-B177-02FE56B4303B}"/>
    <cellStyle name="20% - Accent1 2 3 3 3 2 3" xfId="3977" xr:uid="{1D05D7FE-25DB-4258-9C24-A87D0EC98D2C}"/>
    <cellStyle name="20% - Accent1 2 3 3 3 3" xfId="2048" xr:uid="{2B76BFEA-4C8C-412C-BA99-88BD2EFE61D5}"/>
    <cellStyle name="20% - Accent1 2 3 3 3 3 2" xfId="4365" xr:uid="{6C50329A-3E80-4F48-A7A5-3F566464FE29}"/>
    <cellStyle name="20% - Accent1 2 3 3 3 4" xfId="2565" xr:uid="{DA2FBF9D-671F-4F9A-AF22-E31DBD6F27F7}"/>
    <cellStyle name="20% - Accent1 2 3 3 3 4 2" xfId="4644" xr:uid="{1E0FF034-B490-4F27-A1F7-14A7035EFEA1}"/>
    <cellStyle name="20% - Accent1 2 3 3 3 5" xfId="3589" xr:uid="{A22C18A0-398A-49E4-9EB4-FA712D4BD60C}"/>
    <cellStyle name="20% - Accent1 2 3 3 4" xfId="1432" xr:uid="{AEB2ABBD-DF94-4371-A8E7-E6CFA080983C}"/>
    <cellStyle name="20% - Accent1 2 3 3 4 2" xfId="2931" xr:uid="{8D74D67E-537A-4BFA-8286-CE14C1806F65}"/>
    <cellStyle name="20% - Accent1 2 3 3 4 2 2" xfId="4985" xr:uid="{9C5FFC3B-A6B5-412E-961B-9BD09F5851A4}"/>
    <cellStyle name="20% - Accent1 2 3 3 4 3" xfId="3767" xr:uid="{F4C365BA-90A7-453A-AC7F-5D6D3ED0C086}"/>
    <cellStyle name="20% - Accent1 2 3 3 5" xfId="1838" xr:uid="{559E7CEC-5F52-4D7F-9B09-A61BEBAFF734}"/>
    <cellStyle name="20% - Accent1 2 3 3 5 2" xfId="4155" xr:uid="{28964D95-3D67-474F-AACE-EB6BC382A662}"/>
    <cellStyle name="20% - Accent1 2 3 3 6" xfId="2240" xr:uid="{17C0725D-077F-42BB-8794-D21158DA4023}"/>
    <cellStyle name="20% - Accent1 2 3 3 6 2" xfId="4460" xr:uid="{C4B60121-173B-4B6D-98B8-C24913709DBE}"/>
    <cellStyle name="20% - Accent1 2 3 3 7" xfId="3379" xr:uid="{B7E54976-A3DC-48BC-8A22-75C928FAE240}"/>
    <cellStyle name="20% - Accent1 2 3 4" xfId="1061" xr:uid="{7929C1B9-E197-44DC-8051-5492D48712F4}"/>
    <cellStyle name="20% - Accent1 2 3 4 2" xfId="1478" xr:uid="{BE1AB31F-F091-472E-A0CF-67A3190BF272}"/>
    <cellStyle name="20% - Accent1 2 3 4 2 2" xfId="2658" xr:uid="{5BAC4E93-88BB-4217-BD16-469AB22B42E5}"/>
    <cellStyle name="20% - Accent1 2 3 4 2 2 2" xfId="4728" xr:uid="{6C7B19B3-8564-4E86-8A72-6CE4645C8726}"/>
    <cellStyle name="20% - Accent1 2 3 4 2 3" xfId="3813" xr:uid="{489782E2-CA21-4044-AE10-4C58EF13DE51}"/>
    <cellStyle name="20% - Accent1 2 3 4 3" xfId="1884" xr:uid="{5EEADCDA-8779-4E48-AF44-05FC039A562E}"/>
    <cellStyle name="20% - Accent1 2 3 4 3 2" xfId="3030" xr:uid="{33795EAB-3F5E-459B-AC03-01EB9955FD1D}"/>
    <cellStyle name="20% - Accent1 2 3 4 3 2 2" xfId="5080" xr:uid="{71B6FC8D-09E5-4450-9413-91D979F2FCD8}"/>
    <cellStyle name="20% - Accent1 2 3 4 3 3" xfId="4201" xr:uid="{25011A3D-DF44-40AB-AAAA-229EB486F3A5}"/>
    <cellStyle name="20% - Accent1 2 3 4 4" xfId="2376" xr:uid="{911A2CFE-4D3E-415A-817F-7E7919C7FC85}"/>
    <cellStyle name="20% - Accent1 2 3 4 4 2" xfId="4477" xr:uid="{6C9F22AE-C8CB-4AE8-995B-F2BB58F7D50C}"/>
    <cellStyle name="20% - Accent1 2 3 4 5" xfId="3425" xr:uid="{0CAF5AAF-FCAB-43C9-A8D6-79E562586587}"/>
    <cellStyle name="20% - Accent1 2 3 5" xfId="1166" xr:uid="{04A75956-DD4B-46E8-8A84-041FF356897F}"/>
    <cellStyle name="20% - Accent1 2 3 5 2" xfId="1583" xr:uid="{A1C01807-1112-459D-9514-A0B890829805}"/>
    <cellStyle name="20% - Accent1 2 3 5 2 2" xfId="2751" xr:uid="{2A842555-705B-4B20-AA02-CA16EF69ED38}"/>
    <cellStyle name="20% - Accent1 2 3 5 2 2 2" xfId="4821" xr:uid="{E9926025-24D6-45A5-86AB-2A0CA53E970A}"/>
    <cellStyle name="20% - Accent1 2 3 5 2 3" xfId="3918" xr:uid="{6550B7D7-4E7E-4D7E-B089-F056C34455A8}"/>
    <cellStyle name="20% - Accent1 2 3 5 3" xfId="1989" xr:uid="{ED6A8173-0A23-4CF7-8ACD-363193B669BF}"/>
    <cellStyle name="20% - Accent1 2 3 5 3 2" xfId="3135" xr:uid="{5A9C3F38-201E-4B24-8D6D-F5525D174EFC}"/>
    <cellStyle name="20% - Accent1 2 3 5 3 2 2" xfId="5184" xr:uid="{A01F8982-0DF4-41E4-BBBF-6E07E79512C4}"/>
    <cellStyle name="20% - Accent1 2 3 5 3 3" xfId="4306" xr:uid="{A487E04C-16DD-4847-8C94-3970A52E3708}"/>
    <cellStyle name="20% - Accent1 2 3 5 4" xfId="2450" xr:uid="{DB1A2924-8621-4DE6-BA8F-757E9A9468AC}"/>
    <cellStyle name="20% - Accent1 2 3 5 4 2" xfId="4551" xr:uid="{4164CD1E-8A94-48DA-8077-9A165F62ED4B}"/>
    <cellStyle name="20% - Accent1 2 3 5 5" xfId="3530" xr:uid="{43AD3D2D-A05E-466A-AC7C-6FA54E0A16B4}"/>
    <cellStyle name="20% - Accent1 2 3 6" xfId="914" xr:uid="{2B273F55-7209-45ED-BDD8-39B91BDAC63E}"/>
    <cellStyle name="20% - Accent1 2 3 6 2" xfId="1372" xr:uid="{1C1A2DFB-1807-407B-9746-077D253E4500}"/>
    <cellStyle name="20% - Accent1 2 3 6 2 2" xfId="2968" xr:uid="{4B0C5A5F-8C26-4BEC-9F23-60D22A3CD2A9}"/>
    <cellStyle name="20% - Accent1 2 3 6 2 2 2" xfId="5019" xr:uid="{AA250357-97E0-4E8F-A149-40D783B13599}"/>
    <cellStyle name="20% - Accent1 2 3 6 2 3" xfId="3708" xr:uid="{60DEDC2E-8FAB-4D83-9417-568CBCF65632}"/>
    <cellStyle name="20% - Accent1 2 3 6 3" xfId="1779" xr:uid="{7D190389-F0A6-427D-8C6C-60C1712690C9}"/>
    <cellStyle name="20% - Accent1 2 3 6 3 2" xfId="4096" xr:uid="{6FC3CD4F-B156-4D81-BAB3-1F2B36E8805F}"/>
    <cellStyle name="20% - Accent1 2 3 6 4" xfId="2596" xr:uid="{25A9C734-2A49-4910-900C-2FADF88F11B1}"/>
    <cellStyle name="20% - Accent1 2 3 6 4 2" xfId="4667" xr:uid="{9214DF26-6E16-488C-AAF1-92FCF16D3ECD}"/>
    <cellStyle name="20% - Accent1 2 3 6 5" xfId="3320" xr:uid="{262069B5-6483-4CD1-BF0A-EB4F9579C9E0}"/>
    <cellStyle name="20% - Accent1 2 3 7" xfId="1268" xr:uid="{05314835-85E6-4738-8C69-AD8E4C7CB30C}"/>
    <cellStyle name="20% - Accent1 2 3 7 2" xfId="2830" xr:uid="{8982BC44-B792-4739-84EB-B4F5B285429D}"/>
    <cellStyle name="20% - Accent1 2 3 7 2 2" xfId="4889" xr:uid="{3B360544-A103-4310-89E0-4DC1595E4C0C}"/>
    <cellStyle name="20% - Accent1 2 3 7 3" xfId="3626" xr:uid="{BD25F972-969C-457C-AB3D-3A2217C2625A}"/>
    <cellStyle name="20% - Accent1 2 3 8" xfId="1693" xr:uid="{DAD41F51-D8D7-4EDC-8D24-82151CA9793A}"/>
    <cellStyle name="20% - Accent1 2 3 8 2" xfId="4014" xr:uid="{6D1A252E-5EE2-4ADD-88F8-7B321BEE5637}"/>
    <cellStyle name="20% - Accent1 2 3 9" xfId="2109" xr:uid="{3932AB3C-D5C9-4EAC-BA07-12B70233CA0E}"/>
    <cellStyle name="20% - Accent1 2 3 9 2" xfId="4405" xr:uid="{28218E41-06C9-49B1-9122-9715D1E30B1D}"/>
    <cellStyle name="20% - Accent1 2 4" xfId="36" xr:uid="{F4E7FBE5-EA1F-44A4-A618-D6CCD4BCBAF8}"/>
    <cellStyle name="20% - Accent1 2 4 2" xfId="2241" xr:uid="{1583E88F-E127-4E82-8786-E384C293A4C5}"/>
    <cellStyle name="20% - Accent1 2 4 3" xfId="2110" xr:uid="{6B2085DC-AA91-44DA-B5D4-157EAD032A07}"/>
    <cellStyle name="20% - Accent1 2 5" xfId="37" xr:uid="{40630F6F-C46D-418E-94CB-DE5BC4E9AF90}"/>
    <cellStyle name="20% - Accent1 2 5 2" xfId="2242" xr:uid="{54EA25DC-A420-4E6A-B077-55DC0AE1AA1D}"/>
    <cellStyle name="20% - Accent1 2 5 3" xfId="2111" xr:uid="{F9943E37-4E96-4145-B500-3EEDDDBF80A6}"/>
    <cellStyle name="20% - Accent1 2 6" xfId="882" xr:uid="{5F2B056C-5834-47A6-80D5-D207B519DDF1}"/>
    <cellStyle name="20% - Accent1 2 6 2" xfId="2243" xr:uid="{EFED7D99-3E3A-43E8-A4C7-D67890E2890C}"/>
    <cellStyle name="20% - Accent1 2 6 3" xfId="2488" xr:uid="{9432DBB2-EBFC-4731-BA30-E547F040DB35}"/>
    <cellStyle name="20% - Accent1 2 6 4" xfId="2199" xr:uid="{4CC9BD94-37B4-49AB-A20E-D3F50B1800BF}"/>
    <cellStyle name="20% - Accent1 2 6 5" xfId="5355" xr:uid="{A9F581F2-08EA-4D2B-AEC5-5CD07D526EAE}"/>
    <cellStyle name="20% - Accent1 3" xfId="38" xr:uid="{AADDD67B-5D84-45C5-854E-2A4634DD6CA5}"/>
    <cellStyle name="20% - Accent1 3 2" xfId="2244" xr:uid="{F80958A1-B746-4D4D-B23D-F123D4ECE1FB}"/>
    <cellStyle name="20% - Accent1 3 3" xfId="2112" xr:uid="{AC83B239-CB52-4531-9E5C-C435F3F1673B}"/>
    <cellStyle name="20% - Accent1 4" xfId="39" xr:uid="{AE16860C-72D0-47A6-86D0-232BD5EF6893}"/>
    <cellStyle name="20% - Accent1 4 2" xfId="2245" xr:uid="{9E9760DD-C37B-4D46-AB8D-6ECE813A1C4D}"/>
    <cellStyle name="20% - Accent1 4 3" xfId="2113" xr:uid="{472F2D16-16CD-4E80-A96C-8AC911EC0911}"/>
    <cellStyle name="20% - Accent2 2" xfId="40" xr:uid="{B6AE7387-9FF1-461B-9BD2-4380DB0AA429}"/>
    <cellStyle name="20% - Accent2 2 2" xfId="41" xr:uid="{AC811E67-6BDB-4C2D-BB84-36FA3502D045}"/>
    <cellStyle name="20% - Accent2 2 3" xfId="42" xr:uid="{D5D7BEE6-4AC8-488E-9196-34FE4C2C9F20}"/>
    <cellStyle name="20% - Accent2 2 3 10" xfId="3239" xr:uid="{05C67FBC-6FAA-4160-9171-B51198912D61}"/>
    <cellStyle name="20% - Accent2 2 3 2" xfId="817" xr:uid="{6183753B-309A-4BAA-AC5C-DC051A98CCBC}"/>
    <cellStyle name="20% - Accent2 2 3 2 2" xfId="1087" xr:uid="{03005D15-1824-49D2-9CCB-5A815B803892}"/>
    <cellStyle name="20% - Accent2 2 3 2 2 2" xfId="1504" xr:uid="{C10BF188-1145-49FA-9CD7-57F307DC53F0}"/>
    <cellStyle name="20% - Accent2 2 3 2 2 2 2" xfId="2673" xr:uid="{3843A2DE-C546-4294-AE3F-2408458B200F}"/>
    <cellStyle name="20% - Accent2 2 3 2 2 2 2 2" xfId="4743" xr:uid="{BA941E9E-8430-47D3-BB89-70C43F75F1D8}"/>
    <cellStyle name="20% - Accent2 2 3 2 2 2 3" xfId="3839" xr:uid="{5A5F92EA-87CA-4AB6-9C86-F05F3CD802AE}"/>
    <cellStyle name="20% - Accent2 2 3 2 2 3" xfId="1910" xr:uid="{875B73EB-8C64-4612-99BC-91B0882CDF7F}"/>
    <cellStyle name="20% - Accent2 2 3 2 2 3 2" xfId="3056" xr:uid="{811280B6-5309-420A-9EE2-BDB869C29031}"/>
    <cellStyle name="20% - Accent2 2 3 2 2 3 2 2" xfId="5105" xr:uid="{B39ABD8C-6934-4250-B1D6-59768642C437}"/>
    <cellStyle name="20% - Accent2 2 3 2 2 3 3" xfId="4227" xr:uid="{7764EA34-AFC6-469A-B2C3-BFA1591F014C}"/>
    <cellStyle name="20% - Accent2 2 3 2 2 4" xfId="2405" xr:uid="{B0922CF7-0464-412A-A3B5-145B419C1C37}"/>
    <cellStyle name="20% - Accent2 2 3 2 2 4 2" xfId="4506" xr:uid="{6FB3D5B1-959F-41E6-BB0E-F80EEEFD0F63}"/>
    <cellStyle name="20% - Accent2 2 3 2 2 5" xfId="3451" xr:uid="{F2CACCE7-DE43-49D3-96CC-8280553EC91E}"/>
    <cellStyle name="20% - Accent2 2 3 2 3" xfId="1194" xr:uid="{95A15507-6C0B-4165-9C07-02CE5C13CFBA}"/>
    <cellStyle name="20% - Accent2 2 3 2 3 2" xfId="1609" xr:uid="{7FC52EAD-060E-423D-B4DB-7C614D34CABB}"/>
    <cellStyle name="20% - Accent2 2 3 2 3 2 2" xfId="3161" xr:uid="{D096DCDF-9466-4758-97F9-9CC6ACC8DC09}"/>
    <cellStyle name="20% - Accent2 2 3 2 3 2 2 2" xfId="5210" xr:uid="{22B1D2CD-F6BF-4F58-A1B8-98092FAD8A75}"/>
    <cellStyle name="20% - Accent2 2 3 2 3 2 3" xfId="3944" xr:uid="{AB0E5337-7607-4E14-B47E-DE2B0187CE11}"/>
    <cellStyle name="20% - Accent2 2 3 2 3 3" xfId="2015" xr:uid="{64ECE5DC-B6A5-4219-9116-C11F8BC79340}"/>
    <cellStyle name="20% - Accent2 2 3 2 3 3 2" xfId="4332" xr:uid="{78112BD0-71C2-4C03-A377-9F093395A44C}"/>
    <cellStyle name="20% - Accent2 2 3 2 3 4" xfId="2539" xr:uid="{5F0DEE5F-C9B7-427F-A622-DB96B11896E8}"/>
    <cellStyle name="20% - Accent2 2 3 2 3 4 2" xfId="4618" xr:uid="{94C729AC-9744-476A-A7EB-672C450C33F4}"/>
    <cellStyle name="20% - Accent2 2 3 2 3 5" xfId="3556" xr:uid="{E6041599-6599-458E-8A5F-6C0E005EE915}"/>
    <cellStyle name="20% - Accent2 2 3 2 4" xfId="964" xr:uid="{C89329DC-0EA6-44EC-B397-23E20A5C5C26}"/>
    <cellStyle name="20% - Accent2 2 3 2 4 2" xfId="1399" xr:uid="{0960ADE1-3705-4CF5-B72A-C488AAADA2C4}"/>
    <cellStyle name="20% - Accent2 2 3 2 4 2 2" xfId="2932" xr:uid="{300D42A4-FAC3-46FB-9877-DC38F9C68EDE}"/>
    <cellStyle name="20% - Accent2 2 3 2 4 2 2 2" xfId="4986" xr:uid="{63B383A4-B2CE-4AD3-981D-7B826C880D09}"/>
    <cellStyle name="20% - Accent2 2 3 2 4 2 3" xfId="3734" xr:uid="{BA3CFA5F-223F-44B9-BA13-684EA7778BD2}"/>
    <cellStyle name="20% - Accent2 2 3 2 4 3" xfId="1805" xr:uid="{7D6EEBA7-85AA-446C-A4F1-3F9ECF84E40B}"/>
    <cellStyle name="20% - Accent2 2 3 2 4 3 2" xfId="4122" xr:uid="{6D4DFE63-C3DA-46E4-A070-0C8AF676574C}"/>
    <cellStyle name="20% - Accent2 2 3 2 4 4" xfId="2602" xr:uid="{DAEF366B-3C92-4CF8-9B15-82357175A8F2}"/>
    <cellStyle name="20% - Accent2 2 3 2 4 4 2" xfId="4673" xr:uid="{13C7F70B-AC72-4272-A046-78B5EDC61C3F}"/>
    <cellStyle name="20% - Accent2 2 3 2 4 5" xfId="3346" xr:uid="{AB731426-7967-4DBB-AC6F-7C8EB8B59F8E}"/>
    <cellStyle name="20% - Accent2 2 3 2 5" xfId="1325" xr:uid="{375DB94C-A6B2-43CE-8F69-B878111E382D}"/>
    <cellStyle name="20% - Accent2 2 3 2 5 2" xfId="2904" xr:uid="{8DE6502A-C9C2-40BE-8D11-E50625D45C56}"/>
    <cellStyle name="20% - Accent2 2 3 2 5 2 2" xfId="4958" xr:uid="{43E89163-0EF4-44E4-9337-067E029EC2C6}"/>
    <cellStyle name="20% - Accent2 2 3 2 5 3" xfId="3661" xr:uid="{A7CE3761-7EA1-4FD7-A990-5F6DABEC819C}"/>
    <cellStyle name="20% - Accent2 2 3 2 6" xfId="1732" xr:uid="{DF8253EF-967D-4A74-9A67-50365FE3EE16}"/>
    <cellStyle name="20% - Accent2 2 3 2 6 2" xfId="4049" xr:uid="{73ADD211-CE67-4E60-B6CF-9998C5D3BAC7}"/>
    <cellStyle name="20% - Accent2 2 3 2 7" xfId="2213" xr:uid="{1398A682-4D45-4973-897C-1C2E49DA59AC}"/>
    <cellStyle name="20% - Accent2 2 3 2 7 2" xfId="4434" xr:uid="{FE694507-9891-4DB3-BB45-B2605C171B50}"/>
    <cellStyle name="20% - Accent2 2 3 2 8" xfId="3273" xr:uid="{81520C45-D7C5-41F6-97F9-4814722064E2}"/>
    <cellStyle name="20% - Accent2 2 3 3" xfId="1002" xr:uid="{DAF72143-BFF6-4875-B379-EAFE0AF5EC65}"/>
    <cellStyle name="20% - Accent2 2 3 3 2" xfId="1121" xr:uid="{59C0674F-B062-4ABC-9D12-B1F7F6C142B4}"/>
    <cellStyle name="20% - Accent2 2 3 3 2 2" xfId="1538" xr:uid="{A133BFCF-680F-4083-8E70-B892BC177546}"/>
    <cellStyle name="20% - Accent2 2 3 3 2 2 2" xfId="3090" xr:uid="{256FB934-173F-4416-9B1E-40544D719627}"/>
    <cellStyle name="20% - Accent2 2 3 3 2 2 2 2" xfId="5139" xr:uid="{D41D743F-8D93-4F55-A4BD-48690C59FB5D}"/>
    <cellStyle name="20% - Accent2 2 3 3 2 2 3" xfId="3873" xr:uid="{CCE00635-9DB5-4D99-9399-7C7CD0A9BD94}"/>
    <cellStyle name="20% - Accent2 2 3 3 2 3" xfId="1944" xr:uid="{4C40C876-CD8E-401D-8493-A10DAE6ABAA0}"/>
    <cellStyle name="20% - Accent2 2 3 3 2 3 2" xfId="4261" xr:uid="{F56F8C43-F0F6-4D7D-A48A-654C5143A163}"/>
    <cellStyle name="20% - Accent2 2 3 3 2 4" xfId="2706" xr:uid="{7DCAB3AA-2B47-450F-8AE0-D217A374A56F}"/>
    <cellStyle name="20% - Accent2 2 3 3 2 4 2" xfId="4776" xr:uid="{C995A538-A3BA-4D9B-8BA3-F2753008581F}"/>
    <cellStyle name="20% - Accent2 2 3 3 2 5" xfId="3485" xr:uid="{38CB2A6D-05E9-4654-BF52-799D589D41B9}"/>
    <cellStyle name="20% - Accent2 2 3 3 3" xfId="1232" xr:uid="{5A2D3C7F-3CEB-4CD7-A59F-88F63D567C5A}"/>
    <cellStyle name="20% - Accent2 2 3 3 3 2" xfId="1643" xr:uid="{CCA530D7-3156-454D-83E9-8D4AD8080208}"/>
    <cellStyle name="20% - Accent2 2 3 3 3 2 2" xfId="3195" xr:uid="{06F17675-64DA-4973-8D66-6F64A19B5CFD}"/>
    <cellStyle name="20% - Accent2 2 3 3 3 2 2 2" xfId="5244" xr:uid="{2982FD4B-81CD-43C2-8F67-C0C156A33AE0}"/>
    <cellStyle name="20% - Accent2 2 3 3 3 2 3" xfId="3978" xr:uid="{B2DE8390-AACC-4A7A-8B31-6D1D9E8AFF63}"/>
    <cellStyle name="20% - Accent2 2 3 3 3 3" xfId="2049" xr:uid="{8FF7CA76-0768-4DF8-BCFA-E7D6CE9D3DEC}"/>
    <cellStyle name="20% - Accent2 2 3 3 3 3 2" xfId="4366" xr:uid="{8A1DEEE7-0B44-43EC-A806-C6CA0D72CDAD}"/>
    <cellStyle name="20% - Accent2 2 3 3 3 4" xfId="2784" xr:uid="{E86F7FFC-8DDD-4FE1-85DC-818802D7D49E}"/>
    <cellStyle name="20% - Accent2 2 3 3 3 4 2" xfId="4854" xr:uid="{5021F9FA-1457-4AB2-B660-104A2F260BED}"/>
    <cellStyle name="20% - Accent2 2 3 3 3 5" xfId="3590" xr:uid="{51AD0E16-2E57-4F92-80FF-F8242B9095DF}"/>
    <cellStyle name="20% - Accent2 2 3 3 4" xfId="1433" xr:uid="{569CED39-794B-426A-B0CB-51618D7735E9}"/>
    <cellStyle name="20% - Accent2 2 3 3 4 2" xfId="2628" xr:uid="{EB9B2968-CE72-4542-88A3-2EA80DAE388A}"/>
    <cellStyle name="20% - Accent2 2 3 3 4 2 2" xfId="4698" xr:uid="{3B188850-E347-42BB-8E9E-86E8156D6064}"/>
    <cellStyle name="20% - Accent2 2 3 3 4 3" xfId="3768" xr:uid="{03934BE8-307C-43D1-B0CA-AEEF6CDBED71}"/>
    <cellStyle name="20% - Accent2 2 3 3 5" xfId="1839" xr:uid="{8BDA7524-E5C7-48BB-9B70-684D58885CAA}"/>
    <cellStyle name="20% - Accent2 2 3 3 5 2" xfId="2988" xr:uid="{85444162-6C13-4445-9B97-42D5401F4007}"/>
    <cellStyle name="20% - Accent2 2 3 3 5 2 2" xfId="5038" xr:uid="{DFF09EE3-1938-4062-9F13-37B4D8D2B270}"/>
    <cellStyle name="20% - Accent2 2 3 3 5 3" xfId="4156" xr:uid="{63EDD58C-E92E-4B6A-BD8A-C048B3623143}"/>
    <cellStyle name="20% - Accent2 2 3 3 6" xfId="2377" xr:uid="{592463CA-B970-4250-AF87-2163B4A89787}"/>
    <cellStyle name="20% - Accent2 2 3 3 6 2" xfId="4478" xr:uid="{48621311-87E1-4FB2-B938-6ABFFFF21822}"/>
    <cellStyle name="20% - Accent2 2 3 3 7" xfId="3380" xr:uid="{04C76D93-804D-4ACE-B6F1-106FB8105256}"/>
    <cellStyle name="20% - Accent2 2 3 4" xfId="1051" xr:uid="{403D3541-9183-4206-BCE2-D5602FDF4FF6}"/>
    <cellStyle name="20% - Accent2 2 3 4 2" xfId="1469" xr:uid="{F07B4139-AE0F-44FA-B630-61B265FF012F}"/>
    <cellStyle name="20% - Accent2 2 3 4 2 2" xfId="3021" xr:uid="{EE1AC61F-F30D-4B6B-BB28-754FECE58815}"/>
    <cellStyle name="20% - Accent2 2 3 4 2 2 2" xfId="5071" xr:uid="{33636A63-C4BE-4ED3-950B-61835BE85C04}"/>
    <cellStyle name="20% - Accent2 2 3 4 2 3" xfId="3804" xr:uid="{037DCE56-C012-4C6E-A790-29449FA0798B}"/>
    <cellStyle name="20% - Accent2 2 3 4 3" xfId="1875" xr:uid="{EDB34271-0520-47DA-8A7B-207253667A49}"/>
    <cellStyle name="20% - Accent2 2 3 4 3 2" xfId="4192" xr:uid="{590E5BD3-1864-4EB2-A962-E49FD8417FD7}"/>
    <cellStyle name="20% - Accent2 2 3 4 4" xfId="2451" xr:uid="{D0E7F393-93F9-42FE-B38C-B951963BD78A}"/>
    <cellStyle name="20% - Accent2 2 3 4 4 2" xfId="4552" xr:uid="{F153CC7A-D43D-4F15-AEA8-8C907B717105}"/>
    <cellStyle name="20% - Accent2 2 3 4 5" xfId="3416" xr:uid="{3ED53944-3C32-45E7-896F-75DEA369FAF2}"/>
    <cellStyle name="20% - Accent2 2 3 5" xfId="1157" xr:uid="{97FC20BE-7563-4B44-BA7A-A30B4C4D0E5E}"/>
    <cellStyle name="20% - Accent2 2 3 5 2" xfId="1574" xr:uid="{56BC7761-B2E3-486F-9888-7B1BDB878445}"/>
    <cellStyle name="20% - Accent2 2 3 5 2 2" xfId="3126" xr:uid="{89449452-25C4-482E-9FE6-9A5D2D5865DA}"/>
    <cellStyle name="20% - Accent2 2 3 5 2 2 2" xfId="5175" xr:uid="{329BDBE1-2571-406B-85E3-7441850306D9}"/>
    <cellStyle name="20% - Accent2 2 3 5 2 3" xfId="3909" xr:uid="{0125E214-6B33-4E35-BC15-E111A86C3692}"/>
    <cellStyle name="20% - Accent2 2 3 5 3" xfId="1980" xr:uid="{266B39AA-F982-4B20-96F5-BF26DFB715E2}"/>
    <cellStyle name="20% - Accent2 2 3 5 3 2" xfId="4297" xr:uid="{3790B362-D0C8-40A8-8E99-25EEE065C294}"/>
    <cellStyle name="20% - Accent2 2 3 5 4" xfId="2742" xr:uid="{9A621FD4-DA7A-4FDD-A1DA-60519A29519A}"/>
    <cellStyle name="20% - Accent2 2 3 5 4 2" xfId="4812" xr:uid="{DD28BE4F-F290-4FA7-B40F-6D0B7E183530}"/>
    <cellStyle name="20% - Accent2 2 3 5 5" xfId="3521" xr:uid="{C2040C13-F95F-4FE3-B55B-ECE0CC429271}"/>
    <cellStyle name="20% - Accent2 2 3 6" xfId="890" xr:uid="{896F2531-D006-4C49-94B5-00CFAC6EFD1B}"/>
    <cellStyle name="20% - Accent2 2 3 6 2" xfId="1363" xr:uid="{F381BFF6-3A1D-4A36-BAB7-10CC265A2347}"/>
    <cellStyle name="20% - Accent2 2 3 6 2 2" xfId="2949" xr:uid="{343C8C13-FCB7-464C-B2F9-07CC7D383D3F}"/>
    <cellStyle name="20% - Accent2 2 3 6 2 2 2" xfId="5002" xr:uid="{7CB7635E-BF8D-4478-A36A-6DA0610187B6}"/>
    <cellStyle name="20% - Accent2 2 3 6 2 3" xfId="3699" xr:uid="{770B95C6-AD63-432D-B015-C8265969EEAA}"/>
    <cellStyle name="20% - Accent2 2 3 6 3" xfId="1770" xr:uid="{1CBCEC11-7329-41A3-B169-573C5602A8D4}"/>
    <cellStyle name="20% - Accent2 2 3 6 3 2" xfId="4087" xr:uid="{AF056C86-4C49-4A33-8039-C78500CBCB90}"/>
    <cellStyle name="20% - Accent2 2 3 6 4" xfId="2470" xr:uid="{5B62D966-D444-48BB-B4D8-0889C45360DC}"/>
    <cellStyle name="20% - Accent2 2 3 6 4 2" xfId="4565" xr:uid="{668598D5-E2AD-45BE-B966-1F5B12A2DBD5}"/>
    <cellStyle name="20% - Accent2 2 3 6 5" xfId="3311" xr:uid="{DFD56763-C6B1-4D63-87C5-D5C8B7C63D57}"/>
    <cellStyle name="20% - Accent2 2 3 7" xfId="1269" xr:uid="{D3AB701E-7A4A-431D-B062-D99FD9330BE4}"/>
    <cellStyle name="20% - Accent2 2 3 7 2" xfId="2833" xr:uid="{509F8252-32CE-495C-977F-4A24D7B7E415}"/>
    <cellStyle name="20% - Accent2 2 3 7 2 2" xfId="4892" xr:uid="{99C0EAB9-DC2F-41D1-975D-72D1721F626B}"/>
    <cellStyle name="20% - Accent2 2 3 7 3" xfId="3627" xr:uid="{1D2C458A-E0F7-4DD4-9A8B-79DA16C09DEB}"/>
    <cellStyle name="20% - Accent2 2 3 8" xfId="1694" xr:uid="{F7A580CA-8D3A-441F-882C-8862F3A3B5DF}"/>
    <cellStyle name="20% - Accent2 2 3 8 2" xfId="4015" xr:uid="{01157CF4-3A51-4C47-8412-6732EFD31661}"/>
    <cellStyle name="20% - Accent2 2 3 9" xfId="2114" xr:uid="{BCD35493-7FC7-4D4B-B572-BDBBE2CC2E6A}"/>
    <cellStyle name="20% - Accent2 2 3 9 2" xfId="4406" xr:uid="{6061FAE0-5BA3-4D58-9A26-02F527F0665F}"/>
    <cellStyle name="20% - Accent2 2 4" xfId="43" xr:uid="{7CCAD3D4-E413-4357-8225-6F2207729D12}"/>
    <cellStyle name="20% - Accent2 2 5" xfId="44" xr:uid="{056531A8-C9E4-4D66-BBD9-618487DB10A7}"/>
    <cellStyle name="20% - Accent2 2 6" xfId="2246" xr:uid="{134EF6D7-6977-478B-A0FF-D4500BDC65D4}"/>
    <cellStyle name="20% - Accent2 3" xfId="45" xr:uid="{276EFF1C-0667-4EF1-AB49-F7AFA67D770C}"/>
    <cellStyle name="20% - Accent2 4" xfId="46" xr:uid="{9D149134-3528-4267-AD7D-09891F3D4A5D}"/>
    <cellStyle name="20% - Accent3 2" xfId="47" xr:uid="{D02A476C-BE7B-41CC-A609-A2B7428F5C09}"/>
    <cellStyle name="20% - Accent3 2 2" xfId="48" xr:uid="{1EBDE20A-A46D-4EAF-9299-BB35D37291BE}"/>
    <cellStyle name="20% - Accent3 2 3" xfId="49" xr:uid="{B03B019E-E62D-4450-AF30-567C16FE974F}"/>
    <cellStyle name="20% - Accent3 2 3 10" xfId="3240" xr:uid="{711ED5D8-C96F-44ED-9685-90A67BE10B6F}"/>
    <cellStyle name="20% - Accent3 2 3 2" xfId="818" xr:uid="{09DA3A72-DBC0-43E9-B238-3BE939E059CD}"/>
    <cellStyle name="20% - Accent3 2 3 2 2" xfId="1088" xr:uid="{A2F90AFD-A25D-45B8-8D58-CE63CA7BE077}"/>
    <cellStyle name="20% - Accent3 2 3 2 2 2" xfId="1505" xr:uid="{B223235A-C433-4BE5-8539-4072825F5286}"/>
    <cellStyle name="20% - Accent3 2 3 2 2 2 2" xfId="2674" xr:uid="{B0F65897-8961-4E78-84B0-32AD92A56B2A}"/>
    <cellStyle name="20% - Accent3 2 3 2 2 2 2 2" xfId="4744" xr:uid="{2FBEFDA5-D9ED-4F5A-8A3A-D8400E67C0C5}"/>
    <cellStyle name="20% - Accent3 2 3 2 2 2 3" xfId="3840" xr:uid="{850F3FB5-46B3-4853-88A4-94B3079B9C99}"/>
    <cellStyle name="20% - Accent3 2 3 2 2 3" xfId="1911" xr:uid="{60A70189-DD61-41A4-B251-41BB0DE33AED}"/>
    <cellStyle name="20% - Accent3 2 3 2 2 3 2" xfId="3057" xr:uid="{65A8BCD6-8AB9-4199-B144-0787111A8B11}"/>
    <cellStyle name="20% - Accent3 2 3 2 2 3 2 2" xfId="5106" xr:uid="{C33B6738-20D7-46B7-9754-7CA283C185BD}"/>
    <cellStyle name="20% - Accent3 2 3 2 2 3 3" xfId="4228" xr:uid="{CAA537AF-A3A4-4C54-9323-F62903FB1CA6}"/>
    <cellStyle name="20% - Accent3 2 3 2 2 4" xfId="2406" xr:uid="{58C2A3F8-7F45-44E0-89CB-14BC4481C640}"/>
    <cellStyle name="20% - Accent3 2 3 2 2 4 2" xfId="4507" xr:uid="{60F6590D-92C4-461F-A185-61DC6A03D5F3}"/>
    <cellStyle name="20% - Accent3 2 3 2 2 5" xfId="3452" xr:uid="{E953C3C5-6278-4CCC-9A81-50DD8269BB6C}"/>
    <cellStyle name="20% - Accent3 2 3 2 3" xfId="1195" xr:uid="{50AE22A0-5B58-481E-B3FC-53A22A525760}"/>
    <cellStyle name="20% - Accent3 2 3 2 3 2" xfId="1610" xr:uid="{9610D449-289A-497C-BD6A-CD750FA15647}"/>
    <cellStyle name="20% - Accent3 2 3 2 3 2 2" xfId="3162" xr:uid="{9DBEE197-F290-467C-8BE5-3E5F1FA74317}"/>
    <cellStyle name="20% - Accent3 2 3 2 3 2 2 2" xfId="5211" xr:uid="{BF9F11BA-89BA-43C8-8474-1021C4B8392A}"/>
    <cellStyle name="20% - Accent3 2 3 2 3 2 3" xfId="3945" xr:uid="{4EC583BD-2B25-433D-B545-C998EA51254B}"/>
    <cellStyle name="20% - Accent3 2 3 2 3 3" xfId="2016" xr:uid="{FDBA2070-50D3-4219-AC54-F7BC8AEAC9EE}"/>
    <cellStyle name="20% - Accent3 2 3 2 3 3 2" xfId="4333" xr:uid="{5F36324B-0D90-455D-8822-D9FD34FF52DC}"/>
    <cellStyle name="20% - Accent3 2 3 2 3 4" xfId="2540" xr:uid="{D9E264B0-A860-44BD-99C3-3928EE3F8B5A}"/>
    <cellStyle name="20% - Accent3 2 3 2 3 4 2" xfId="4619" xr:uid="{E717E5B4-3DC3-419A-B9CC-1A31D8545D89}"/>
    <cellStyle name="20% - Accent3 2 3 2 3 5" xfId="3557" xr:uid="{34D3A24D-B3E2-4315-91B1-4AF0CAAB456A}"/>
    <cellStyle name="20% - Accent3 2 3 2 4" xfId="965" xr:uid="{61CEDD79-07ED-434F-B784-2EF0D4E22819}"/>
    <cellStyle name="20% - Accent3 2 3 2 4 2" xfId="1400" xr:uid="{2B6EF4A3-1E37-48CC-B858-C07DC036A5D9}"/>
    <cellStyle name="20% - Accent3 2 3 2 4 2 2" xfId="2855" xr:uid="{5CF74711-DA55-427C-BDA2-5075CBCDC70A}"/>
    <cellStyle name="20% - Accent3 2 3 2 4 2 2 2" xfId="4912" xr:uid="{B99995F3-5C59-4023-BEB4-56EF35CB228C}"/>
    <cellStyle name="20% - Accent3 2 3 2 4 2 3" xfId="3735" xr:uid="{34E311D1-A4C8-41E1-9D18-3699098F43A8}"/>
    <cellStyle name="20% - Accent3 2 3 2 4 3" xfId="1806" xr:uid="{EEC54A11-5D24-48BF-ADAD-B66ABC8218AB}"/>
    <cellStyle name="20% - Accent3 2 3 2 4 3 2" xfId="4123" xr:uid="{4656BA61-9204-49E0-A2EF-4E95634AF5FC}"/>
    <cellStyle name="20% - Accent3 2 3 2 4 4" xfId="2480" xr:uid="{1544BC7A-735F-4B11-94D7-F251E54646D1}"/>
    <cellStyle name="20% - Accent3 2 3 2 4 4 2" xfId="4574" xr:uid="{77A6161A-AD64-4AE4-BEBE-513094635FBD}"/>
    <cellStyle name="20% - Accent3 2 3 2 4 5" xfId="3347" xr:uid="{447CFA17-A311-458D-A7D1-CD79886AA66A}"/>
    <cellStyle name="20% - Accent3 2 3 2 5" xfId="1326" xr:uid="{D9E04768-943B-4944-9FB1-57CD1CFC91E7}"/>
    <cellStyle name="20% - Accent3 2 3 2 5 2" xfId="2905" xr:uid="{73291A9F-C957-413E-9F54-4678A4612433}"/>
    <cellStyle name="20% - Accent3 2 3 2 5 2 2" xfId="4959" xr:uid="{2339AD4D-CE97-4A7F-9351-E5B5A80B0EC8}"/>
    <cellStyle name="20% - Accent3 2 3 2 5 3" xfId="3662" xr:uid="{E2C41E1A-7A22-42B2-BCDD-7B8822427544}"/>
    <cellStyle name="20% - Accent3 2 3 2 6" xfId="1733" xr:uid="{FBFAEE1F-7651-4690-A536-BA3DD8852D03}"/>
    <cellStyle name="20% - Accent3 2 3 2 6 2" xfId="4050" xr:uid="{11C76D72-6C07-47FD-B9D4-4EACF8CC40A8}"/>
    <cellStyle name="20% - Accent3 2 3 2 7" xfId="2214" xr:uid="{8B736CD2-142C-4A0E-8418-FE3BBFDEEB9A}"/>
    <cellStyle name="20% - Accent3 2 3 2 7 2" xfId="4435" xr:uid="{9E9A27C8-6889-44A6-B284-4FD6187AFFF8}"/>
    <cellStyle name="20% - Accent3 2 3 2 8" xfId="3274" xr:uid="{2CF5CE27-485C-4D53-BDC7-057CA2BF74E9}"/>
    <cellStyle name="20% - Accent3 2 3 3" xfId="1003" xr:uid="{59CDFE15-8A88-46A5-90F6-E2F138BBDA6F}"/>
    <cellStyle name="20% - Accent3 2 3 3 2" xfId="1122" xr:uid="{25DEE098-F50A-4041-BCE5-110E2580D180}"/>
    <cellStyle name="20% - Accent3 2 3 3 2 2" xfId="1539" xr:uid="{B7B12BC1-AB87-4C46-8E36-528B178463BE}"/>
    <cellStyle name="20% - Accent3 2 3 3 2 2 2" xfId="3091" xr:uid="{8677C703-183E-4389-812F-B227A6AC8AEE}"/>
    <cellStyle name="20% - Accent3 2 3 3 2 2 2 2" xfId="5140" xr:uid="{DE71F0AF-463B-453C-8A0A-ACBCADBFAFC5}"/>
    <cellStyle name="20% - Accent3 2 3 3 2 2 3" xfId="3874" xr:uid="{976399A8-F91F-4F5C-8249-45DA6D480DEF}"/>
    <cellStyle name="20% - Accent3 2 3 3 2 3" xfId="1945" xr:uid="{24000A98-8573-4CCF-BA48-A209B2651B5B}"/>
    <cellStyle name="20% - Accent3 2 3 3 2 3 2" xfId="4262" xr:uid="{0D3E09CD-63ED-4195-A9C4-1B4652EB99CB}"/>
    <cellStyle name="20% - Accent3 2 3 3 2 4" xfId="2707" xr:uid="{40F6BDFB-44EC-4E46-87FD-F2F932442046}"/>
    <cellStyle name="20% - Accent3 2 3 3 2 4 2" xfId="4777" xr:uid="{F39DFC8E-EECB-4667-9223-008876774C5F}"/>
    <cellStyle name="20% - Accent3 2 3 3 2 5" xfId="3486" xr:uid="{C186AA9E-253D-4098-BB5D-B5EA5AFC33B4}"/>
    <cellStyle name="20% - Accent3 2 3 3 3" xfId="1233" xr:uid="{EBFCD795-789E-4ED2-92E9-D02D6CDAC629}"/>
    <cellStyle name="20% - Accent3 2 3 3 3 2" xfId="1644" xr:uid="{173AEEE2-46EF-409A-A808-B92AD91D336D}"/>
    <cellStyle name="20% - Accent3 2 3 3 3 2 2" xfId="3196" xr:uid="{BCB3DCFA-D7E0-4587-B015-5DC06DB1CED3}"/>
    <cellStyle name="20% - Accent3 2 3 3 3 2 2 2" xfId="5245" xr:uid="{65B33C20-0C63-43F2-9459-4788A4F5BF3F}"/>
    <cellStyle name="20% - Accent3 2 3 3 3 2 3" xfId="3979" xr:uid="{C7CBAEE0-F9EC-4874-B980-252B8733C460}"/>
    <cellStyle name="20% - Accent3 2 3 3 3 3" xfId="2050" xr:uid="{039FF4BE-2923-4279-BF0D-1CC0FB3FDD69}"/>
    <cellStyle name="20% - Accent3 2 3 3 3 3 2" xfId="4367" xr:uid="{53D76AEC-1C80-4D62-8692-D6BEFBDFD75D}"/>
    <cellStyle name="20% - Accent3 2 3 3 3 4" xfId="2785" xr:uid="{38EA4F5A-64EE-4D93-A721-7D90CEB4081F}"/>
    <cellStyle name="20% - Accent3 2 3 3 3 4 2" xfId="4855" xr:uid="{6693C71C-AD32-43EB-91A0-7B6864F01B81}"/>
    <cellStyle name="20% - Accent3 2 3 3 3 5" xfId="3591" xr:uid="{CD679AAD-55A6-44CB-BC70-2BBADC399D08}"/>
    <cellStyle name="20% - Accent3 2 3 3 4" xfId="1434" xr:uid="{97194332-7FC5-4930-B436-3A4A98FD90AE}"/>
    <cellStyle name="20% - Accent3 2 3 3 4 2" xfId="2629" xr:uid="{015F8768-73EE-499C-B20F-9F1B30F6726B}"/>
    <cellStyle name="20% - Accent3 2 3 3 4 2 2" xfId="4699" xr:uid="{C50A197D-A788-4EF4-A149-1F41A3ECCE86}"/>
    <cellStyle name="20% - Accent3 2 3 3 4 3" xfId="3769" xr:uid="{6CD0227C-F5A9-45E3-8A73-F509723A118D}"/>
    <cellStyle name="20% - Accent3 2 3 3 5" xfId="1840" xr:uid="{19135F84-8B0C-4E32-8B68-2B1F396806ED}"/>
    <cellStyle name="20% - Accent3 2 3 3 5 2" xfId="2989" xr:uid="{5F0B154D-D96B-41AC-853A-153065C49630}"/>
    <cellStyle name="20% - Accent3 2 3 3 5 2 2" xfId="5039" xr:uid="{DE29EA24-210A-4C1C-9B02-327DFAC341BE}"/>
    <cellStyle name="20% - Accent3 2 3 3 5 3" xfId="4157" xr:uid="{9B8D3760-D466-4DB0-B860-5D8E8C96DDC3}"/>
    <cellStyle name="20% - Accent3 2 3 3 6" xfId="2378" xr:uid="{92BE2DF9-8E7E-4CAF-BA9C-2DADCB67109E}"/>
    <cellStyle name="20% - Accent3 2 3 3 6 2" xfId="4479" xr:uid="{0F74F674-C1DF-4153-9EDC-C0EBD7F81B7B}"/>
    <cellStyle name="20% - Accent3 2 3 3 7" xfId="3381" xr:uid="{2AACD65B-5CE3-4101-887D-03072469F608}"/>
    <cellStyle name="20% - Accent3 2 3 4" xfId="1053" xr:uid="{48348DD5-51E2-4396-9C8B-BDE5F64011A1}"/>
    <cellStyle name="20% - Accent3 2 3 4 2" xfId="1470" xr:uid="{9990CBFA-C569-4586-AD50-0340D1CDDC5A}"/>
    <cellStyle name="20% - Accent3 2 3 4 2 2" xfId="3022" xr:uid="{517CF8B9-91D0-4461-AB70-0962D0A34ABD}"/>
    <cellStyle name="20% - Accent3 2 3 4 2 2 2" xfId="5072" xr:uid="{B27F3F5A-B73B-4B96-AF07-DCD1BBFB007E}"/>
    <cellStyle name="20% - Accent3 2 3 4 2 3" xfId="3805" xr:uid="{00806833-B575-4FBB-9652-6960087569F6}"/>
    <cellStyle name="20% - Accent3 2 3 4 3" xfId="1876" xr:uid="{274861BC-3570-45B9-86D9-8F0329701A31}"/>
    <cellStyle name="20% - Accent3 2 3 4 3 2" xfId="4193" xr:uid="{D22C3731-04EF-47FD-BC41-310EF4478656}"/>
    <cellStyle name="20% - Accent3 2 3 4 4" xfId="2452" xr:uid="{EDFE64B5-F93B-458E-AE5B-A3570D342551}"/>
    <cellStyle name="20% - Accent3 2 3 4 4 2" xfId="4553" xr:uid="{C78936A5-69E7-4E89-BBBD-E39E7CC68519}"/>
    <cellStyle name="20% - Accent3 2 3 4 5" xfId="3417" xr:uid="{334302C2-9B99-4DB4-99D0-9E953200D8B1}"/>
    <cellStyle name="20% - Accent3 2 3 5" xfId="1158" xr:uid="{ABFDCCC2-FF23-4B42-8448-B45DA3EDEF23}"/>
    <cellStyle name="20% - Accent3 2 3 5 2" xfId="1575" xr:uid="{D751AC29-136B-4920-8023-6101CF7B8ACB}"/>
    <cellStyle name="20% - Accent3 2 3 5 2 2" xfId="3127" xr:uid="{E6321E97-B2EA-4628-BE9A-5F49F5502C05}"/>
    <cellStyle name="20% - Accent3 2 3 5 2 2 2" xfId="5176" xr:uid="{37420A36-8E28-4C73-B576-57EC7E8C9600}"/>
    <cellStyle name="20% - Accent3 2 3 5 2 3" xfId="3910" xr:uid="{9022F1E1-8F7E-47B1-84CA-5B0E3213C0A6}"/>
    <cellStyle name="20% - Accent3 2 3 5 3" xfId="1981" xr:uid="{8E28F836-D207-4708-95EA-E98771A1B255}"/>
    <cellStyle name="20% - Accent3 2 3 5 3 2" xfId="4298" xr:uid="{002244DE-A973-4388-9F8B-3E737EDBAEFA}"/>
    <cellStyle name="20% - Accent3 2 3 5 4" xfId="2743" xr:uid="{988C1C9B-6BED-4C2B-A95D-D8E0E86B0A2C}"/>
    <cellStyle name="20% - Accent3 2 3 5 4 2" xfId="4813" xr:uid="{FBBD064E-05AF-4102-AADC-96EA48875E90}"/>
    <cellStyle name="20% - Accent3 2 3 5 5" xfId="3522" xr:uid="{1D717CCC-47B4-4FF2-80A7-1641C0296C8D}"/>
    <cellStyle name="20% - Accent3 2 3 6" xfId="896" xr:uid="{021F6CA5-14F9-4B99-B142-98E679301E47}"/>
    <cellStyle name="20% - Accent3 2 3 6 2" xfId="1364" xr:uid="{D93C0DA3-9FFA-4310-9EC3-01D2B8DF12D5}"/>
    <cellStyle name="20% - Accent3 2 3 6 2 2" xfId="2938" xr:uid="{E0BCEC4C-B032-495C-9C05-09DAEB01B961}"/>
    <cellStyle name="20% - Accent3 2 3 6 2 2 2" xfId="4992" xr:uid="{DCBD3F23-0740-45A6-8467-0AEBF0A775BC}"/>
    <cellStyle name="20% - Accent3 2 3 6 2 3" xfId="3700" xr:uid="{95C288FF-21FA-4CA1-BEDF-E4963BB1FDFD}"/>
    <cellStyle name="20% - Accent3 2 3 6 3" xfId="1771" xr:uid="{4B76F9A0-EB17-4017-A393-075C7A770255}"/>
    <cellStyle name="20% - Accent3 2 3 6 3 2" xfId="4088" xr:uid="{933C8AC1-DABC-4321-BA6B-63E52D9CD06C}"/>
    <cellStyle name="20% - Accent3 2 3 6 4" xfId="2516" xr:uid="{8023772E-4D02-40AA-B6DF-D35ABB39C613}"/>
    <cellStyle name="20% - Accent3 2 3 6 4 2" xfId="4599" xr:uid="{04A352F2-93B2-4820-B91F-60AA8C7787A7}"/>
    <cellStyle name="20% - Accent3 2 3 6 5" xfId="3312" xr:uid="{68418C06-D028-49C3-AE69-1A89665CF0D5}"/>
    <cellStyle name="20% - Accent3 2 3 7" xfId="1270" xr:uid="{554D578A-8978-4C04-BA57-594A41C9A233}"/>
    <cellStyle name="20% - Accent3 2 3 7 2" xfId="2834" xr:uid="{318D1BDD-D2BE-4910-B217-838E437D48D0}"/>
    <cellStyle name="20% - Accent3 2 3 7 2 2" xfId="4893" xr:uid="{08C51B44-B80D-4D12-8DF5-35C2ACA48A0B}"/>
    <cellStyle name="20% - Accent3 2 3 7 3" xfId="3628" xr:uid="{8738EEFF-A96F-4AC0-A715-61577A9A9AAC}"/>
    <cellStyle name="20% - Accent3 2 3 8" xfId="1695" xr:uid="{0ED978CA-62DA-4039-BC91-1DE92FCB7E12}"/>
    <cellStyle name="20% - Accent3 2 3 8 2" xfId="4016" xr:uid="{7BBF63EA-290A-42EA-BC0E-4C1C77D5A1D6}"/>
    <cellStyle name="20% - Accent3 2 3 9" xfId="2115" xr:uid="{FE8480BE-9896-4FB0-B33B-FD24AE914C0A}"/>
    <cellStyle name="20% - Accent3 2 3 9 2" xfId="4407" xr:uid="{51FA6700-6B88-4812-A02D-25BA8EDFB35F}"/>
    <cellStyle name="20% - Accent3 2 4" xfId="50" xr:uid="{05F7AC0B-18A0-4E49-B595-061BE070B4E9}"/>
    <cellStyle name="20% - Accent3 2 5" xfId="51" xr:uid="{CD77567B-295D-4DE0-9FED-26A55FBAE3FF}"/>
    <cellStyle name="20% - Accent3 2 6" xfId="2247" xr:uid="{BDBCEC43-BECA-4B48-A1FD-9DCF4D0201BA}"/>
    <cellStyle name="20% - Accent3 3" xfId="52" xr:uid="{EB4729FE-0CF8-4712-9CEE-0E8CD8AFB0DB}"/>
    <cellStyle name="20% - Accent3 4" xfId="53" xr:uid="{2D1B45F5-20C1-42AF-8309-46D82014683B}"/>
    <cellStyle name="20% - Accent4 2" xfId="54" xr:uid="{793CC604-631C-4AFE-96A3-F5754D82A55E}"/>
    <cellStyle name="20% - Accent4 2 2" xfId="55" xr:uid="{5E36BF08-DAE8-45E1-9280-78A46663D605}"/>
    <cellStyle name="20% - Accent4 2 2 2" xfId="2248" xr:uid="{337D172D-5E4F-4E7F-B74F-2CEC4D53797E}"/>
    <cellStyle name="20% - Accent4 2 2 3" xfId="2116" xr:uid="{A53EB330-AFB3-4B5D-81ED-2495677C1016}"/>
    <cellStyle name="20% - Accent4 2 3" xfId="56" xr:uid="{CB508298-7001-496D-B272-D3077FFA8DD1}"/>
    <cellStyle name="20% - Accent4 2 3 10" xfId="3241" xr:uid="{AA83BD59-F0A1-484C-9971-182ED8C72818}"/>
    <cellStyle name="20% - Accent4 2 3 2" xfId="819" xr:uid="{A45AEF8D-4A21-4308-A5D8-77F51D958906}"/>
    <cellStyle name="20% - Accent4 2 3 2 2" xfId="1089" xr:uid="{DF363D0D-B893-4643-AF1B-F7B86E830A4A}"/>
    <cellStyle name="20% - Accent4 2 3 2 2 2" xfId="1506" xr:uid="{EBC8A9D8-AEFB-47BF-A3B3-296884E42E64}"/>
    <cellStyle name="20% - Accent4 2 3 2 2 2 2" xfId="2675" xr:uid="{08DCE8A0-BDC6-488C-8231-2882CF6AF259}"/>
    <cellStyle name="20% - Accent4 2 3 2 2 2 2 2" xfId="4745" xr:uid="{9B10AC34-C8DE-4A78-9D0B-309CA780AF39}"/>
    <cellStyle name="20% - Accent4 2 3 2 2 2 3" xfId="3841" xr:uid="{9C0E2D17-873B-4099-9908-A4FB1193D793}"/>
    <cellStyle name="20% - Accent4 2 3 2 2 3" xfId="1912" xr:uid="{3993ECF2-C788-49D3-844F-5B7C2274C83D}"/>
    <cellStyle name="20% - Accent4 2 3 2 2 3 2" xfId="3058" xr:uid="{96CEB9BE-D97E-446C-8122-949D6290F30C}"/>
    <cellStyle name="20% - Accent4 2 3 2 2 3 2 2" xfId="5107" xr:uid="{3D6400ED-0FC5-44EA-9911-7A739E81751D}"/>
    <cellStyle name="20% - Accent4 2 3 2 2 3 3" xfId="4229" xr:uid="{EC70315B-1538-4CCB-B06F-E12EEA7F3C94}"/>
    <cellStyle name="20% - Accent4 2 3 2 2 4" xfId="2407" xr:uid="{B8BE1F88-A49E-42AA-9824-1092D2918427}"/>
    <cellStyle name="20% - Accent4 2 3 2 2 4 2" xfId="4508" xr:uid="{C4B643DA-1583-42DD-BBC0-5452465B29CE}"/>
    <cellStyle name="20% - Accent4 2 3 2 2 5" xfId="3453" xr:uid="{B1DE5A25-1661-4610-9F94-0EBFC952F053}"/>
    <cellStyle name="20% - Accent4 2 3 2 3" xfId="1196" xr:uid="{61541986-26C6-4C9C-B0DD-F2E5848E7164}"/>
    <cellStyle name="20% - Accent4 2 3 2 3 2" xfId="1611" xr:uid="{FC33A39C-AA7B-4A0D-AE43-14733BDE71B1}"/>
    <cellStyle name="20% - Accent4 2 3 2 3 2 2" xfId="2776" xr:uid="{22D820E1-E79A-4AD2-938D-0EED973E2AB3}"/>
    <cellStyle name="20% - Accent4 2 3 2 3 2 2 2" xfId="4846" xr:uid="{3EFE7DE7-3CF4-40C2-8870-4EE3CF7D14AD}"/>
    <cellStyle name="20% - Accent4 2 3 2 3 2 3" xfId="3946" xr:uid="{6682B14E-D47C-414B-BB4A-3CAD0D53C804}"/>
    <cellStyle name="20% - Accent4 2 3 2 3 3" xfId="2017" xr:uid="{F83B52C7-3E8C-46D1-AC7B-9A7AA1DC4336}"/>
    <cellStyle name="20% - Accent4 2 3 2 3 3 2" xfId="3163" xr:uid="{99273B15-06F8-4F1E-9080-D4DEC0E06F8C}"/>
    <cellStyle name="20% - Accent4 2 3 2 3 3 2 2" xfId="5212" xr:uid="{05A25C6F-E343-451D-9234-DE1A1081F620}"/>
    <cellStyle name="20% - Accent4 2 3 2 3 3 3" xfId="4334" xr:uid="{C0333E71-A6A6-4F33-ADBD-46EB4A5B6847}"/>
    <cellStyle name="20% - Accent4 2 3 2 3 4" xfId="2541" xr:uid="{553CF696-7171-43A1-A076-811B15DE619D}"/>
    <cellStyle name="20% - Accent4 2 3 2 3 4 2" xfId="4620" xr:uid="{BFC74A83-4AE5-4D11-81E4-6289FAB640D9}"/>
    <cellStyle name="20% - Accent4 2 3 2 3 5" xfId="3558" xr:uid="{42771871-2E11-4890-A106-075A312C68E5}"/>
    <cellStyle name="20% - Accent4 2 3 2 4" xfId="966" xr:uid="{7932AC58-54EC-4060-9F84-175E1C08A908}"/>
    <cellStyle name="20% - Accent4 2 3 2 4 2" xfId="1401" xr:uid="{0C3C777B-EB3C-4857-8A54-E27A21746D48}"/>
    <cellStyle name="20% - Accent4 2 3 2 4 2 2" xfId="2898" xr:uid="{34E9E779-1C39-4423-9F5E-455BD30FCEB4}"/>
    <cellStyle name="20% - Accent4 2 3 2 4 2 2 2" xfId="4952" xr:uid="{6E91DBBB-ADD2-4DA1-9BF3-2F7FD95FA130}"/>
    <cellStyle name="20% - Accent4 2 3 2 4 2 3" xfId="3736" xr:uid="{AEC67EA5-8E32-47A9-A4EB-6EC8706815BB}"/>
    <cellStyle name="20% - Accent4 2 3 2 4 3" xfId="1807" xr:uid="{9A299FEE-96A3-43E3-AE9C-506D772364C2}"/>
    <cellStyle name="20% - Accent4 2 3 2 4 3 2" xfId="4124" xr:uid="{10A414F0-E6B3-410C-BF25-2732943CD2A6}"/>
    <cellStyle name="20% - Accent4 2 3 2 4 4" xfId="2529" xr:uid="{17214F17-DA46-4999-8D71-EEF10281096E}"/>
    <cellStyle name="20% - Accent4 2 3 2 4 4 2" xfId="4609" xr:uid="{B55689D4-83A5-4702-8E99-BAC0D496B5B2}"/>
    <cellStyle name="20% - Accent4 2 3 2 4 5" xfId="3348" xr:uid="{482326C3-1868-47FF-99D4-E76B3B99AF1F}"/>
    <cellStyle name="20% - Accent4 2 3 2 5" xfId="1327" xr:uid="{01607B68-90EC-488B-A1CF-EA0E5BC1D12C}"/>
    <cellStyle name="20% - Accent4 2 3 2 5 2" xfId="2570" xr:uid="{B37EFFBB-5E6F-4D8B-A416-9A64A73FDB5F}"/>
    <cellStyle name="20% - Accent4 2 3 2 5 2 2" xfId="4647" xr:uid="{D1ED2B0B-EF04-4114-8CAA-74A33EDC0F14}"/>
    <cellStyle name="20% - Accent4 2 3 2 5 3" xfId="3663" xr:uid="{B54B0C68-2DA2-4E4A-A3AB-758E187EB1AF}"/>
    <cellStyle name="20% - Accent4 2 3 2 6" xfId="1734" xr:uid="{8EC93AF8-D61F-4C4F-AB11-62B0E71B1773}"/>
    <cellStyle name="20% - Accent4 2 3 2 6 2" xfId="2906" xr:uid="{E0C02B77-833E-4F85-BAF3-F1C6B2724318}"/>
    <cellStyle name="20% - Accent4 2 3 2 6 2 2" xfId="4960" xr:uid="{01550672-6DF9-4AC7-AE3E-6E0392687D34}"/>
    <cellStyle name="20% - Accent4 2 3 2 6 3" xfId="4051" xr:uid="{A6A37755-AC34-49EA-B313-09B33B55BDE8}"/>
    <cellStyle name="20% - Accent4 2 3 2 7" xfId="2828" xr:uid="{E38A1658-9236-42B5-BDF3-9264153C43CD}"/>
    <cellStyle name="20% - Accent4 2 3 2 7 2" xfId="4887" xr:uid="{A0713749-EAE9-455B-8EDE-8DB3603C39D2}"/>
    <cellStyle name="20% - Accent4 2 3 2 8" xfId="2215" xr:uid="{69912515-93C9-4E32-9F7D-C5A90ADFFF6F}"/>
    <cellStyle name="20% - Accent4 2 3 2 8 2" xfId="4436" xr:uid="{52457D58-615C-45D2-B81B-FB0D5919A0B6}"/>
    <cellStyle name="20% - Accent4 2 3 2 9" xfId="3275" xr:uid="{E963DFE4-5990-48CC-849A-295795807599}"/>
    <cellStyle name="20% - Accent4 2 3 3" xfId="1004" xr:uid="{95188684-21E6-4835-AA3B-AADBF2AFE8BA}"/>
    <cellStyle name="20% - Accent4 2 3 3 2" xfId="1123" xr:uid="{32033E46-E426-4383-9083-005611B6A7CE}"/>
    <cellStyle name="20% - Accent4 2 3 3 2 2" xfId="1540" xr:uid="{6CA00516-0C79-49AC-A32A-92ED994F2630}"/>
    <cellStyle name="20% - Accent4 2 3 3 2 2 2" xfId="2708" xr:uid="{7769147A-50BD-4A28-B382-0D67FCE956F5}"/>
    <cellStyle name="20% - Accent4 2 3 3 2 2 2 2" xfId="4778" xr:uid="{A0CC7382-68F2-4D89-8187-47FE527CD618}"/>
    <cellStyle name="20% - Accent4 2 3 3 2 2 3" xfId="3875" xr:uid="{21EFE64A-1CC8-45C6-8B11-AD7FA9FC6ED8}"/>
    <cellStyle name="20% - Accent4 2 3 3 2 3" xfId="1946" xr:uid="{11DC7E94-D7C6-4447-8034-9E6EAF0460BA}"/>
    <cellStyle name="20% - Accent4 2 3 3 2 3 2" xfId="3092" xr:uid="{3795B36F-39B0-49CA-844B-76A7C8E9E8B0}"/>
    <cellStyle name="20% - Accent4 2 3 3 2 3 2 2" xfId="5141" xr:uid="{C5E3CE4B-9A41-4D2E-8C73-C20D4E0FA5D2}"/>
    <cellStyle name="20% - Accent4 2 3 3 2 3 3" xfId="4263" xr:uid="{57786D46-75A5-434B-8FA1-D714EE1CDCC6}"/>
    <cellStyle name="20% - Accent4 2 3 3 2 4" xfId="2432" xr:uid="{AD435D5F-9C49-4FE4-BEAF-A53E90F98874}"/>
    <cellStyle name="20% - Accent4 2 3 3 2 4 2" xfId="4533" xr:uid="{06022FF8-9E11-41D7-BB69-1B39DC444AD2}"/>
    <cellStyle name="20% - Accent4 2 3 3 2 5" xfId="3487" xr:uid="{BC7CC7A2-85A6-487B-AD92-E3D849DEE02E}"/>
    <cellStyle name="20% - Accent4 2 3 3 3" xfId="1234" xr:uid="{71826F01-7605-4255-8E7F-F304F8A4A474}"/>
    <cellStyle name="20% - Accent4 2 3 3 3 2" xfId="1645" xr:uid="{E03EE360-B8D6-4D09-BBFA-AF41AB748445}"/>
    <cellStyle name="20% - Accent4 2 3 3 3 2 2" xfId="3197" xr:uid="{EEB55C6B-B2FE-4209-98E2-7A4E80891C52}"/>
    <cellStyle name="20% - Accent4 2 3 3 3 2 2 2" xfId="5246" xr:uid="{EB812AF7-D91D-4713-ACE9-E254E560D889}"/>
    <cellStyle name="20% - Accent4 2 3 3 3 2 3" xfId="3980" xr:uid="{485EF8B4-427A-42B7-B736-75A9A0FEDA07}"/>
    <cellStyle name="20% - Accent4 2 3 3 3 3" xfId="2051" xr:uid="{88AA5DC4-E378-45C3-8332-64964A62B3B2}"/>
    <cellStyle name="20% - Accent4 2 3 3 3 3 2" xfId="4368" xr:uid="{7D8F4E5F-A867-4570-8438-DCBC88F5B8AC}"/>
    <cellStyle name="20% - Accent4 2 3 3 3 4" xfId="2566" xr:uid="{E8AB7D0F-DE48-4F5F-8BD6-0C799D37F7F7}"/>
    <cellStyle name="20% - Accent4 2 3 3 3 4 2" xfId="4645" xr:uid="{BE695D9A-412C-40EB-B168-C0368D2F67DC}"/>
    <cellStyle name="20% - Accent4 2 3 3 3 5" xfId="3592" xr:uid="{16B4A919-2F66-44C9-9A0B-8ECE6D31DE65}"/>
    <cellStyle name="20% - Accent4 2 3 3 4" xfId="1435" xr:uid="{3F075A0C-689D-4DA1-8B5D-B75B875CDF29}"/>
    <cellStyle name="20% - Accent4 2 3 3 4 2" xfId="2934" xr:uid="{66B8353E-4E08-46C8-8913-3CF6A1F20629}"/>
    <cellStyle name="20% - Accent4 2 3 3 4 2 2" xfId="4988" xr:uid="{82CF20DB-C238-4D01-A6FA-C3B8B142FE73}"/>
    <cellStyle name="20% - Accent4 2 3 3 4 3" xfId="3770" xr:uid="{2932DF64-E452-4C96-9758-A4C1B022B911}"/>
    <cellStyle name="20% - Accent4 2 3 3 5" xfId="1841" xr:uid="{1AE46F6C-3EA1-47EB-ABA2-88A5534D4A38}"/>
    <cellStyle name="20% - Accent4 2 3 3 5 2" xfId="4158" xr:uid="{83B29138-11AA-4D16-856A-83FE27397F0E}"/>
    <cellStyle name="20% - Accent4 2 3 3 6" xfId="2249" xr:uid="{E4738B25-726E-43C3-91E5-076CA4FC9BEE}"/>
    <cellStyle name="20% - Accent4 2 3 3 6 2" xfId="4461" xr:uid="{A2C9A8BE-BBA3-4BD1-92FB-2DF9219DFDE0}"/>
    <cellStyle name="20% - Accent4 2 3 3 7" xfId="3382" xr:uid="{FD3DED43-05F0-4422-B80B-DED11183B6BB}"/>
    <cellStyle name="20% - Accent4 2 3 4" xfId="1060" xr:uid="{3E27184C-2E94-402A-B98F-58C7F21F8B1C}"/>
    <cellStyle name="20% - Accent4 2 3 4 2" xfId="1477" xr:uid="{3DF37446-E3C6-4A72-A69A-DAF2818096DA}"/>
    <cellStyle name="20% - Accent4 2 3 4 2 2" xfId="2657" xr:uid="{31FE93EC-A096-45C4-9ABD-266C6EB0D272}"/>
    <cellStyle name="20% - Accent4 2 3 4 2 2 2" xfId="4727" xr:uid="{37CB7470-681D-405F-B67C-BA73F6C3E7BA}"/>
    <cellStyle name="20% - Accent4 2 3 4 2 3" xfId="3812" xr:uid="{FBA560F5-3158-4F3E-95D0-1AA91737F7ED}"/>
    <cellStyle name="20% - Accent4 2 3 4 3" xfId="1883" xr:uid="{414F364B-7452-4006-9798-5B2D82A9024F}"/>
    <cellStyle name="20% - Accent4 2 3 4 3 2" xfId="3029" xr:uid="{9DE4E69A-5958-40F7-AC02-68ED34440885}"/>
    <cellStyle name="20% - Accent4 2 3 4 3 2 2" xfId="5079" xr:uid="{3F8522B7-3685-43CD-B5DC-E6B690270D4A}"/>
    <cellStyle name="20% - Accent4 2 3 4 3 3" xfId="4200" xr:uid="{6442F6E2-D31D-4BE4-AEF0-B26A945ADEDF}"/>
    <cellStyle name="20% - Accent4 2 3 4 4" xfId="2379" xr:uid="{CA5ED7BC-B299-4092-9C4F-71A86E707406}"/>
    <cellStyle name="20% - Accent4 2 3 4 4 2" xfId="4480" xr:uid="{C78D480E-504D-4FC2-8ECD-8C8D22921D50}"/>
    <cellStyle name="20% - Accent4 2 3 4 5" xfId="3424" xr:uid="{7994878C-D5ED-4B8D-A191-DB7006528E4A}"/>
    <cellStyle name="20% - Accent4 2 3 5" xfId="1165" xr:uid="{541A41FB-E324-4AA4-BF5B-2A758E172C8F}"/>
    <cellStyle name="20% - Accent4 2 3 5 2" xfId="1582" xr:uid="{766319D0-6E31-4391-88E0-2B43CC01B8C5}"/>
    <cellStyle name="20% - Accent4 2 3 5 2 2" xfId="2750" xr:uid="{C02C1B30-EBF5-45A7-B559-41BB1528EAC0}"/>
    <cellStyle name="20% - Accent4 2 3 5 2 2 2" xfId="4820" xr:uid="{4A960725-C5E5-4D0F-A453-107F1D14F9A3}"/>
    <cellStyle name="20% - Accent4 2 3 5 2 3" xfId="3917" xr:uid="{E102002E-DC7E-46DB-9976-8175E87484C4}"/>
    <cellStyle name="20% - Accent4 2 3 5 3" xfId="1988" xr:uid="{092F1EF9-AD8B-4ACC-9BAE-E480EB842217}"/>
    <cellStyle name="20% - Accent4 2 3 5 3 2" xfId="3134" xr:uid="{A06E7161-F8F4-46FE-B09E-BCEDF041E9E2}"/>
    <cellStyle name="20% - Accent4 2 3 5 3 2 2" xfId="5183" xr:uid="{0A5D4041-C7CF-453B-A492-7643860341B6}"/>
    <cellStyle name="20% - Accent4 2 3 5 3 3" xfId="4305" xr:uid="{D84CE3E8-3BAE-4A46-B088-E84DA4D9598E}"/>
    <cellStyle name="20% - Accent4 2 3 5 4" xfId="2454" xr:uid="{B3B0848C-F310-49C9-8730-99471F31B2C0}"/>
    <cellStyle name="20% - Accent4 2 3 5 4 2" xfId="4554" xr:uid="{DAF5FEDF-AB5E-47BF-9659-1FEE96069570}"/>
    <cellStyle name="20% - Accent4 2 3 5 5" xfId="3529" xr:uid="{A02B5044-A362-40D5-AFB6-1608AE940DB3}"/>
    <cellStyle name="20% - Accent4 2 3 6" xfId="913" xr:uid="{DE452E5A-A3EC-45AC-9273-714F515AB33E}"/>
    <cellStyle name="20% - Accent4 2 3 6 2" xfId="1371" xr:uid="{681305A6-E90F-44DE-B186-2E4FF32917A6}"/>
    <cellStyle name="20% - Accent4 2 3 6 2 2" xfId="2962" xr:uid="{21881986-3478-47AE-A6F9-965696862F5F}"/>
    <cellStyle name="20% - Accent4 2 3 6 2 2 2" xfId="5014" xr:uid="{F150F329-4E1D-42DA-823A-E50A0C6870D8}"/>
    <cellStyle name="20% - Accent4 2 3 6 2 3" xfId="3707" xr:uid="{E6AB7080-92A2-44E2-A3C4-A73C590C82B3}"/>
    <cellStyle name="20% - Accent4 2 3 6 3" xfId="1778" xr:uid="{1BCD0931-0161-4732-8D69-1D541B581F84}"/>
    <cellStyle name="20% - Accent4 2 3 6 3 2" xfId="4095" xr:uid="{13B24CE3-7CAC-40AE-9CA2-D8DAAAC6CC14}"/>
    <cellStyle name="20% - Accent4 2 3 6 4" xfId="2483" xr:uid="{67D04C88-58BD-4540-81B6-54912373A8B6}"/>
    <cellStyle name="20% - Accent4 2 3 6 4 2" xfId="4577" xr:uid="{F0D5DE0A-99D6-4EBB-AFA0-32617B6E382A}"/>
    <cellStyle name="20% - Accent4 2 3 6 5" xfId="3319" xr:uid="{BACFB1B7-FEA1-4627-8259-7A7A16491BA0}"/>
    <cellStyle name="20% - Accent4 2 3 7" xfId="1271" xr:uid="{560C882A-3BC3-467B-A861-BDAB9E77035B}"/>
    <cellStyle name="20% - Accent4 2 3 7 2" xfId="2835" xr:uid="{FD98DE0A-DB31-489B-AA37-D3A6DC1FBF90}"/>
    <cellStyle name="20% - Accent4 2 3 7 2 2" xfId="4894" xr:uid="{3348EED6-00F9-4793-9AB9-87085264C9EC}"/>
    <cellStyle name="20% - Accent4 2 3 7 3" xfId="3629" xr:uid="{2A95FA44-4AAB-4893-A5B7-1BE001D0F1F4}"/>
    <cellStyle name="20% - Accent4 2 3 8" xfId="1696" xr:uid="{B2B1B494-FB3C-4D29-8AF9-6E4628890947}"/>
    <cellStyle name="20% - Accent4 2 3 8 2" xfId="4017" xr:uid="{5D0C92E5-9D5F-45BF-8570-3B30A497118D}"/>
    <cellStyle name="20% - Accent4 2 3 9" xfId="2117" xr:uid="{0418976F-7F24-4E00-8D0B-1ACF1B8CFADC}"/>
    <cellStyle name="20% - Accent4 2 3 9 2" xfId="4408" xr:uid="{050621DA-B1CA-4A88-B3D5-DC625A0A8BFB}"/>
    <cellStyle name="20% - Accent4 2 4" xfId="57" xr:uid="{F5F5CED6-D334-400F-B196-9BD6636C58E9}"/>
    <cellStyle name="20% - Accent4 2 4 2" xfId="2250" xr:uid="{8A89DA19-73CF-4391-97CF-8936ADF527B6}"/>
    <cellStyle name="20% - Accent4 2 4 3" xfId="2118" xr:uid="{370EB0A2-B111-434C-9611-46654EC75C72}"/>
    <cellStyle name="20% - Accent4 2 5" xfId="58" xr:uid="{C298923E-3457-4D20-9301-C72B97FBA2B9}"/>
    <cellStyle name="20% - Accent4 2 5 2" xfId="2251" xr:uid="{6A8F8BF4-295F-46CA-A322-ED79090F1239}"/>
    <cellStyle name="20% - Accent4 2 5 3" xfId="2119" xr:uid="{F833F30C-4468-44BF-90BD-58E26926BAA9}"/>
    <cellStyle name="20% - Accent4 2 6" xfId="883" xr:uid="{11239FC4-333A-4DBE-9F68-D3A1F888EE11}"/>
    <cellStyle name="20% - Accent4 2 6 2" xfId="2252" xr:uid="{F84C5454-F527-47EC-8D5A-7DFFF1E9432E}"/>
    <cellStyle name="20% - Accent4 2 6 3" xfId="2469" xr:uid="{9BC5BE48-AF73-479A-91E8-7DB962F84C1F}"/>
    <cellStyle name="20% - Accent4 2 6 4" xfId="2200" xr:uid="{29A822D2-B7DB-402E-BA44-0D3F717DAFCC}"/>
    <cellStyle name="20% - Accent4 2 6 5" xfId="5356" xr:uid="{DD3AB416-61B7-4765-9A0C-16F7EBA62819}"/>
    <cellStyle name="20% - Accent4 3" xfId="59" xr:uid="{0D29DFE3-56B2-49B0-AC79-A510F85F7174}"/>
    <cellStyle name="20% - Accent4 3 2" xfId="2253" xr:uid="{9862BCAC-4749-4614-9250-AC094B9060A5}"/>
    <cellStyle name="20% - Accent4 3 3" xfId="2120" xr:uid="{C133E860-B1FC-4761-BF64-23899C2C5820}"/>
    <cellStyle name="20% - Accent4 4" xfId="60" xr:uid="{518755D8-C532-4856-89DE-F76A44DF4BF0}"/>
    <cellStyle name="20% - Accent4 4 2" xfId="2254" xr:uid="{3C151AF1-5C5A-49C2-8132-71F1B8FE833D}"/>
    <cellStyle name="20% - Accent4 4 3" xfId="2121" xr:uid="{62FCED47-4570-4D6F-956A-6E987A4C34ED}"/>
    <cellStyle name="20% - Accent5 2" xfId="61" xr:uid="{3A8616D4-DA3B-4864-85D2-8B4F333834EE}"/>
    <cellStyle name="20% - Accent5 2 2" xfId="62" xr:uid="{18ED0E1C-3415-404F-993A-637C2C6A0E51}"/>
    <cellStyle name="20% - Accent5 2 3" xfId="63" xr:uid="{1272E0F6-BAA1-40A7-A726-D994BB0C1AC0}"/>
    <cellStyle name="20% - Accent5 2 3 10" xfId="3242" xr:uid="{CE7448C6-2E7C-4EB2-8320-EC0BE8A4B476}"/>
    <cellStyle name="20% - Accent5 2 3 2" xfId="820" xr:uid="{BB68CEDA-37EA-48D7-B29F-46874A8C05B0}"/>
    <cellStyle name="20% - Accent5 2 3 2 2" xfId="1090" xr:uid="{F9453034-F079-4918-A467-2CD55A8EF6E5}"/>
    <cellStyle name="20% - Accent5 2 3 2 2 2" xfId="1507" xr:uid="{78F87B50-B3D8-4162-9497-4C2B9473219D}"/>
    <cellStyle name="20% - Accent5 2 3 2 2 2 2" xfId="2676" xr:uid="{55826237-1517-4368-B306-470FA4D7B2C2}"/>
    <cellStyle name="20% - Accent5 2 3 2 2 2 2 2" xfId="4746" xr:uid="{C0C15019-FBE4-43D7-9EC5-0E7260B11EFF}"/>
    <cellStyle name="20% - Accent5 2 3 2 2 2 3" xfId="3842" xr:uid="{15965A61-489C-4F50-A950-FB9AD3B45823}"/>
    <cellStyle name="20% - Accent5 2 3 2 2 3" xfId="1913" xr:uid="{AD6E7BFC-98DB-4D90-B572-B4AD2214F026}"/>
    <cellStyle name="20% - Accent5 2 3 2 2 3 2" xfId="3059" xr:uid="{A5A47FB4-D9E3-42B6-B918-02BA5093E6AD}"/>
    <cellStyle name="20% - Accent5 2 3 2 2 3 2 2" xfId="5108" xr:uid="{3DA3BD01-61E1-4377-A008-E88B457DD95A}"/>
    <cellStyle name="20% - Accent5 2 3 2 2 3 3" xfId="4230" xr:uid="{EE450848-5355-40A8-997A-09234DEE6E99}"/>
    <cellStyle name="20% - Accent5 2 3 2 2 4" xfId="2408" xr:uid="{9AE61201-36BF-4342-AA83-1372B41D4917}"/>
    <cellStyle name="20% - Accent5 2 3 2 2 4 2" xfId="4509" xr:uid="{B911AD65-793E-4FA9-A7D6-380889FE998A}"/>
    <cellStyle name="20% - Accent5 2 3 2 2 5" xfId="3454" xr:uid="{7E81F3C0-1A92-45F2-B789-2DC4F6F2BC04}"/>
    <cellStyle name="20% - Accent5 2 3 2 3" xfId="1197" xr:uid="{39EE1CA5-7325-444D-8935-3BB2F7C401FD}"/>
    <cellStyle name="20% - Accent5 2 3 2 3 2" xfId="1612" xr:uid="{9F30E4C6-F5CE-47A9-A035-6E45038C9FE8}"/>
    <cellStyle name="20% - Accent5 2 3 2 3 2 2" xfId="3164" xr:uid="{8B2812BB-AD3B-401C-A35E-F6CE79EEFB21}"/>
    <cellStyle name="20% - Accent5 2 3 2 3 2 2 2" xfId="5213" xr:uid="{32848A61-5B40-43AB-B3DD-0A7ACC7FAA7A}"/>
    <cellStyle name="20% - Accent5 2 3 2 3 2 3" xfId="3947" xr:uid="{0E918426-E5A8-4719-A3F0-9BE641C4A8B5}"/>
    <cellStyle name="20% - Accent5 2 3 2 3 3" xfId="2018" xr:uid="{962D5A1A-46B3-434E-9A5F-BBB9702845DB}"/>
    <cellStyle name="20% - Accent5 2 3 2 3 3 2" xfId="4335" xr:uid="{934FF9D6-5ED5-4629-9584-6C9765346ADA}"/>
    <cellStyle name="20% - Accent5 2 3 2 3 4" xfId="2542" xr:uid="{0090AFBD-E5ED-40BD-99D4-4AED34C0EEBA}"/>
    <cellStyle name="20% - Accent5 2 3 2 3 4 2" xfId="4621" xr:uid="{6CE4DC2C-C907-409E-9DFC-6F2D8963F532}"/>
    <cellStyle name="20% - Accent5 2 3 2 3 5" xfId="3559" xr:uid="{05F09A77-EB57-4103-AF18-00873E2606F6}"/>
    <cellStyle name="20% - Accent5 2 3 2 4" xfId="967" xr:uid="{76B889B4-9724-4E85-9E1F-EFDE937A200B}"/>
    <cellStyle name="20% - Accent5 2 3 2 4 2" xfId="1402" xr:uid="{9815E5CB-BA43-4A8B-B2DF-21B427290099}"/>
    <cellStyle name="20% - Accent5 2 3 2 4 2 2" xfId="2841" xr:uid="{18D572B5-85DB-42C4-AF45-EB38D4E01A5E}"/>
    <cellStyle name="20% - Accent5 2 3 2 4 2 2 2" xfId="4900" xr:uid="{9E309997-87BC-4F18-9E1A-8F59CFC196B0}"/>
    <cellStyle name="20% - Accent5 2 3 2 4 2 3" xfId="3737" xr:uid="{DFD43500-AFAB-4B5B-9C05-B551F4C63496}"/>
    <cellStyle name="20% - Accent5 2 3 2 4 3" xfId="1808" xr:uid="{1CEB3332-3D1A-47A5-9C5F-148AAED2A84C}"/>
    <cellStyle name="20% - Accent5 2 3 2 4 3 2" xfId="4125" xr:uid="{58A2D659-0204-4AF0-885D-1B51CA5F8979}"/>
    <cellStyle name="20% - Accent5 2 3 2 4 4" xfId="2574" xr:uid="{2F3A964E-A978-4CF8-ABA9-742A57A189AA}"/>
    <cellStyle name="20% - Accent5 2 3 2 4 4 2" xfId="4650" xr:uid="{9E3882B1-BCB9-4080-A7BB-EE907770BB5E}"/>
    <cellStyle name="20% - Accent5 2 3 2 4 5" xfId="3349" xr:uid="{87FB282C-0BE2-4D78-A94E-B90E5910E399}"/>
    <cellStyle name="20% - Accent5 2 3 2 5" xfId="1328" xr:uid="{A14184BF-24A1-426A-828C-1C2EEFEC2D1C}"/>
    <cellStyle name="20% - Accent5 2 3 2 5 2" xfId="2907" xr:uid="{767A248F-61DA-4E13-84D8-B7D744FA9F2D}"/>
    <cellStyle name="20% - Accent5 2 3 2 5 2 2" xfId="4961" xr:uid="{33133175-DD72-4758-AE4C-AE8E3614A327}"/>
    <cellStyle name="20% - Accent5 2 3 2 5 3" xfId="3664" xr:uid="{0DC76C27-E649-4DE0-90CD-6A078D5E1856}"/>
    <cellStyle name="20% - Accent5 2 3 2 6" xfId="1735" xr:uid="{0E36B477-3594-48B1-9D37-10D14AF2E2EF}"/>
    <cellStyle name="20% - Accent5 2 3 2 6 2" xfId="4052" xr:uid="{DC159FF7-3875-481B-9920-4885375F4862}"/>
    <cellStyle name="20% - Accent5 2 3 2 7" xfId="2216" xr:uid="{3C1A50AC-1088-4E6F-AD0A-7B6A5D3F5D20}"/>
    <cellStyle name="20% - Accent5 2 3 2 7 2" xfId="4437" xr:uid="{E340EFB5-DFE8-4300-801D-FF371A85C577}"/>
    <cellStyle name="20% - Accent5 2 3 2 8" xfId="3276" xr:uid="{13F59DBC-3720-4D54-9869-870AEB54D3AF}"/>
    <cellStyle name="20% - Accent5 2 3 3" xfId="1005" xr:uid="{F0D959DC-68AC-4EC3-83B7-457CCACBAAD7}"/>
    <cellStyle name="20% - Accent5 2 3 3 2" xfId="1124" xr:uid="{EA3BFB94-815D-4129-B7FE-FDE3F25A451F}"/>
    <cellStyle name="20% - Accent5 2 3 3 2 2" xfId="1541" xr:uid="{C1DA2477-1711-480D-BA14-66C2CD82977A}"/>
    <cellStyle name="20% - Accent5 2 3 3 2 2 2" xfId="3093" xr:uid="{CE9C39C0-2692-4306-A2A6-9CA81DD695E6}"/>
    <cellStyle name="20% - Accent5 2 3 3 2 2 2 2" xfId="5142" xr:uid="{FF132070-7D70-4F46-BD3F-E5A52049CE85}"/>
    <cellStyle name="20% - Accent5 2 3 3 2 2 3" xfId="3876" xr:uid="{0C16F5F7-871C-4B78-B6DD-2C6429F75CC4}"/>
    <cellStyle name="20% - Accent5 2 3 3 2 3" xfId="1947" xr:uid="{7726C65C-08E8-4EBA-9F23-976FF79A60E7}"/>
    <cellStyle name="20% - Accent5 2 3 3 2 3 2" xfId="4264" xr:uid="{32884762-4AE5-4F39-BF57-612BECFBFE94}"/>
    <cellStyle name="20% - Accent5 2 3 3 2 4" xfId="2709" xr:uid="{4C6D1021-E7D3-45E5-AA5C-22307B4A62F3}"/>
    <cellStyle name="20% - Accent5 2 3 3 2 4 2" xfId="4779" xr:uid="{28167327-01A2-46B9-B946-E12219231EF9}"/>
    <cellStyle name="20% - Accent5 2 3 3 2 5" xfId="3488" xr:uid="{78991A92-7A46-4FF5-A255-C171A8615F71}"/>
    <cellStyle name="20% - Accent5 2 3 3 3" xfId="1235" xr:uid="{B763F217-9536-42D5-B9B3-88F968D5A879}"/>
    <cellStyle name="20% - Accent5 2 3 3 3 2" xfId="1646" xr:uid="{F68C787E-0880-473E-9739-81A746EFDA04}"/>
    <cellStyle name="20% - Accent5 2 3 3 3 2 2" xfId="3198" xr:uid="{9FE39267-E470-459B-B4B2-EB0FEE6041DA}"/>
    <cellStyle name="20% - Accent5 2 3 3 3 2 2 2" xfId="5247" xr:uid="{C3788D39-FEB6-4E6E-9ADD-BA9F6707484C}"/>
    <cellStyle name="20% - Accent5 2 3 3 3 2 3" xfId="3981" xr:uid="{BA1F1C47-0F73-4690-8C19-612F6A6AF423}"/>
    <cellStyle name="20% - Accent5 2 3 3 3 3" xfId="2052" xr:uid="{C6AD7F98-805D-480A-8576-15D710C5F665}"/>
    <cellStyle name="20% - Accent5 2 3 3 3 3 2" xfId="4369" xr:uid="{C5A49991-EBB2-4AB2-9BA5-57C1CCE3810B}"/>
    <cellStyle name="20% - Accent5 2 3 3 3 4" xfId="2786" xr:uid="{89168563-4019-49DF-8A5A-6F75535482A5}"/>
    <cellStyle name="20% - Accent5 2 3 3 3 4 2" xfId="4856" xr:uid="{88C180FB-DA0B-4AA0-AF5B-D334BE0235A6}"/>
    <cellStyle name="20% - Accent5 2 3 3 3 5" xfId="3593" xr:uid="{C1ADDC7D-6A85-48CF-9AC2-A1CF427C1FDC}"/>
    <cellStyle name="20% - Accent5 2 3 3 4" xfId="1436" xr:uid="{568CF8F5-ECD1-4CA4-8923-F8E6B74CDBFF}"/>
    <cellStyle name="20% - Accent5 2 3 3 4 2" xfId="2630" xr:uid="{9D2BCFEF-6868-4D92-95EA-1AC08E4DD080}"/>
    <cellStyle name="20% - Accent5 2 3 3 4 2 2" xfId="4700" xr:uid="{8CB4D65F-5E0B-419E-9E56-08DBD7DCEF60}"/>
    <cellStyle name="20% - Accent5 2 3 3 4 3" xfId="3771" xr:uid="{EF406FDF-00F5-44EF-B1EA-9DE4F50D71D0}"/>
    <cellStyle name="20% - Accent5 2 3 3 5" xfId="1842" xr:uid="{9FEC148D-E825-4923-AB15-A25E1E59BCD1}"/>
    <cellStyle name="20% - Accent5 2 3 3 5 2" xfId="2990" xr:uid="{1C0D330D-2B73-4945-AA64-B3476B6DB457}"/>
    <cellStyle name="20% - Accent5 2 3 3 5 2 2" xfId="5040" xr:uid="{35CC496F-A07B-4780-9E3B-98BEEA53A164}"/>
    <cellStyle name="20% - Accent5 2 3 3 5 3" xfId="4159" xr:uid="{834B0CED-7C41-4086-9AAA-06622D7E745D}"/>
    <cellStyle name="20% - Accent5 2 3 3 6" xfId="2380" xr:uid="{1D4A2DAF-3265-441A-B5F9-A4178D74412E}"/>
    <cellStyle name="20% - Accent5 2 3 3 6 2" xfId="4481" xr:uid="{CA9790D3-7835-4674-B9C3-620AF557834E}"/>
    <cellStyle name="20% - Accent5 2 3 3 7" xfId="3383" xr:uid="{0884FDE2-1AAB-4D38-9596-74AE6A6F9C79}"/>
    <cellStyle name="20% - Accent5 2 3 4" xfId="1057" xr:uid="{5FBF8A01-1EDC-4FBA-A7A4-B168308F8ADC}"/>
    <cellStyle name="20% - Accent5 2 3 4 2" xfId="1474" xr:uid="{0247E3F9-930D-4E5E-AED8-74F7D3AD3373}"/>
    <cellStyle name="20% - Accent5 2 3 4 2 2" xfId="3026" xr:uid="{62A500DB-668F-4D2D-AF8E-2DD7B3B72766}"/>
    <cellStyle name="20% - Accent5 2 3 4 2 2 2" xfId="5076" xr:uid="{E1011B98-CF1B-4601-A0D3-8EC824BA1054}"/>
    <cellStyle name="20% - Accent5 2 3 4 2 3" xfId="3809" xr:uid="{46093D27-F935-4B1D-8AFF-639523C49AE2}"/>
    <cellStyle name="20% - Accent5 2 3 4 3" xfId="1880" xr:uid="{720B235F-0FD7-4947-A9CC-5F831A88B667}"/>
    <cellStyle name="20% - Accent5 2 3 4 3 2" xfId="4197" xr:uid="{6B1F039F-87BA-4B7E-9ACB-B841B115B99A}"/>
    <cellStyle name="20% - Accent5 2 3 4 4" xfId="2455" xr:uid="{147B0DC3-9564-4407-AF35-A0FD283F8D0D}"/>
    <cellStyle name="20% - Accent5 2 3 4 4 2" xfId="4555" xr:uid="{B139971A-2D85-4BBE-BA36-21C5F77BDBC1}"/>
    <cellStyle name="20% - Accent5 2 3 4 5" xfId="3421" xr:uid="{21FA3A8C-50CF-4E3E-A7B2-C68C7D44C976}"/>
    <cellStyle name="20% - Accent5 2 3 5" xfId="1162" xr:uid="{E3668791-4AC0-436D-B4F1-640A868F5ED4}"/>
    <cellStyle name="20% - Accent5 2 3 5 2" xfId="1579" xr:uid="{E34828F6-DECC-4ECB-961E-F999B8D8D621}"/>
    <cellStyle name="20% - Accent5 2 3 5 2 2" xfId="3131" xr:uid="{7788BF51-60A2-4594-9DC9-5E5C4B97BB08}"/>
    <cellStyle name="20% - Accent5 2 3 5 2 2 2" xfId="5180" xr:uid="{40D5D8C3-CF1E-47F7-A65F-ECE069EA01C6}"/>
    <cellStyle name="20% - Accent5 2 3 5 2 3" xfId="3914" xr:uid="{7D615BB6-8AC4-4BF7-9342-7D3684FC3735}"/>
    <cellStyle name="20% - Accent5 2 3 5 3" xfId="1985" xr:uid="{C0D96F3F-62D3-43F7-B0BF-70F420C332A7}"/>
    <cellStyle name="20% - Accent5 2 3 5 3 2" xfId="4302" xr:uid="{CAC844F6-FBFE-4DCD-B5DB-6B33856AF52D}"/>
    <cellStyle name="20% - Accent5 2 3 5 4" xfId="2747" xr:uid="{CE1080A5-1ACF-4923-8F62-9EC3C38C0879}"/>
    <cellStyle name="20% - Accent5 2 3 5 4 2" xfId="4817" xr:uid="{8BB4FE9A-2E10-4594-A15F-C4F996845422}"/>
    <cellStyle name="20% - Accent5 2 3 5 5" xfId="3526" xr:uid="{4BF32DEB-7D13-40EB-9395-4301B0F2F646}"/>
    <cellStyle name="20% - Accent5 2 3 6" xfId="907" xr:uid="{CAC7758C-3365-475C-A684-A8941A14CC87}"/>
    <cellStyle name="20% - Accent5 2 3 6 2" xfId="1368" xr:uid="{EB6B56A4-4867-4075-95BD-286D0DBBA9DF}"/>
    <cellStyle name="20% - Accent5 2 3 6 2 2" xfId="2963" xr:uid="{5F3EED83-8775-4728-AD87-CE0A545B2CDF}"/>
    <cellStyle name="20% - Accent5 2 3 6 2 2 2" xfId="5015" xr:uid="{8E105509-1174-4BE0-9236-491E24366CED}"/>
    <cellStyle name="20% - Accent5 2 3 6 2 3" xfId="3704" xr:uid="{95A9A011-9875-4051-BED8-F7A0F9D7AD7B}"/>
    <cellStyle name="20% - Accent5 2 3 6 3" xfId="1775" xr:uid="{F9BE9B17-A655-4623-AE38-97B2E32F7212}"/>
    <cellStyle name="20% - Accent5 2 3 6 3 2" xfId="4092" xr:uid="{06566341-5E06-44BF-81CA-54377FD0B94A}"/>
    <cellStyle name="20% - Accent5 2 3 6 4" xfId="2518" xr:uid="{A0D04854-CC81-4099-A3C5-61B62169C063}"/>
    <cellStyle name="20% - Accent5 2 3 6 4 2" xfId="4600" xr:uid="{8C377E49-7FE9-4888-BFDE-C047AADA494A}"/>
    <cellStyle name="20% - Accent5 2 3 6 5" xfId="3316" xr:uid="{373792C2-CA47-4F06-84E7-9726DDA056A2}"/>
    <cellStyle name="20% - Accent5 2 3 7" xfId="1272" xr:uid="{EF5659B6-9550-4988-BE0F-D10FACE26E66}"/>
    <cellStyle name="20% - Accent5 2 3 7 2" xfId="2836" xr:uid="{0CAFF285-DD17-4319-9210-B52F3AA47F04}"/>
    <cellStyle name="20% - Accent5 2 3 7 2 2" xfId="4895" xr:uid="{3E886D7C-156A-47C4-8F9E-39163D1E91F1}"/>
    <cellStyle name="20% - Accent5 2 3 7 3" xfId="3630" xr:uid="{EDAFAFD7-988E-4BF1-ABC9-C9D017626376}"/>
    <cellStyle name="20% - Accent5 2 3 8" xfId="1697" xr:uid="{FF4542FC-E5D0-46E0-9B8E-8A8582F40D25}"/>
    <cellStyle name="20% - Accent5 2 3 8 2" xfId="4018" xr:uid="{3B3C22D7-A0D7-4304-8287-6523D991871A}"/>
    <cellStyle name="20% - Accent5 2 3 9" xfId="2122" xr:uid="{3C3E44B0-612E-4BB3-A0A7-0DDE53C445EF}"/>
    <cellStyle name="20% - Accent5 2 3 9 2" xfId="4409" xr:uid="{71A644D6-2745-4A69-BDBE-D1617EAC4F17}"/>
    <cellStyle name="20% - Accent5 3" xfId="64" xr:uid="{4AE633BE-BBA4-4018-BEFC-8451CF3820DA}"/>
    <cellStyle name="20% - Accent5 4" xfId="65" xr:uid="{D1D7910B-5DA9-489E-8B66-01CCEEE4F2B9}"/>
    <cellStyle name="20% - Accent6 2" xfId="66" xr:uid="{DC90CB56-2A73-49BE-B7DD-D97D9C8F0F8B}"/>
    <cellStyle name="20% - Accent6 2 2" xfId="67" xr:uid="{673F2B3F-B7B1-42E7-9542-12EB3AE084E3}"/>
    <cellStyle name="20% - Accent6 2 3" xfId="68" xr:uid="{171771A6-BF09-4FC6-9ECE-BBCDE6282788}"/>
    <cellStyle name="20% - Accent6 2 3 10" xfId="3243" xr:uid="{61267079-8F77-45FA-A7FE-B3929E79F46E}"/>
    <cellStyle name="20% - Accent6 2 3 2" xfId="821" xr:uid="{40D85680-866F-4493-8462-DBA298C63478}"/>
    <cellStyle name="20% - Accent6 2 3 2 2" xfId="1091" xr:uid="{22D435D7-F745-450E-B033-4278F444F9CC}"/>
    <cellStyle name="20% - Accent6 2 3 2 2 2" xfId="1508" xr:uid="{65156392-F52E-40E5-A54B-BA238F7ADFB3}"/>
    <cellStyle name="20% - Accent6 2 3 2 2 2 2" xfId="2677" xr:uid="{943C4FBA-A12C-472A-97E8-54EDA96AEF6C}"/>
    <cellStyle name="20% - Accent6 2 3 2 2 2 2 2" xfId="4747" xr:uid="{012C4540-6786-4AAC-87ED-422DDA0B9F04}"/>
    <cellStyle name="20% - Accent6 2 3 2 2 2 3" xfId="3843" xr:uid="{AAE07539-6AE7-4C4A-8FE8-C158582BBE11}"/>
    <cellStyle name="20% - Accent6 2 3 2 2 3" xfId="1914" xr:uid="{5C70C8C7-33CE-4DDA-9831-52883BE2688E}"/>
    <cellStyle name="20% - Accent6 2 3 2 2 3 2" xfId="3060" xr:uid="{8CFB58C1-1E50-4E17-BF2A-C80B65490D49}"/>
    <cellStyle name="20% - Accent6 2 3 2 2 3 2 2" xfId="5109" xr:uid="{281CAE4A-75FF-433B-BB75-614B15ABAB53}"/>
    <cellStyle name="20% - Accent6 2 3 2 2 3 3" xfId="4231" xr:uid="{C1CEF0FF-D8B2-40A1-B557-36CDB7081ECE}"/>
    <cellStyle name="20% - Accent6 2 3 2 2 4" xfId="2409" xr:uid="{DBAF60B1-4BEB-45E5-A300-11F70D6AE3BC}"/>
    <cellStyle name="20% - Accent6 2 3 2 2 4 2" xfId="4510" xr:uid="{F1AEB67C-F810-4B98-89EA-F1CE2A67D1C4}"/>
    <cellStyle name="20% - Accent6 2 3 2 2 5" xfId="3455" xr:uid="{898C78E5-AF68-4567-8AE4-D7188327D371}"/>
    <cellStyle name="20% - Accent6 2 3 2 3" xfId="1198" xr:uid="{1F62FEBF-BB47-4854-8EAA-3A051D9A6EA2}"/>
    <cellStyle name="20% - Accent6 2 3 2 3 2" xfId="1613" xr:uid="{3582BEDB-7F5E-4646-BBCE-F0AC84BF3163}"/>
    <cellStyle name="20% - Accent6 2 3 2 3 2 2" xfId="3165" xr:uid="{1F4D9102-1F77-4DCF-9E3D-5E737824CAD8}"/>
    <cellStyle name="20% - Accent6 2 3 2 3 2 2 2" xfId="5214" xr:uid="{317516FD-29E1-4214-8403-9A923BF85AAD}"/>
    <cellStyle name="20% - Accent6 2 3 2 3 2 3" xfId="3948" xr:uid="{733FB1B2-16F5-4F4F-9EE7-04352E450003}"/>
    <cellStyle name="20% - Accent6 2 3 2 3 3" xfId="2019" xr:uid="{1CD45637-2CBF-42E5-BE07-2A0CFE3BD8D0}"/>
    <cellStyle name="20% - Accent6 2 3 2 3 3 2" xfId="4336" xr:uid="{AD3D1D85-2997-43A8-BDF4-65FF08CEED37}"/>
    <cellStyle name="20% - Accent6 2 3 2 3 4" xfId="2543" xr:uid="{28418BA9-35AD-4A9B-BF80-371020DC826C}"/>
    <cellStyle name="20% - Accent6 2 3 2 3 4 2" xfId="4622" xr:uid="{522CC37B-DED7-432F-A965-8EAAEED105D0}"/>
    <cellStyle name="20% - Accent6 2 3 2 3 5" xfId="3560" xr:uid="{6D8714B6-2675-4066-AD44-3B4B4175D3B5}"/>
    <cellStyle name="20% - Accent6 2 3 2 4" xfId="968" xr:uid="{18273322-02CC-42FD-AD98-96C027370A54}"/>
    <cellStyle name="20% - Accent6 2 3 2 4 2" xfId="1403" xr:uid="{1AF5BE1F-FAB5-41ED-BB7F-09CF415A3B2A}"/>
    <cellStyle name="20% - Accent6 2 3 2 4 2 2" xfId="2876" xr:uid="{FAD34412-531F-41B9-8A24-BBE656AA778B}"/>
    <cellStyle name="20% - Accent6 2 3 2 4 2 2 2" xfId="4930" xr:uid="{0AA2F563-495A-45E9-923D-1DB71B2D73ED}"/>
    <cellStyle name="20% - Accent6 2 3 2 4 2 3" xfId="3738" xr:uid="{2B1B38DC-6A0B-4B4C-B0BD-5FEDE127A376}"/>
    <cellStyle name="20% - Accent6 2 3 2 4 3" xfId="1809" xr:uid="{4D03A43D-C241-46E7-9484-6435020901A4}"/>
    <cellStyle name="20% - Accent6 2 3 2 4 3 2" xfId="4126" xr:uid="{410AA378-9A84-40D1-9991-90940DF82E6B}"/>
    <cellStyle name="20% - Accent6 2 3 2 4 4" xfId="2486" xr:uid="{9C3DA759-15A3-46C4-B9AC-F75DCD4FD43B}"/>
    <cellStyle name="20% - Accent6 2 3 2 4 4 2" xfId="4579" xr:uid="{254F7AC6-39A0-4044-BAE4-83540A1F6EB3}"/>
    <cellStyle name="20% - Accent6 2 3 2 4 5" xfId="3350" xr:uid="{9FCA5A70-30EB-4C1C-B2D7-6456535F5DAA}"/>
    <cellStyle name="20% - Accent6 2 3 2 5" xfId="1329" xr:uid="{DF230930-317A-4B9E-A176-ED36A211309D}"/>
    <cellStyle name="20% - Accent6 2 3 2 5 2" xfId="2908" xr:uid="{4A239DE8-0629-4D2A-8DE9-9CDBFF6301D2}"/>
    <cellStyle name="20% - Accent6 2 3 2 5 2 2" xfId="4962" xr:uid="{EFD15029-4B7C-419D-B903-D23887DBB78C}"/>
    <cellStyle name="20% - Accent6 2 3 2 5 3" xfId="3665" xr:uid="{4D37A00A-A2A0-4E85-BA7B-8FCA5320FE79}"/>
    <cellStyle name="20% - Accent6 2 3 2 6" xfId="1736" xr:uid="{5D5C37CF-6C1D-477A-A181-FF8DA787F899}"/>
    <cellStyle name="20% - Accent6 2 3 2 6 2" xfId="4053" xr:uid="{775F59C4-990B-4022-9B51-DCE2D71BDB91}"/>
    <cellStyle name="20% - Accent6 2 3 2 7" xfId="2217" xr:uid="{68020191-E0C9-4C18-98FF-D762B3958838}"/>
    <cellStyle name="20% - Accent6 2 3 2 7 2" xfId="4438" xr:uid="{334D2337-2127-4C71-AB91-2B0389489C0C}"/>
    <cellStyle name="20% - Accent6 2 3 2 8" xfId="3277" xr:uid="{05E55900-2C4D-4977-B36F-C53AE0E3C916}"/>
    <cellStyle name="20% - Accent6 2 3 3" xfId="1006" xr:uid="{A2AAB436-C186-473D-A97C-AE9E7314CED0}"/>
    <cellStyle name="20% - Accent6 2 3 3 2" xfId="1125" xr:uid="{F1ED83BB-9BA1-43DA-9847-CEA120160542}"/>
    <cellStyle name="20% - Accent6 2 3 3 2 2" xfId="1542" xr:uid="{7AC79D1A-ACA7-4E8D-AD9B-AC904204EB07}"/>
    <cellStyle name="20% - Accent6 2 3 3 2 2 2" xfId="3094" xr:uid="{39375BEE-3653-4133-89B8-36D8C54E2B12}"/>
    <cellStyle name="20% - Accent6 2 3 3 2 2 2 2" xfId="5143" xr:uid="{073091D2-EDBB-45E9-987C-74E95C63A39D}"/>
    <cellStyle name="20% - Accent6 2 3 3 2 2 3" xfId="3877" xr:uid="{350E8CCC-1EAE-439B-8AF5-883A6A1EC54E}"/>
    <cellStyle name="20% - Accent6 2 3 3 2 3" xfId="1948" xr:uid="{CB8E33C5-EC03-4948-8345-6CC1EECFC2C8}"/>
    <cellStyle name="20% - Accent6 2 3 3 2 3 2" xfId="4265" xr:uid="{34B339FE-24C7-49ED-A447-A15BA0252751}"/>
    <cellStyle name="20% - Accent6 2 3 3 2 4" xfId="2710" xr:uid="{9C8C6141-5AE2-46D8-9872-3E58D5ECB4D0}"/>
    <cellStyle name="20% - Accent6 2 3 3 2 4 2" xfId="4780" xr:uid="{D85880B3-0FA3-4771-9835-CA1090D0B9A9}"/>
    <cellStyle name="20% - Accent6 2 3 3 2 5" xfId="3489" xr:uid="{387C6997-C19E-4CBF-8297-AD6F69D67903}"/>
    <cellStyle name="20% - Accent6 2 3 3 3" xfId="1236" xr:uid="{52950EF6-083A-4D7F-B326-B985B8AEA281}"/>
    <cellStyle name="20% - Accent6 2 3 3 3 2" xfId="1647" xr:uid="{5463F0A4-4B87-4703-81BF-0920D3F5820F}"/>
    <cellStyle name="20% - Accent6 2 3 3 3 2 2" xfId="3199" xr:uid="{761CE3DE-39AD-47AD-B032-A1B1EE6FCF01}"/>
    <cellStyle name="20% - Accent6 2 3 3 3 2 2 2" xfId="5248" xr:uid="{4C7449F6-8F7B-4194-8FC5-9B97A1AFEF9D}"/>
    <cellStyle name="20% - Accent6 2 3 3 3 2 3" xfId="3982" xr:uid="{07ECCFA9-42F3-4EFF-B943-0D1BBEA7A415}"/>
    <cellStyle name="20% - Accent6 2 3 3 3 3" xfId="2053" xr:uid="{79165489-F4A9-4179-82E0-AC1FDB3C6360}"/>
    <cellStyle name="20% - Accent6 2 3 3 3 3 2" xfId="4370" xr:uid="{ED5EC7F9-DF6B-4996-95A2-D9DD11294EA9}"/>
    <cellStyle name="20% - Accent6 2 3 3 3 4" xfId="2787" xr:uid="{D51BE98B-6C5D-4B20-A0BA-17CD0EC62731}"/>
    <cellStyle name="20% - Accent6 2 3 3 3 4 2" xfId="4857" xr:uid="{39A210DD-9400-4BEF-9A09-7571C1EE2679}"/>
    <cellStyle name="20% - Accent6 2 3 3 3 5" xfId="3594" xr:uid="{EFDA6895-0DDD-49DE-899E-0A2470F12D67}"/>
    <cellStyle name="20% - Accent6 2 3 3 4" xfId="1437" xr:uid="{F187AE5E-C0CE-4DA2-8766-3CF14D18AC44}"/>
    <cellStyle name="20% - Accent6 2 3 3 4 2" xfId="2631" xr:uid="{73AC3BAD-21F8-477C-9B5B-46496DBB3931}"/>
    <cellStyle name="20% - Accent6 2 3 3 4 2 2" xfId="4701" xr:uid="{1236E2BB-8EB7-479F-AC4D-51EBE6B37F58}"/>
    <cellStyle name="20% - Accent6 2 3 3 4 3" xfId="3772" xr:uid="{8409B499-90EF-4EA1-B538-835BD802E220}"/>
    <cellStyle name="20% - Accent6 2 3 3 5" xfId="1843" xr:uid="{32C6C9A7-BD85-49D9-8394-1904C2C21E82}"/>
    <cellStyle name="20% - Accent6 2 3 3 5 2" xfId="2991" xr:uid="{8C59F834-18CA-4092-A373-19B7D3D81217}"/>
    <cellStyle name="20% - Accent6 2 3 3 5 2 2" xfId="5041" xr:uid="{7DBF0F6F-EC95-4A23-9595-80F69BADF110}"/>
    <cellStyle name="20% - Accent6 2 3 3 5 3" xfId="4160" xr:uid="{B6C8A6A2-2F6C-4DC9-B580-616D7A03D0C4}"/>
    <cellStyle name="20% - Accent6 2 3 3 6" xfId="2381" xr:uid="{10E1DF4D-9930-46A4-99AA-75BA4E215216}"/>
    <cellStyle name="20% - Accent6 2 3 3 6 2" xfId="4482" xr:uid="{4C576811-C0B5-469D-8D2F-5139E7F02775}"/>
    <cellStyle name="20% - Accent6 2 3 3 7" xfId="3384" xr:uid="{5081ACDB-A2CC-46E1-BDC5-0FF6827B235A}"/>
    <cellStyle name="20% - Accent6 2 3 4" xfId="1058" xr:uid="{A5B55111-F08F-4F97-A528-55D2249FD3E1}"/>
    <cellStyle name="20% - Accent6 2 3 4 2" xfId="1475" xr:uid="{B66F8F05-ACC8-4394-9CC8-64974D143938}"/>
    <cellStyle name="20% - Accent6 2 3 4 2 2" xfId="3027" xr:uid="{CF540585-3921-4EFD-8E95-32F20A9933B5}"/>
    <cellStyle name="20% - Accent6 2 3 4 2 2 2" xfId="5077" xr:uid="{E95B3E9E-AE09-4DB2-9700-1EAB6303CC51}"/>
    <cellStyle name="20% - Accent6 2 3 4 2 3" xfId="3810" xr:uid="{49109FAD-A29C-4230-BFF2-DAEA0868D86B}"/>
    <cellStyle name="20% - Accent6 2 3 4 3" xfId="1881" xr:uid="{3B3D1939-E47A-4FCF-8814-F68F7742631B}"/>
    <cellStyle name="20% - Accent6 2 3 4 3 2" xfId="4198" xr:uid="{FA27CBA3-C310-473A-85B2-8DEC0C85A389}"/>
    <cellStyle name="20% - Accent6 2 3 4 4" xfId="2456" xr:uid="{F4CD9073-EBBC-4FF5-9487-686BE1F1AA77}"/>
    <cellStyle name="20% - Accent6 2 3 4 4 2" xfId="4556" xr:uid="{39CF6595-D3EA-4BDC-8004-072D36AD274C}"/>
    <cellStyle name="20% - Accent6 2 3 4 5" xfId="3422" xr:uid="{12166E96-B916-42E1-8E15-FD96F5B08545}"/>
    <cellStyle name="20% - Accent6 2 3 5" xfId="1163" xr:uid="{3BE95712-66E2-4AF7-958E-6DA93A02F799}"/>
    <cellStyle name="20% - Accent6 2 3 5 2" xfId="1580" xr:uid="{92076583-1D71-4F71-8E23-D921C4812B53}"/>
    <cellStyle name="20% - Accent6 2 3 5 2 2" xfId="3132" xr:uid="{732ACA9C-95B2-4D8D-A988-789F0358A557}"/>
    <cellStyle name="20% - Accent6 2 3 5 2 2 2" xfId="5181" xr:uid="{721080C6-0717-4DB6-9C08-BA2EA2E59B43}"/>
    <cellStyle name="20% - Accent6 2 3 5 2 3" xfId="3915" xr:uid="{4C3D3929-25C6-477E-8038-AF4041C37982}"/>
    <cellStyle name="20% - Accent6 2 3 5 3" xfId="1986" xr:uid="{9A3CE6BA-FDF4-45AF-987A-965CC0AA5F4D}"/>
    <cellStyle name="20% - Accent6 2 3 5 3 2" xfId="4303" xr:uid="{927A7E80-8ED2-4100-BE02-A81E7634ABCB}"/>
    <cellStyle name="20% - Accent6 2 3 5 4" xfId="2748" xr:uid="{C3542CAA-BC34-4233-BF22-38C3904293FD}"/>
    <cellStyle name="20% - Accent6 2 3 5 4 2" xfId="4818" xr:uid="{7A6135FB-6C13-4E30-B8DB-06A9B43BB809}"/>
    <cellStyle name="20% - Accent6 2 3 5 5" xfId="3527" xr:uid="{6AF49B78-F399-467D-9FF7-F25115851B8F}"/>
    <cellStyle name="20% - Accent6 2 3 6" xfId="910" xr:uid="{58035D88-65B4-47A2-AF63-09EA5F52EE40}"/>
    <cellStyle name="20% - Accent6 2 3 6 2" xfId="1369" xr:uid="{D540169E-655E-4C84-B45E-6B1DB8B54FC2}"/>
    <cellStyle name="20% - Accent6 2 3 6 2 2" xfId="2954" xr:uid="{50675C7A-6577-4A5C-991D-ED22EE36167B}"/>
    <cellStyle name="20% - Accent6 2 3 6 2 2 2" xfId="5007" xr:uid="{65598839-5D9B-4C53-A20E-7F1B68E8C8A1}"/>
    <cellStyle name="20% - Accent6 2 3 6 2 3" xfId="3705" xr:uid="{62DD589A-C64D-41BE-9242-2BE1982E890C}"/>
    <cellStyle name="20% - Accent6 2 3 6 3" xfId="1776" xr:uid="{7051D430-BE03-4A13-821F-9744C7A00C9C}"/>
    <cellStyle name="20% - Accent6 2 3 6 3 2" xfId="4093" xr:uid="{BF70B92E-3FB1-471C-9487-DE017DC65267}"/>
    <cellStyle name="20% - Accent6 2 3 6 4" xfId="2471" xr:uid="{A0C23041-B575-4B4D-A7BF-6C61E98E616C}"/>
    <cellStyle name="20% - Accent6 2 3 6 4 2" xfId="4566" xr:uid="{A1296284-1CA4-48AF-A2CB-F970EBCBC826}"/>
    <cellStyle name="20% - Accent6 2 3 6 5" xfId="3317" xr:uid="{9D06DF05-19D8-4E34-8AC1-8E396159B4D7}"/>
    <cellStyle name="20% - Accent6 2 3 7" xfId="1273" xr:uid="{2FF0C43B-24C7-47F5-924E-A2B2B58D2627}"/>
    <cellStyle name="20% - Accent6 2 3 7 2" xfId="2837" xr:uid="{EE60CAAA-6C7D-4A6C-B25F-797CAA413D69}"/>
    <cellStyle name="20% - Accent6 2 3 7 2 2" xfId="4896" xr:uid="{A8B55A67-BE52-4D3B-BF13-B6FB5BB660B7}"/>
    <cellStyle name="20% - Accent6 2 3 7 3" xfId="3631" xr:uid="{34CD7FDD-FB2A-43E7-BC02-B7DB16B109B3}"/>
    <cellStyle name="20% - Accent6 2 3 8" xfId="1698" xr:uid="{09E87D8E-35E0-4811-888E-C3A42E8D5E02}"/>
    <cellStyle name="20% - Accent6 2 3 8 2" xfId="4019" xr:uid="{8F0A643C-EB64-49BA-8BB6-B2B30B06CD0B}"/>
    <cellStyle name="20% - Accent6 2 3 9" xfId="2123" xr:uid="{66606B27-885D-476F-B6DE-6DFC2B4B974C}"/>
    <cellStyle name="20% - Accent6 2 3 9 2" xfId="4410" xr:uid="{CE1EE300-E9BC-4B03-A6F0-45E7FC689167}"/>
    <cellStyle name="20% - Accent6 2 4" xfId="69" xr:uid="{D703226D-595C-4F99-8B38-3AB3BDE36157}"/>
    <cellStyle name="20% - Accent6 2 5" xfId="70" xr:uid="{10205D07-220E-48BA-BEB2-73EEEE84102D}"/>
    <cellStyle name="20% - Accent6 2 6" xfId="2255" xr:uid="{9B8D4C1A-FEA4-4074-9ED6-6EA6A97C8D4D}"/>
    <cellStyle name="20% - Accent6 3" xfId="71" xr:uid="{BC5E640B-9F2E-440C-BACF-4CC3AA3D36FD}"/>
    <cellStyle name="20% - Accent6 4" xfId="72" xr:uid="{4926A168-1D79-4783-AD61-098C5641C459}"/>
    <cellStyle name="40% - Accent1 2" xfId="73" xr:uid="{AEC101B4-BB03-4138-9B2F-7BB80AD10484}"/>
    <cellStyle name="40% - Accent1 2 2" xfId="74" xr:uid="{58560B8A-54F1-4822-9DFF-535B2FD02634}"/>
    <cellStyle name="40% - Accent1 2 3" xfId="75" xr:uid="{31F0A4A4-CD9F-4959-80B8-7A868F33720C}"/>
    <cellStyle name="40% - Accent1 2 3 10" xfId="3244" xr:uid="{B5E72A10-FECF-4245-A853-4F1EBF104254}"/>
    <cellStyle name="40% - Accent1 2 3 2" xfId="822" xr:uid="{9D81EC38-4233-4264-B9C6-A1F7C213F327}"/>
    <cellStyle name="40% - Accent1 2 3 2 2" xfId="1092" xr:uid="{285FDC9A-B940-498B-B8B0-1AACF198B93A}"/>
    <cellStyle name="40% - Accent1 2 3 2 2 2" xfId="1509" xr:uid="{59B03268-DFAC-40E5-AC0E-9AD51168367A}"/>
    <cellStyle name="40% - Accent1 2 3 2 2 2 2" xfId="2678" xr:uid="{24741C43-DCB6-48B4-874D-6DB8B6744135}"/>
    <cellStyle name="40% - Accent1 2 3 2 2 2 2 2" xfId="4748" xr:uid="{015AE632-A809-4DA3-A4D0-316B57536B60}"/>
    <cellStyle name="40% - Accent1 2 3 2 2 2 3" xfId="3844" xr:uid="{C3995E0E-3BB0-4A39-94E9-7D14D309BA50}"/>
    <cellStyle name="40% - Accent1 2 3 2 2 3" xfId="1915" xr:uid="{F316D5E8-4AA2-40C3-9DB9-8A7E1E3D994E}"/>
    <cellStyle name="40% - Accent1 2 3 2 2 3 2" xfId="3061" xr:uid="{17FFE039-F629-4F17-91AA-7521EEB6A213}"/>
    <cellStyle name="40% - Accent1 2 3 2 2 3 2 2" xfId="5110" xr:uid="{06A14B07-DBF3-4D7C-BCCE-6DA06D423715}"/>
    <cellStyle name="40% - Accent1 2 3 2 2 3 3" xfId="4232" xr:uid="{13C42BB5-80E0-4C19-B17F-65C59265D5D0}"/>
    <cellStyle name="40% - Accent1 2 3 2 2 4" xfId="2410" xr:uid="{95AA5FC0-2BA3-421C-8019-E227A8A1FE72}"/>
    <cellStyle name="40% - Accent1 2 3 2 2 4 2" xfId="4511" xr:uid="{CA81596C-8B8A-4807-82FB-3CAC54AF39E3}"/>
    <cellStyle name="40% - Accent1 2 3 2 2 5" xfId="3456" xr:uid="{64B4AAB3-1D90-4F3B-BE46-B70188423BD7}"/>
    <cellStyle name="40% - Accent1 2 3 2 3" xfId="1199" xr:uid="{2D48FDA8-1080-4F0F-82D1-8C83C8FB072B}"/>
    <cellStyle name="40% - Accent1 2 3 2 3 2" xfId="1614" xr:uid="{9B5B9C87-8BD3-44B6-BF2B-1C94B2765136}"/>
    <cellStyle name="40% - Accent1 2 3 2 3 2 2" xfId="3166" xr:uid="{A9A56C3D-A0C9-48D0-BDEC-EAB9EFD8B303}"/>
    <cellStyle name="40% - Accent1 2 3 2 3 2 2 2" xfId="5215" xr:uid="{FA6799C1-251C-4EC8-BE7C-C86AA8EC0EE5}"/>
    <cellStyle name="40% - Accent1 2 3 2 3 2 3" xfId="3949" xr:uid="{6A0B4DB9-4792-43F1-83DF-6CA4C655080D}"/>
    <cellStyle name="40% - Accent1 2 3 2 3 3" xfId="2020" xr:uid="{098500E5-46DA-4A6B-BAFA-B0E44DE4314E}"/>
    <cellStyle name="40% - Accent1 2 3 2 3 3 2" xfId="4337" xr:uid="{FBF98A3B-A7C4-4C16-8AEE-1DA4B2DA6FA1}"/>
    <cellStyle name="40% - Accent1 2 3 2 3 4" xfId="2544" xr:uid="{6C8951CA-B8BB-4DCB-8EEA-D2C185068453}"/>
    <cellStyle name="40% - Accent1 2 3 2 3 4 2" xfId="4623" xr:uid="{025B969F-9674-4EDD-BAAA-A96C5B82DE84}"/>
    <cellStyle name="40% - Accent1 2 3 2 3 5" xfId="3561" xr:uid="{0065BAF1-6674-4E61-8A86-4A611E81B137}"/>
    <cellStyle name="40% - Accent1 2 3 2 4" xfId="969" xr:uid="{77A671DE-5E3C-4732-9CEC-ED031E476526}"/>
    <cellStyle name="40% - Accent1 2 3 2 4 2" xfId="1404" xr:uid="{FF8133CB-0491-4FA9-963E-D07E99DA881B}"/>
    <cellStyle name="40% - Accent1 2 3 2 4 2 2" xfId="2894" xr:uid="{207E40A8-FB92-4446-BC6A-4B66ACDB4F0E}"/>
    <cellStyle name="40% - Accent1 2 3 2 4 2 2 2" xfId="4948" xr:uid="{1E153FB6-0F10-4383-B801-3BB2BB50D2E3}"/>
    <cellStyle name="40% - Accent1 2 3 2 4 2 3" xfId="3739" xr:uid="{DD2D3327-AB5F-4D5D-936F-DFF885342843}"/>
    <cellStyle name="40% - Accent1 2 3 2 4 3" xfId="1810" xr:uid="{73DA4055-F5DD-4C05-B106-73BBFBD96D09}"/>
    <cellStyle name="40% - Accent1 2 3 2 4 3 2" xfId="4127" xr:uid="{069AC6B6-D7FB-455F-8C84-440F2DF50BCB}"/>
    <cellStyle name="40% - Accent1 2 3 2 4 4" xfId="2530" xr:uid="{77BE34E7-C848-46D8-AF66-59573F96D510}"/>
    <cellStyle name="40% - Accent1 2 3 2 4 4 2" xfId="4610" xr:uid="{2CB82141-ABAA-4B05-B1C2-70C2569C3ECB}"/>
    <cellStyle name="40% - Accent1 2 3 2 4 5" xfId="3351" xr:uid="{F8C5D271-4B23-4EFA-BDB5-94E967E29231}"/>
    <cellStyle name="40% - Accent1 2 3 2 5" xfId="1330" xr:uid="{36425B6D-51CF-44CE-AF9C-804A7C16DDE1}"/>
    <cellStyle name="40% - Accent1 2 3 2 5 2" xfId="2909" xr:uid="{EA69A045-7B1E-4FF7-9EF0-6629118CD5EC}"/>
    <cellStyle name="40% - Accent1 2 3 2 5 2 2" xfId="4963" xr:uid="{587C4FE2-14BA-4508-A947-E4CEE2E0678F}"/>
    <cellStyle name="40% - Accent1 2 3 2 5 3" xfId="3666" xr:uid="{17C44674-A745-42BE-A51C-C4309679BE21}"/>
    <cellStyle name="40% - Accent1 2 3 2 6" xfId="1737" xr:uid="{79121E0D-E9F0-4DAF-96B2-7B9E255D0025}"/>
    <cellStyle name="40% - Accent1 2 3 2 6 2" xfId="4054" xr:uid="{2B6F82E4-E9A9-4710-B480-E9E91C2A2ABC}"/>
    <cellStyle name="40% - Accent1 2 3 2 7" xfId="2218" xr:uid="{FAEFEAFE-B213-4960-B66D-0A47971FD560}"/>
    <cellStyle name="40% - Accent1 2 3 2 7 2" xfId="4439" xr:uid="{DB2ACD0F-1347-4AAD-9627-2D29DC6E249F}"/>
    <cellStyle name="40% - Accent1 2 3 2 8" xfId="3278" xr:uid="{A0F98BD8-0BD3-48ED-A579-9B6D52619995}"/>
    <cellStyle name="40% - Accent1 2 3 3" xfId="1007" xr:uid="{AD07991F-32B2-4598-AEFE-3205B609B05D}"/>
    <cellStyle name="40% - Accent1 2 3 3 2" xfId="1126" xr:uid="{4E69AF0B-D97A-4DB4-9266-849739E75935}"/>
    <cellStyle name="40% - Accent1 2 3 3 2 2" xfId="1543" xr:uid="{FD6CAE7C-BB74-455E-A172-5422318BAE37}"/>
    <cellStyle name="40% - Accent1 2 3 3 2 2 2" xfId="3095" xr:uid="{C988FB9E-072E-4CA7-8C02-843875B2FA97}"/>
    <cellStyle name="40% - Accent1 2 3 3 2 2 2 2" xfId="5144" xr:uid="{23B7C785-EE10-4CD0-A573-511EDDB8A092}"/>
    <cellStyle name="40% - Accent1 2 3 3 2 2 3" xfId="3878" xr:uid="{69746BB1-FC43-4082-872E-7E459CF36413}"/>
    <cellStyle name="40% - Accent1 2 3 3 2 3" xfId="1949" xr:uid="{0ECD7AC0-F59D-49CB-8BE4-632FE89EF60A}"/>
    <cellStyle name="40% - Accent1 2 3 3 2 3 2" xfId="4266" xr:uid="{35DD15B7-FA54-4A8A-B744-8737B1049126}"/>
    <cellStyle name="40% - Accent1 2 3 3 2 4" xfId="2711" xr:uid="{26A97D6C-F7B2-479C-BAD0-AF74908A4C12}"/>
    <cellStyle name="40% - Accent1 2 3 3 2 4 2" xfId="4781" xr:uid="{819C8DDE-CD48-453D-A47E-753E2A879C71}"/>
    <cellStyle name="40% - Accent1 2 3 3 2 5" xfId="3490" xr:uid="{1D1CA7B7-72D7-46BD-80E0-E4E26847EC17}"/>
    <cellStyle name="40% - Accent1 2 3 3 3" xfId="1237" xr:uid="{AFE6BE5B-8C45-4F0E-88DB-00E1A757106B}"/>
    <cellStyle name="40% - Accent1 2 3 3 3 2" xfId="1648" xr:uid="{CC420ADE-FA86-4B36-8886-E44A8D6494B9}"/>
    <cellStyle name="40% - Accent1 2 3 3 3 2 2" xfId="3200" xr:uid="{273C4805-9629-45EF-BFFC-84FC60BBA76A}"/>
    <cellStyle name="40% - Accent1 2 3 3 3 2 2 2" xfId="5249" xr:uid="{68B316A1-9256-407B-BF41-474EACFAA8CE}"/>
    <cellStyle name="40% - Accent1 2 3 3 3 2 3" xfId="3983" xr:uid="{EC1281FA-6D1C-46FF-ACC2-14CD0CA86AA1}"/>
    <cellStyle name="40% - Accent1 2 3 3 3 3" xfId="2054" xr:uid="{A8349D09-C0CA-46FE-8588-4BF087E0911C}"/>
    <cellStyle name="40% - Accent1 2 3 3 3 3 2" xfId="4371" xr:uid="{07D8022E-05BD-440D-BFD3-BC3C7DB59734}"/>
    <cellStyle name="40% - Accent1 2 3 3 3 4" xfId="2788" xr:uid="{92BDE0B2-D05E-4311-99FC-4338DCC134ED}"/>
    <cellStyle name="40% - Accent1 2 3 3 3 4 2" xfId="4858" xr:uid="{A0EF94FE-18D0-4819-967F-75D53483AC07}"/>
    <cellStyle name="40% - Accent1 2 3 3 3 5" xfId="3595" xr:uid="{55AB178E-8463-497D-B54D-430E55D48886}"/>
    <cellStyle name="40% - Accent1 2 3 3 4" xfId="1438" xr:uid="{F49BBA75-2555-41A4-89A0-B2563627B0F8}"/>
    <cellStyle name="40% - Accent1 2 3 3 4 2" xfId="2632" xr:uid="{5CB10100-7CCA-40DE-95F3-0F4520104AD8}"/>
    <cellStyle name="40% - Accent1 2 3 3 4 2 2" xfId="4702" xr:uid="{33FE41F2-7F74-4553-8414-97C05FC6692D}"/>
    <cellStyle name="40% - Accent1 2 3 3 4 3" xfId="3773" xr:uid="{EE60A9C3-A466-4BA9-B7B5-290B17269C60}"/>
    <cellStyle name="40% - Accent1 2 3 3 5" xfId="1844" xr:uid="{4EB214AC-3577-4EDD-BFE5-CCD4E6A24E29}"/>
    <cellStyle name="40% - Accent1 2 3 3 5 2" xfId="2992" xr:uid="{22778F43-99BF-4AB4-9CED-D1D7AB73AB44}"/>
    <cellStyle name="40% - Accent1 2 3 3 5 2 2" xfId="5042" xr:uid="{F0866154-DC6F-4646-8602-6185FFC6CE63}"/>
    <cellStyle name="40% - Accent1 2 3 3 5 3" xfId="4161" xr:uid="{0B3FA523-1917-4218-8155-E0037958F7BF}"/>
    <cellStyle name="40% - Accent1 2 3 3 6" xfId="2382" xr:uid="{54565646-600B-4769-8F46-89BD32DF6E13}"/>
    <cellStyle name="40% - Accent1 2 3 3 6 2" xfId="4483" xr:uid="{C83994A0-50BB-445C-8EFB-FBD272B5734C}"/>
    <cellStyle name="40% - Accent1 2 3 3 7" xfId="3385" xr:uid="{023F5F8D-B2C5-44B1-A0EA-F3061E2D7DA9}"/>
    <cellStyle name="40% - Accent1 2 3 4" xfId="1059" xr:uid="{042E5B47-9853-4657-9AD9-B68802BD072E}"/>
    <cellStyle name="40% - Accent1 2 3 4 2" xfId="1476" xr:uid="{03321866-31B7-4743-AF00-6906512A3203}"/>
    <cellStyle name="40% - Accent1 2 3 4 2 2" xfId="3028" xr:uid="{EF9F5D6A-6CAF-4492-95BD-262C76EA1BC5}"/>
    <cellStyle name="40% - Accent1 2 3 4 2 2 2" xfId="5078" xr:uid="{B349CD57-4C1C-4449-AD6E-27C38076A656}"/>
    <cellStyle name="40% - Accent1 2 3 4 2 3" xfId="3811" xr:uid="{DE957DF1-FB59-434D-9EB7-8084AF3A1651}"/>
    <cellStyle name="40% - Accent1 2 3 4 3" xfId="1882" xr:uid="{2711125D-4C42-479A-9109-59BCE007878F}"/>
    <cellStyle name="40% - Accent1 2 3 4 3 2" xfId="4199" xr:uid="{4FBBB6E6-158E-45E0-A3EF-46B87E6B7FBE}"/>
    <cellStyle name="40% - Accent1 2 3 4 4" xfId="2457" xr:uid="{29CC1E34-63E9-42B1-8512-9C6E7BCE112C}"/>
    <cellStyle name="40% - Accent1 2 3 4 4 2" xfId="4557" xr:uid="{72535806-7DAE-4EC3-A8B7-B1485E0341F8}"/>
    <cellStyle name="40% - Accent1 2 3 4 5" xfId="3423" xr:uid="{DAD32F47-380F-4B7B-B91E-37A05FFBFADA}"/>
    <cellStyle name="40% - Accent1 2 3 5" xfId="1164" xr:uid="{2BF13F9C-F7EC-404C-A3E4-34994CBEE955}"/>
    <cellStyle name="40% - Accent1 2 3 5 2" xfId="1581" xr:uid="{293EE834-F8D4-431E-88E5-78FD6D0BDD15}"/>
    <cellStyle name="40% - Accent1 2 3 5 2 2" xfId="3133" xr:uid="{B31E10F1-7DA6-4E3D-80E1-E20AF15588CC}"/>
    <cellStyle name="40% - Accent1 2 3 5 2 2 2" xfId="5182" xr:uid="{0033AD41-6BB1-414A-BBE2-412B14FAD51B}"/>
    <cellStyle name="40% - Accent1 2 3 5 2 3" xfId="3916" xr:uid="{83AB6DAF-6913-4B05-93EC-714324901245}"/>
    <cellStyle name="40% - Accent1 2 3 5 3" xfId="1987" xr:uid="{6821463C-4DD0-4BBD-AD71-24B8F0A72DD1}"/>
    <cellStyle name="40% - Accent1 2 3 5 3 2" xfId="4304" xr:uid="{84161474-E95F-480F-884E-4F4A46E94E60}"/>
    <cellStyle name="40% - Accent1 2 3 5 4" xfId="2749" xr:uid="{B1320752-40FD-468A-A370-2A77C5882172}"/>
    <cellStyle name="40% - Accent1 2 3 5 4 2" xfId="4819" xr:uid="{37F1EF5C-E3DC-4441-A048-E12DB9449673}"/>
    <cellStyle name="40% - Accent1 2 3 5 5" xfId="3528" xr:uid="{5B72715C-DC10-41ED-9694-B707E2CA592F}"/>
    <cellStyle name="40% - Accent1 2 3 6" xfId="911" xr:uid="{ED6FCF0A-28B7-4002-A434-F48E09113731}"/>
    <cellStyle name="40% - Accent1 2 3 6 2" xfId="1370" xr:uid="{43B65372-02F9-499A-811F-CEB55150CE1E}"/>
    <cellStyle name="40% - Accent1 2 3 6 2 2" xfId="2966" xr:uid="{960DCB51-E5A9-4DFE-9598-7EC1E0B8B457}"/>
    <cellStyle name="40% - Accent1 2 3 6 2 2 2" xfId="5017" xr:uid="{C13087CA-52A6-4314-AE41-3CC7A6BD78E1}"/>
    <cellStyle name="40% - Accent1 2 3 6 2 3" xfId="3706" xr:uid="{44BEF122-D46E-40F0-B177-C0B799FB8665}"/>
    <cellStyle name="40% - Accent1 2 3 6 3" xfId="1777" xr:uid="{DB7C65C7-F047-4B8F-8A5A-F69DFF2A2A95}"/>
    <cellStyle name="40% - Accent1 2 3 6 3 2" xfId="4094" xr:uid="{C01EB20A-1575-45C4-9D57-3DB503362915}"/>
    <cellStyle name="40% - Accent1 2 3 6 4" xfId="2472" xr:uid="{F9F81DF3-1FC5-46B0-AB81-92ABCE9EE241}"/>
    <cellStyle name="40% - Accent1 2 3 6 4 2" xfId="4567" xr:uid="{DFCFC0CB-8632-456D-AC3F-2A3E576B4411}"/>
    <cellStyle name="40% - Accent1 2 3 6 5" xfId="3318" xr:uid="{A1286BC3-0396-4B6C-8812-8DF334365794}"/>
    <cellStyle name="40% - Accent1 2 3 7" xfId="1274" xr:uid="{CB5C6837-E29E-4A5D-8A19-838B14B75E91}"/>
    <cellStyle name="40% - Accent1 2 3 7 2" xfId="2838" xr:uid="{F67C3910-192D-4886-8F36-17BF31C494D1}"/>
    <cellStyle name="40% - Accent1 2 3 7 2 2" xfId="4897" xr:uid="{5EEF71DB-55DF-4396-94F6-5660D31D8A2A}"/>
    <cellStyle name="40% - Accent1 2 3 7 3" xfId="3632" xr:uid="{371F972A-A99E-4731-A5AA-763D51A34B27}"/>
    <cellStyle name="40% - Accent1 2 3 8" xfId="1699" xr:uid="{DB034330-6F4A-4435-B075-1DDCBB9E436E}"/>
    <cellStyle name="40% - Accent1 2 3 8 2" xfId="4020" xr:uid="{1A89A05E-E318-4624-9434-7427C173D771}"/>
    <cellStyle name="40% - Accent1 2 3 9" xfId="2124" xr:uid="{DEC64FA1-83FD-4284-87FA-392ADE1B35B8}"/>
    <cellStyle name="40% - Accent1 2 3 9 2" xfId="4411" xr:uid="{D02EE658-08B6-498C-B31F-926C314EF22D}"/>
    <cellStyle name="40% - Accent1 2 4" xfId="76" xr:uid="{014C27C6-3537-4318-9D21-0EB45BAA2338}"/>
    <cellStyle name="40% - Accent1 2 5" xfId="77" xr:uid="{84B8424E-F06B-4444-A112-83BB10EDB79F}"/>
    <cellStyle name="40% - Accent1 2 6" xfId="2256" xr:uid="{EF8D30A7-EE52-4D0F-9961-3571664EDF67}"/>
    <cellStyle name="40% - Accent1 3" xfId="78" xr:uid="{46FEC7D7-C58C-4162-AAF4-B437520D694D}"/>
    <cellStyle name="40% - Accent1 4" xfId="79" xr:uid="{D25A057A-E3FE-4589-9C2A-75F6F9CD2AFC}"/>
    <cellStyle name="40% - Accent2 2" xfId="80" xr:uid="{C838DCD8-143B-4C3F-9E12-8CBCDA69DD86}"/>
    <cellStyle name="40% - Accent2 2 2" xfId="81" xr:uid="{6F585C7B-232D-4BE6-AF67-D95A6B3506FB}"/>
    <cellStyle name="40% - Accent2 2 3" xfId="82" xr:uid="{5EAF2F73-557B-47E5-8C84-164128FEB7E2}"/>
    <cellStyle name="40% - Accent2 2 3 10" xfId="3245" xr:uid="{302796E9-2AA8-4141-9625-26D3284AE90E}"/>
    <cellStyle name="40% - Accent2 2 3 2" xfId="823" xr:uid="{DD0D2415-3B23-438B-A071-F2C5CAB32D37}"/>
    <cellStyle name="40% - Accent2 2 3 2 2" xfId="1093" xr:uid="{232939E9-4F96-4DDF-8E88-BE05FC57FE65}"/>
    <cellStyle name="40% - Accent2 2 3 2 2 2" xfId="1510" xr:uid="{CF739255-A77E-42AE-A910-C1D1754045AD}"/>
    <cellStyle name="40% - Accent2 2 3 2 2 2 2" xfId="2679" xr:uid="{FB4D0939-A462-48FC-922F-860B6CB2C3E1}"/>
    <cellStyle name="40% - Accent2 2 3 2 2 2 2 2" xfId="4749" xr:uid="{CD4D06CE-9421-45D3-AFFB-79D90FB6ECB0}"/>
    <cellStyle name="40% - Accent2 2 3 2 2 2 3" xfId="3845" xr:uid="{DDB2E846-5C13-4931-90F4-304CAF333517}"/>
    <cellStyle name="40% - Accent2 2 3 2 2 3" xfId="1916" xr:uid="{6BFE7270-3BA2-4256-9E1E-ADD619769FBD}"/>
    <cellStyle name="40% - Accent2 2 3 2 2 3 2" xfId="3062" xr:uid="{E691A924-7317-4298-A743-361B9AB370BE}"/>
    <cellStyle name="40% - Accent2 2 3 2 2 3 2 2" xfId="5111" xr:uid="{8B2D215B-079B-4730-B6F6-519145EFA863}"/>
    <cellStyle name="40% - Accent2 2 3 2 2 3 3" xfId="4233" xr:uid="{0248A874-7F60-45F2-87B1-2F26C6307A42}"/>
    <cellStyle name="40% - Accent2 2 3 2 2 4" xfId="2411" xr:uid="{D592EA96-BB75-4379-A2C6-A5DEB03EF80F}"/>
    <cellStyle name="40% - Accent2 2 3 2 2 4 2" xfId="4512" xr:uid="{A1F07E9E-5F64-4A9A-BCC1-E9E5B0D8C8D4}"/>
    <cellStyle name="40% - Accent2 2 3 2 2 5" xfId="3457" xr:uid="{EDF8390F-3375-424B-BB17-AE161F6790C4}"/>
    <cellStyle name="40% - Accent2 2 3 2 3" xfId="1200" xr:uid="{7D9F0F35-191E-40EB-9BFE-82CCF5C1ABCC}"/>
    <cellStyle name="40% - Accent2 2 3 2 3 2" xfId="1615" xr:uid="{0390BDEE-EE1B-4998-9EF4-BD5152FD926E}"/>
    <cellStyle name="40% - Accent2 2 3 2 3 2 2" xfId="3167" xr:uid="{BF12C8C0-FEAC-4D02-B0B3-09333D46FBF7}"/>
    <cellStyle name="40% - Accent2 2 3 2 3 2 2 2" xfId="5216" xr:uid="{37B2A844-19B6-402C-8D5C-C50AF7E47EE0}"/>
    <cellStyle name="40% - Accent2 2 3 2 3 2 3" xfId="3950" xr:uid="{9965D629-8E62-412A-AD35-E2ABDFD93875}"/>
    <cellStyle name="40% - Accent2 2 3 2 3 3" xfId="2021" xr:uid="{DB3648C6-A0B3-4CB6-BA74-DECE16F5CC12}"/>
    <cellStyle name="40% - Accent2 2 3 2 3 3 2" xfId="4338" xr:uid="{FDC2C31E-0537-44BC-8F46-C01D9355679E}"/>
    <cellStyle name="40% - Accent2 2 3 2 3 4" xfId="2545" xr:uid="{2307646E-960F-4202-80AE-267348D04521}"/>
    <cellStyle name="40% - Accent2 2 3 2 3 4 2" xfId="4624" xr:uid="{9F070016-F053-4518-ABEC-228BC4E59B93}"/>
    <cellStyle name="40% - Accent2 2 3 2 3 5" xfId="3562" xr:uid="{7AE0C34D-2AD2-46F4-9F07-AF693C8ED243}"/>
    <cellStyle name="40% - Accent2 2 3 2 4" xfId="970" xr:uid="{9577D923-0779-42C0-BCF8-A0F222A7E0FE}"/>
    <cellStyle name="40% - Accent2 2 3 2 4 2" xfId="1405" xr:uid="{902E8E8D-8BC5-43CE-A40A-D4A30A40D4E6}"/>
    <cellStyle name="40% - Accent2 2 3 2 4 2 2" xfId="2940" xr:uid="{E00ED5EB-0F58-4FB2-B7B9-69CCDA56B358}"/>
    <cellStyle name="40% - Accent2 2 3 2 4 2 2 2" xfId="4994" xr:uid="{617C9A27-7882-4CEE-BDC9-EA0C2ED48EC8}"/>
    <cellStyle name="40% - Accent2 2 3 2 4 2 3" xfId="3740" xr:uid="{49EC3744-E7B8-4277-A270-70E8FE2E257A}"/>
    <cellStyle name="40% - Accent2 2 3 2 4 3" xfId="1811" xr:uid="{49908224-D2CE-4D17-849D-24F6F7712CAD}"/>
    <cellStyle name="40% - Accent2 2 3 2 4 3 2" xfId="4128" xr:uid="{1C41F2F6-42CC-4A17-BE8F-0063167E8B3C}"/>
    <cellStyle name="40% - Accent2 2 3 2 4 4" xfId="2481" xr:uid="{D2EA2C74-470C-4A4D-8A91-1A36D049CB09}"/>
    <cellStyle name="40% - Accent2 2 3 2 4 4 2" xfId="4575" xr:uid="{6B880199-695B-4C51-AE03-9151F8CB672E}"/>
    <cellStyle name="40% - Accent2 2 3 2 4 5" xfId="3352" xr:uid="{BAC54FA0-BF20-4603-86E6-700BE01BF8A9}"/>
    <cellStyle name="40% - Accent2 2 3 2 5" xfId="1331" xr:uid="{577C529F-4704-44BB-AB0A-99951B964B08}"/>
    <cellStyle name="40% - Accent2 2 3 2 5 2" xfId="2910" xr:uid="{50C61E10-F32A-4926-BB33-A266CE981CA7}"/>
    <cellStyle name="40% - Accent2 2 3 2 5 2 2" xfId="4964" xr:uid="{4AC5CF60-A01A-4330-9E6B-1FAEB8EDB3C0}"/>
    <cellStyle name="40% - Accent2 2 3 2 5 3" xfId="3667" xr:uid="{7CF7FCEB-5395-415C-8B7A-60396DEF2E91}"/>
    <cellStyle name="40% - Accent2 2 3 2 6" xfId="1738" xr:uid="{06FD6A75-B883-47A2-871A-065EAAE026B3}"/>
    <cellStyle name="40% - Accent2 2 3 2 6 2" xfId="4055" xr:uid="{0BCBAC9F-514C-4E31-A3A3-AEB25E21D6CD}"/>
    <cellStyle name="40% - Accent2 2 3 2 7" xfId="2219" xr:uid="{BCDDB54A-BED9-4BD3-A3CB-F54B072B1A67}"/>
    <cellStyle name="40% - Accent2 2 3 2 7 2" xfId="4440" xr:uid="{AA03BC6D-60DB-4598-97B0-D0781371E166}"/>
    <cellStyle name="40% - Accent2 2 3 2 8" xfId="3279" xr:uid="{31684B02-BB91-4D87-B271-777E0E0816A3}"/>
    <cellStyle name="40% - Accent2 2 3 3" xfId="1008" xr:uid="{56E3E8FC-96FF-4619-83C9-6008BB982396}"/>
    <cellStyle name="40% - Accent2 2 3 3 2" xfId="1127" xr:uid="{463E991E-319D-46B5-B744-92CBC96EABE1}"/>
    <cellStyle name="40% - Accent2 2 3 3 2 2" xfId="1544" xr:uid="{3347922F-22C0-4D91-8F47-3448156F959A}"/>
    <cellStyle name="40% - Accent2 2 3 3 2 2 2" xfId="3096" xr:uid="{61436B91-F098-488E-BBB2-77EB72496087}"/>
    <cellStyle name="40% - Accent2 2 3 3 2 2 2 2" xfId="5145" xr:uid="{62EE6FBE-8D3C-44DB-9BF8-D862EBD9671F}"/>
    <cellStyle name="40% - Accent2 2 3 3 2 2 3" xfId="3879" xr:uid="{9411278D-5398-45A4-A021-1154BE8C89DD}"/>
    <cellStyle name="40% - Accent2 2 3 3 2 3" xfId="1950" xr:uid="{507AE252-4F49-4519-92E7-1B24610838A2}"/>
    <cellStyle name="40% - Accent2 2 3 3 2 3 2" xfId="4267" xr:uid="{9097C2DA-7563-4E08-A827-65CC9D9A111E}"/>
    <cellStyle name="40% - Accent2 2 3 3 2 4" xfId="2712" xr:uid="{D0025D07-01C6-4074-A20E-FF40314DB1AE}"/>
    <cellStyle name="40% - Accent2 2 3 3 2 4 2" xfId="4782" xr:uid="{A5B1975A-84DF-46C2-BD74-7140BBB1F753}"/>
    <cellStyle name="40% - Accent2 2 3 3 2 5" xfId="3491" xr:uid="{A9F9B72D-46C1-4010-B9E8-94A4D80A6349}"/>
    <cellStyle name="40% - Accent2 2 3 3 3" xfId="1238" xr:uid="{8EE69E62-D19B-4BB4-896E-3D3ABA5E00F2}"/>
    <cellStyle name="40% - Accent2 2 3 3 3 2" xfId="1649" xr:uid="{5D70F800-E4D9-4CDB-8CFC-5D761309B0E3}"/>
    <cellStyle name="40% - Accent2 2 3 3 3 2 2" xfId="3201" xr:uid="{2F8F3355-81E3-4146-B30D-C702CCB63B56}"/>
    <cellStyle name="40% - Accent2 2 3 3 3 2 2 2" xfId="5250" xr:uid="{A468EB0E-B809-4459-9732-F91850C4433B}"/>
    <cellStyle name="40% - Accent2 2 3 3 3 2 3" xfId="3984" xr:uid="{D9BF38AE-DF44-495C-AD0F-EBBF2B213EC3}"/>
    <cellStyle name="40% - Accent2 2 3 3 3 3" xfId="2055" xr:uid="{84598BFB-0AA5-42D9-AF8E-81B1FDFAA679}"/>
    <cellStyle name="40% - Accent2 2 3 3 3 3 2" xfId="4372" xr:uid="{640C78B0-997A-4549-B999-CE735EFF0B86}"/>
    <cellStyle name="40% - Accent2 2 3 3 3 4" xfId="2789" xr:uid="{8C0378BA-8D0E-4877-B5D5-63C4752E8456}"/>
    <cellStyle name="40% - Accent2 2 3 3 3 4 2" xfId="4859" xr:uid="{4198512D-486E-4429-99DC-250CE963E0D1}"/>
    <cellStyle name="40% - Accent2 2 3 3 3 5" xfId="3596" xr:uid="{9E3F7949-F4C2-4552-B489-0B4C6D258F79}"/>
    <cellStyle name="40% - Accent2 2 3 3 4" xfId="1439" xr:uid="{3085CAD3-F5C5-49C5-B4AF-E77E2AB9C7FE}"/>
    <cellStyle name="40% - Accent2 2 3 3 4 2" xfId="2633" xr:uid="{617B8F07-929E-4582-9CB7-992EA748CF1F}"/>
    <cellStyle name="40% - Accent2 2 3 3 4 2 2" xfId="4703" xr:uid="{F8DD216C-B745-4508-87EB-939BA2E5EB1F}"/>
    <cellStyle name="40% - Accent2 2 3 3 4 3" xfId="3774" xr:uid="{AB52E4B3-73C6-49CE-9638-C1886BE086B4}"/>
    <cellStyle name="40% - Accent2 2 3 3 5" xfId="1845" xr:uid="{BB45EA0B-9379-419D-B490-2931AA05383D}"/>
    <cellStyle name="40% - Accent2 2 3 3 5 2" xfId="2993" xr:uid="{5156CB8D-DDE3-4A33-8C9F-DA82B395E7F8}"/>
    <cellStyle name="40% - Accent2 2 3 3 5 2 2" xfId="5043" xr:uid="{0FB82A3E-7909-4CEE-961D-EC4E0307FA53}"/>
    <cellStyle name="40% - Accent2 2 3 3 5 3" xfId="4162" xr:uid="{40E79389-8767-4A81-A0C9-C6463C510AEC}"/>
    <cellStyle name="40% - Accent2 2 3 3 6" xfId="2383" xr:uid="{78827F19-FBB9-4FE6-B044-CAA5A8D3DB1F}"/>
    <cellStyle name="40% - Accent2 2 3 3 6 2" xfId="4484" xr:uid="{2BA7C0DE-C381-4C6E-B48A-6078A09B50DE}"/>
    <cellStyle name="40% - Accent2 2 3 3 7" xfId="3386" xr:uid="{A3D352DE-9D42-40BA-A2D7-6240E6E42A3C}"/>
    <cellStyle name="40% - Accent2 2 3 4" xfId="1062" xr:uid="{19672C26-6C19-4924-A3F8-EE3B38CD9B17}"/>
    <cellStyle name="40% - Accent2 2 3 4 2" xfId="1479" xr:uid="{42175BD2-A8D0-468B-A3FF-53FC1822FC64}"/>
    <cellStyle name="40% - Accent2 2 3 4 2 2" xfId="3031" xr:uid="{C76A72BE-3E1F-446E-B148-A3F8F1F4A93A}"/>
    <cellStyle name="40% - Accent2 2 3 4 2 2 2" xfId="5081" xr:uid="{3BBB9876-FC7E-4993-9B09-A79A1C3207D6}"/>
    <cellStyle name="40% - Accent2 2 3 4 2 3" xfId="3814" xr:uid="{E3F13C46-A749-451C-A322-1B4AFBBEAAC5}"/>
    <cellStyle name="40% - Accent2 2 3 4 3" xfId="1885" xr:uid="{7D82EECD-A0E8-42C7-BED9-C2CC75AA966A}"/>
    <cellStyle name="40% - Accent2 2 3 4 3 2" xfId="4202" xr:uid="{388938E2-116C-436A-90ED-B4AA1B9260B6}"/>
    <cellStyle name="40% - Accent2 2 3 4 4" xfId="2459" xr:uid="{9BEE2B9D-B864-45FA-B38F-B912376221E8}"/>
    <cellStyle name="40% - Accent2 2 3 4 4 2" xfId="4558" xr:uid="{2F175AE5-D1E4-478E-9497-DB6EB11C6B14}"/>
    <cellStyle name="40% - Accent2 2 3 4 5" xfId="3426" xr:uid="{D31D2D86-C042-41CE-AF66-41B12BEBDEC0}"/>
    <cellStyle name="40% - Accent2 2 3 5" xfId="1168" xr:uid="{CE2771F5-4910-4316-8C9C-52DA19350015}"/>
    <cellStyle name="40% - Accent2 2 3 5 2" xfId="1584" xr:uid="{8B27EA5A-D994-47DB-9E1E-3ABA8669A1AC}"/>
    <cellStyle name="40% - Accent2 2 3 5 2 2" xfId="3136" xr:uid="{CCBD3025-5A39-4918-B90C-A279FB12E465}"/>
    <cellStyle name="40% - Accent2 2 3 5 2 2 2" xfId="5185" xr:uid="{F826361D-FFD5-4033-B95C-C0BE4D23F2D8}"/>
    <cellStyle name="40% - Accent2 2 3 5 2 3" xfId="3919" xr:uid="{59D6EBB4-A1D7-4194-A13E-2A8AB1ECA4BF}"/>
    <cellStyle name="40% - Accent2 2 3 5 3" xfId="1990" xr:uid="{6BC6AF7E-08E0-4C74-9148-20A2D17D7299}"/>
    <cellStyle name="40% - Accent2 2 3 5 3 2" xfId="4307" xr:uid="{C1420693-B252-469C-AC7D-DBE4184DF2CB}"/>
    <cellStyle name="40% - Accent2 2 3 5 4" xfId="2752" xr:uid="{99BC5F4B-993C-489B-B76E-29A55364CCFB}"/>
    <cellStyle name="40% - Accent2 2 3 5 4 2" xfId="4822" xr:uid="{3CAC2040-EC4C-4D3D-8AD7-2524A8E73F72}"/>
    <cellStyle name="40% - Accent2 2 3 5 5" xfId="3531" xr:uid="{037FD643-B2A7-4765-84AD-7D13E9533E53}"/>
    <cellStyle name="40% - Accent2 2 3 6" xfId="916" xr:uid="{F4255B1D-148F-4448-B33F-37B243A66C33}"/>
    <cellStyle name="40% - Accent2 2 3 6 2" xfId="1373" xr:uid="{3136CA15-7B82-4BEF-A517-4698085FD304}"/>
    <cellStyle name="40% - Accent2 2 3 6 2 2" xfId="2955" xr:uid="{FC50C865-87A5-4CD0-932C-BD7B0E3AF020}"/>
    <cellStyle name="40% - Accent2 2 3 6 2 2 2" xfId="5008" xr:uid="{C7A2DF69-932A-4926-8007-3A273092FB67}"/>
    <cellStyle name="40% - Accent2 2 3 6 2 3" xfId="3709" xr:uid="{1FF8598F-ACD2-45B6-B6B2-4C725DDA5DF2}"/>
    <cellStyle name="40% - Accent2 2 3 6 3" xfId="1780" xr:uid="{805C9A30-3A5D-4B15-932D-BDBB997B6BC1}"/>
    <cellStyle name="40% - Accent2 2 3 6 3 2" xfId="4097" xr:uid="{C6BE2856-3506-4130-B0C3-7635F6E1B891}"/>
    <cellStyle name="40% - Accent2 2 3 6 4" xfId="2520" xr:uid="{62C799FA-C63A-46A5-9D61-A8EDAAEDD497}"/>
    <cellStyle name="40% - Accent2 2 3 6 4 2" xfId="4601" xr:uid="{0374F89A-2D13-4DED-813D-E533D82212A0}"/>
    <cellStyle name="40% - Accent2 2 3 6 5" xfId="3321" xr:uid="{773820F3-3E38-4E62-B402-C6B883169294}"/>
    <cellStyle name="40% - Accent2 2 3 7" xfId="1277" xr:uid="{F43B5A1F-28D2-4172-ACEA-DDE3B5CED8C8}"/>
    <cellStyle name="40% - Accent2 2 3 7 2" xfId="2839" xr:uid="{196108CC-6E3B-4C8A-B946-6DBDD7848033}"/>
    <cellStyle name="40% - Accent2 2 3 7 2 2" xfId="4898" xr:uid="{966EE173-BBA4-4645-91D6-48F19F6CDF0B}"/>
    <cellStyle name="40% - Accent2 2 3 7 3" xfId="3633" xr:uid="{971F011F-9E2F-47A3-9C63-8FA78675EE1E}"/>
    <cellStyle name="40% - Accent2 2 3 8" xfId="1700" xr:uid="{FCABDB69-A983-41FA-AFF0-DDD0BC25390B}"/>
    <cellStyle name="40% - Accent2 2 3 8 2" xfId="4021" xr:uid="{19D5FB92-12C0-4656-BD58-F3DEDD348C73}"/>
    <cellStyle name="40% - Accent2 2 3 9" xfId="2125" xr:uid="{D5697FE6-80E2-4CB1-882C-6C4B6D22075E}"/>
    <cellStyle name="40% - Accent2 2 3 9 2" xfId="4412" xr:uid="{99842EB9-8A50-4774-A88C-04C9D7979494}"/>
    <cellStyle name="40% - Accent2 3" xfId="83" xr:uid="{ADC9B12D-E895-4A5F-99B6-8A1A1FA6B45A}"/>
    <cellStyle name="40% - Accent2 4" xfId="84" xr:uid="{9B9284F4-B589-4175-8621-8A9FA095D74F}"/>
    <cellStyle name="40% - Accent3 2" xfId="85" xr:uid="{558F5B2E-8FE4-465B-85F7-F4BDF49C4174}"/>
    <cellStyle name="40% - Accent3 2 2" xfId="86" xr:uid="{889D3268-59B5-44E7-B77D-9C0FF81F9B42}"/>
    <cellStyle name="40% - Accent3 2 2 2" xfId="2257" xr:uid="{D914833F-19BE-488E-89A4-A4D7B394111C}"/>
    <cellStyle name="40% - Accent3 2 2 3" xfId="2126" xr:uid="{6476EAEB-F811-463D-A8BB-1ECAA3AE863A}"/>
    <cellStyle name="40% - Accent3 2 3" xfId="87" xr:uid="{BCBD0791-3715-4DF9-AC1D-2A6CE323E5D7}"/>
    <cellStyle name="40% - Accent3 2 3 10" xfId="3246" xr:uid="{3B3C63E6-92DD-4750-BEFB-E7F4E1A3DE4B}"/>
    <cellStyle name="40% - Accent3 2 3 2" xfId="824" xr:uid="{BDC740BB-AD8D-490E-B6EE-7F247D151125}"/>
    <cellStyle name="40% - Accent3 2 3 2 2" xfId="1094" xr:uid="{99F1F97E-03D1-4131-9123-C75B6CB513F6}"/>
    <cellStyle name="40% - Accent3 2 3 2 2 2" xfId="1511" xr:uid="{17AF15D0-C4D9-4DAE-BBD1-799FC253329D}"/>
    <cellStyle name="40% - Accent3 2 3 2 2 2 2" xfId="2680" xr:uid="{2E2E2439-5B6A-4D5E-90C3-2C3D34B5AD6A}"/>
    <cellStyle name="40% - Accent3 2 3 2 2 2 2 2" xfId="4750" xr:uid="{EE0C662A-646B-46B6-9D6E-49DEEA15F9AA}"/>
    <cellStyle name="40% - Accent3 2 3 2 2 2 3" xfId="3846" xr:uid="{71CDEBC5-7013-4EAD-A321-7AF374D29923}"/>
    <cellStyle name="40% - Accent3 2 3 2 2 3" xfId="1917" xr:uid="{D89A1060-5DED-4BEC-AB4E-AFACA792A949}"/>
    <cellStyle name="40% - Accent3 2 3 2 2 3 2" xfId="3063" xr:uid="{09EE97B2-1D84-40F3-A5D3-CC1AA77FEC68}"/>
    <cellStyle name="40% - Accent3 2 3 2 2 3 2 2" xfId="5112" xr:uid="{28D0771E-CC41-42BE-BE2F-5D865C1DF1E6}"/>
    <cellStyle name="40% - Accent3 2 3 2 2 3 3" xfId="4234" xr:uid="{732ED5BB-4511-47E7-88F9-4B093171612D}"/>
    <cellStyle name="40% - Accent3 2 3 2 2 4" xfId="2412" xr:uid="{A0C38011-9AF4-4B4F-BFC7-E0BE64C25914}"/>
    <cellStyle name="40% - Accent3 2 3 2 2 4 2" xfId="4513" xr:uid="{FCC5C66B-2FA4-41A5-9FE2-C8294FB087AD}"/>
    <cellStyle name="40% - Accent3 2 3 2 2 5" xfId="3458" xr:uid="{C01A4C49-0C56-4236-AE6F-5CFDC03B8753}"/>
    <cellStyle name="40% - Accent3 2 3 2 3" xfId="1201" xr:uid="{D2EB36DB-7D52-4320-B12D-E00498346544}"/>
    <cellStyle name="40% - Accent3 2 3 2 3 2" xfId="1616" xr:uid="{840B1970-D4D7-4CF4-A443-0D04FB1569A1}"/>
    <cellStyle name="40% - Accent3 2 3 2 3 2 2" xfId="2777" xr:uid="{D2023988-6D5B-4CAF-BC84-737D034E2399}"/>
    <cellStyle name="40% - Accent3 2 3 2 3 2 2 2" xfId="4847" xr:uid="{91A6F21B-B2E2-4514-8DAF-3DE04E3F493A}"/>
    <cellStyle name="40% - Accent3 2 3 2 3 2 3" xfId="3951" xr:uid="{CA700542-04AB-4DEB-A79F-EB45101BA035}"/>
    <cellStyle name="40% - Accent3 2 3 2 3 3" xfId="2022" xr:uid="{38569338-2A6C-4173-9C31-04010AB486F9}"/>
    <cellStyle name="40% - Accent3 2 3 2 3 3 2" xfId="3168" xr:uid="{FB333B6E-E1AF-4350-894C-87CDF34DBBD3}"/>
    <cellStyle name="40% - Accent3 2 3 2 3 3 2 2" xfId="5217" xr:uid="{2F0802FD-5314-4121-BF41-7A3FD93A140A}"/>
    <cellStyle name="40% - Accent3 2 3 2 3 3 3" xfId="4339" xr:uid="{83C1DA5D-4B9C-4210-892F-40C01E9B45DC}"/>
    <cellStyle name="40% - Accent3 2 3 2 3 4" xfId="2546" xr:uid="{1776B72F-069B-4B42-8C1D-FA1CF4706C3F}"/>
    <cellStyle name="40% - Accent3 2 3 2 3 4 2" xfId="4625" xr:uid="{2AB62D5B-DBC8-4302-B052-01B4F8E413D3}"/>
    <cellStyle name="40% - Accent3 2 3 2 3 5" xfId="3563" xr:uid="{F889A96B-7F69-4136-B12C-40E565E92532}"/>
    <cellStyle name="40% - Accent3 2 3 2 4" xfId="971" xr:uid="{27D29488-64F7-4A29-A99C-03BD6D7306C2}"/>
    <cellStyle name="40% - Accent3 2 3 2 4 2" xfId="1406" xr:uid="{A317942D-A640-41D3-A297-BB06FF0FB0A7}"/>
    <cellStyle name="40% - Accent3 2 3 2 4 2 2" xfId="2978" xr:uid="{AF67BD67-9768-4EC0-BCC2-91F7306C13D3}"/>
    <cellStyle name="40% - Accent3 2 3 2 4 2 2 2" xfId="5028" xr:uid="{34A221B0-A453-4FCB-966B-BF224CD1433F}"/>
    <cellStyle name="40% - Accent3 2 3 2 4 2 3" xfId="3741" xr:uid="{3D307DFE-AD2C-4A9A-8382-A033511D1ADF}"/>
    <cellStyle name="40% - Accent3 2 3 2 4 3" xfId="1812" xr:uid="{DFA035C5-670A-4A66-BF88-BC05AE480AEC}"/>
    <cellStyle name="40% - Accent3 2 3 2 4 3 2" xfId="4129" xr:uid="{024ACB0E-F498-49F7-B9A7-3C676E123B94}"/>
    <cellStyle name="40% - Accent3 2 3 2 4 4" xfId="2603" xr:uid="{445EA661-621D-4D35-B1CC-41D7FE2B4AB1}"/>
    <cellStyle name="40% - Accent3 2 3 2 4 4 2" xfId="4674" xr:uid="{01C65168-972A-4469-9E5D-3FFB09BE902D}"/>
    <cellStyle name="40% - Accent3 2 3 2 4 5" xfId="3353" xr:uid="{FB9F1AFA-7CBC-43F3-93E6-CFA32423BCA8}"/>
    <cellStyle name="40% - Accent3 2 3 2 5" xfId="1332" xr:uid="{0B838EE9-D69E-4254-A0E6-3133AFA11A1C}"/>
    <cellStyle name="40% - Accent3 2 3 2 5 2" xfId="2487" xr:uid="{94E57BB1-6F10-4FF1-A7EF-C966BC0AD9A8}"/>
    <cellStyle name="40% - Accent3 2 3 2 5 2 2" xfId="4580" xr:uid="{87864712-E8F1-46EB-BA96-2BF3E0C91CC3}"/>
    <cellStyle name="40% - Accent3 2 3 2 5 3" xfId="3668" xr:uid="{E1CA3795-BE00-460F-8EFF-BB6B461B0804}"/>
    <cellStyle name="40% - Accent3 2 3 2 6" xfId="1739" xr:uid="{4E68261D-17FC-452F-959D-9DEF7A477131}"/>
    <cellStyle name="40% - Accent3 2 3 2 6 2" xfId="2911" xr:uid="{264E99CA-7CC6-4F59-B872-A60CB02DA60F}"/>
    <cellStyle name="40% - Accent3 2 3 2 6 2 2" xfId="4965" xr:uid="{C16644E0-555D-4D9C-9774-E50AF5D84F36}"/>
    <cellStyle name="40% - Accent3 2 3 2 6 3" xfId="4056" xr:uid="{07285279-D749-49BD-9F01-8B1E02AF2C46}"/>
    <cellStyle name="40% - Accent3 2 3 2 7" xfId="2853" xr:uid="{331DD4FC-ED90-4FD3-9500-6F1003A2C374}"/>
    <cellStyle name="40% - Accent3 2 3 2 7 2" xfId="4910" xr:uid="{D1082E1D-940E-4868-80F3-5BAD8AED6E2E}"/>
    <cellStyle name="40% - Accent3 2 3 2 8" xfId="2220" xr:uid="{A1F52178-514B-4357-8FC7-07D38C572482}"/>
    <cellStyle name="40% - Accent3 2 3 2 8 2" xfId="4441" xr:uid="{096BE467-E60E-41EF-B2D9-A759CD037057}"/>
    <cellStyle name="40% - Accent3 2 3 2 9" xfId="3280" xr:uid="{D86E7C84-CE83-4DBB-8EA0-FF622C0E769F}"/>
    <cellStyle name="40% - Accent3 2 3 3" xfId="1009" xr:uid="{30C16833-BB94-48CE-B2F0-466DF4FF3A9C}"/>
    <cellStyle name="40% - Accent3 2 3 3 2" xfId="1128" xr:uid="{DBDA3103-8E56-41AB-9347-B2EDC91E5CB8}"/>
    <cellStyle name="40% - Accent3 2 3 3 2 2" xfId="1545" xr:uid="{CDD9222A-30B4-4F70-ABDD-92DEC599FAFD}"/>
    <cellStyle name="40% - Accent3 2 3 3 2 2 2" xfId="2713" xr:uid="{49F84424-1C0E-4397-A216-D270CF72D276}"/>
    <cellStyle name="40% - Accent3 2 3 3 2 2 2 2" xfId="4783" xr:uid="{8906626D-C3CD-498E-952A-962973170843}"/>
    <cellStyle name="40% - Accent3 2 3 3 2 2 3" xfId="3880" xr:uid="{B07B4337-D5B3-423B-837B-2B86163CA0B4}"/>
    <cellStyle name="40% - Accent3 2 3 3 2 3" xfId="1951" xr:uid="{66CE54F3-C7B1-4BCF-BAF3-BF701BDB458A}"/>
    <cellStyle name="40% - Accent3 2 3 3 2 3 2" xfId="3097" xr:uid="{AF66DF2D-46B0-4EBC-93B3-75DA602885AA}"/>
    <cellStyle name="40% - Accent3 2 3 3 2 3 2 2" xfId="5146" xr:uid="{38283076-BC4A-4334-8C36-BEFE383381ED}"/>
    <cellStyle name="40% - Accent3 2 3 3 2 3 3" xfId="4268" xr:uid="{A6EE991E-9F10-4335-AAE4-B244BE77D0BC}"/>
    <cellStyle name="40% - Accent3 2 3 3 2 4" xfId="2433" xr:uid="{BA583D1F-7701-4D09-986D-CB0D53836B43}"/>
    <cellStyle name="40% - Accent3 2 3 3 2 4 2" xfId="4534" xr:uid="{98F025F7-866D-4D3A-9E22-8C0B109B1761}"/>
    <cellStyle name="40% - Accent3 2 3 3 2 5" xfId="3492" xr:uid="{7CB23C14-8946-4FB7-A6D0-F866D14F3CBC}"/>
    <cellStyle name="40% - Accent3 2 3 3 3" xfId="1239" xr:uid="{5DE7602C-20E4-4C88-A7DC-CAA41F248770}"/>
    <cellStyle name="40% - Accent3 2 3 3 3 2" xfId="1650" xr:uid="{DDD1CB3F-1872-4A77-A69A-E7110912BB0F}"/>
    <cellStyle name="40% - Accent3 2 3 3 3 2 2" xfId="3202" xr:uid="{C5588923-DD24-44F3-BB1B-F68C4F5ED0D6}"/>
    <cellStyle name="40% - Accent3 2 3 3 3 2 2 2" xfId="5251" xr:uid="{91755092-C73F-46D5-B1CD-FC92487233E1}"/>
    <cellStyle name="40% - Accent3 2 3 3 3 2 3" xfId="3985" xr:uid="{8FCA7A77-9048-4B8D-8C25-78C72964A37E}"/>
    <cellStyle name="40% - Accent3 2 3 3 3 3" xfId="2056" xr:uid="{86EB96F3-4945-4461-849C-00FA79162DE4}"/>
    <cellStyle name="40% - Accent3 2 3 3 3 3 2" xfId="4373" xr:uid="{146A83D6-390A-4C98-B438-60F2D2ED3D01}"/>
    <cellStyle name="40% - Accent3 2 3 3 3 4" xfId="2567" xr:uid="{EA435B1B-B14E-4AAD-955E-2272BFA9B3A8}"/>
    <cellStyle name="40% - Accent3 2 3 3 3 4 2" xfId="4646" xr:uid="{5DE57AF4-0E8F-4E0C-89FF-873962DC94BA}"/>
    <cellStyle name="40% - Accent3 2 3 3 3 5" xfId="3597" xr:uid="{9056D83D-0540-4845-8E0C-0378B4ED8362}"/>
    <cellStyle name="40% - Accent3 2 3 3 4" xfId="1440" xr:uid="{52729846-9431-4043-8723-D0AB9C00B885}"/>
    <cellStyle name="40% - Accent3 2 3 3 4 2" xfId="2935" xr:uid="{628C0126-4308-4A67-8445-7FAA4F01E71B}"/>
    <cellStyle name="40% - Accent3 2 3 3 4 2 2" xfId="4989" xr:uid="{9C034039-6956-45B0-88E8-473EDB5BDA7E}"/>
    <cellStyle name="40% - Accent3 2 3 3 4 3" xfId="3775" xr:uid="{202FBF91-9438-43AE-9F03-BA2290E8EC10}"/>
    <cellStyle name="40% - Accent3 2 3 3 5" xfId="1846" xr:uid="{4C726A9C-6DC0-4A2F-803E-D7882F897190}"/>
    <cellStyle name="40% - Accent3 2 3 3 5 2" xfId="4163" xr:uid="{05861F6E-14AC-426B-9803-6B46239DA8E9}"/>
    <cellStyle name="40% - Accent3 2 3 3 6" xfId="2258" xr:uid="{1975F4AF-03A2-41DB-BD21-A5E32EC85C4B}"/>
    <cellStyle name="40% - Accent3 2 3 3 6 2" xfId="4462" xr:uid="{30A03A3D-4E89-46E1-BFB0-6878D4A2F5E5}"/>
    <cellStyle name="40% - Accent3 2 3 3 7" xfId="3387" xr:uid="{E97362CC-9548-4030-814F-2353790C5D15}"/>
    <cellStyle name="40% - Accent3 2 3 4" xfId="1063" xr:uid="{04740515-D3D1-49D5-AB65-B7CD3DCDD5DC}"/>
    <cellStyle name="40% - Accent3 2 3 4 2" xfId="1480" xr:uid="{50BB6325-4FDB-4798-9279-1A0ABD9B16A1}"/>
    <cellStyle name="40% - Accent3 2 3 4 2 2" xfId="2659" xr:uid="{C97852CF-6876-4F0D-AF9B-32395C575C20}"/>
    <cellStyle name="40% - Accent3 2 3 4 2 2 2" xfId="4729" xr:uid="{B0914627-44E8-4890-B176-11D82715B79F}"/>
    <cellStyle name="40% - Accent3 2 3 4 2 3" xfId="3815" xr:uid="{A443EE73-F653-4922-AEC7-EA25A9F18C7E}"/>
    <cellStyle name="40% - Accent3 2 3 4 3" xfId="1886" xr:uid="{0CF0C31A-77C3-4A07-94BC-FEF77ABADA7F}"/>
    <cellStyle name="40% - Accent3 2 3 4 3 2" xfId="3032" xr:uid="{2DEE0961-1649-4E31-A719-3853FCCC1456}"/>
    <cellStyle name="40% - Accent3 2 3 4 3 2 2" xfId="5082" xr:uid="{523BCBA9-5A74-4A1A-A5A3-0AB4548964F5}"/>
    <cellStyle name="40% - Accent3 2 3 4 3 3" xfId="4203" xr:uid="{362D1CAF-7EE6-4E78-9CDA-EC042C48BCE2}"/>
    <cellStyle name="40% - Accent3 2 3 4 4" xfId="2384" xr:uid="{08541956-1321-418D-B958-44E5FC799EFA}"/>
    <cellStyle name="40% - Accent3 2 3 4 4 2" xfId="4485" xr:uid="{6D6BDA49-D9C5-4EBD-84C8-4FEB633B5E88}"/>
    <cellStyle name="40% - Accent3 2 3 4 5" xfId="3427" xr:uid="{D0961F4F-0080-4B65-80C0-CEF29DC9C8F8}"/>
    <cellStyle name="40% - Accent3 2 3 5" xfId="1169" xr:uid="{BE90013F-73D7-415F-960F-9A8FB3B461E6}"/>
    <cellStyle name="40% - Accent3 2 3 5 2" xfId="1585" xr:uid="{AF3BC25C-9B46-4561-A7A7-55C92BB01D5D}"/>
    <cellStyle name="40% - Accent3 2 3 5 2 2" xfId="2753" xr:uid="{BD6E9008-DE82-4FA7-B0C5-EFB4A1B95F43}"/>
    <cellStyle name="40% - Accent3 2 3 5 2 2 2" xfId="4823" xr:uid="{639D9884-3B5C-4BE2-ACC9-515AA9081A16}"/>
    <cellStyle name="40% - Accent3 2 3 5 2 3" xfId="3920" xr:uid="{FADF7A54-FF2B-40F9-991D-888B699466A3}"/>
    <cellStyle name="40% - Accent3 2 3 5 3" xfId="1991" xr:uid="{7D4D989A-62C9-42BA-8C55-2037F31EE482}"/>
    <cellStyle name="40% - Accent3 2 3 5 3 2" xfId="3137" xr:uid="{5EE3AAE5-65E2-419B-8DDB-FD57CB8A9996}"/>
    <cellStyle name="40% - Accent3 2 3 5 3 2 2" xfId="5186" xr:uid="{FECCFA25-DC12-4749-9D63-FE68A4FD22A3}"/>
    <cellStyle name="40% - Accent3 2 3 5 3 3" xfId="4308" xr:uid="{B80547AF-5261-407A-9F8B-C48BB83E0E85}"/>
    <cellStyle name="40% - Accent3 2 3 5 4" xfId="2460" xr:uid="{DFBBE7AF-9CC0-4ED3-8911-05B119EC820B}"/>
    <cellStyle name="40% - Accent3 2 3 5 4 2" xfId="4559" xr:uid="{ACC44EB7-FDAB-421F-9B28-F8F2CC0F13E9}"/>
    <cellStyle name="40% - Accent3 2 3 5 5" xfId="3532" xr:uid="{92D1A162-6EAE-4A63-A287-57AD2188B361}"/>
    <cellStyle name="40% - Accent3 2 3 6" xfId="917" xr:uid="{092F63EE-74B6-4B38-92A1-0337A44636E8}"/>
    <cellStyle name="40% - Accent3 2 3 6 2" xfId="1374" xr:uid="{8310063E-4D96-4F9A-8ED4-37AD054F992E}"/>
    <cellStyle name="40% - Accent3 2 3 6 2 2" xfId="2882" xr:uid="{A834280B-F3D6-4691-B7C8-BB5FB2D72DA5}"/>
    <cellStyle name="40% - Accent3 2 3 6 2 2 2" xfId="4936" xr:uid="{066CC52C-F358-4AAF-BD81-484926CECB1C}"/>
    <cellStyle name="40% - Accent3 2 3 6 2 3" xfId="3710" xr:uid="{B9AA902D-9A2F-4F18-B13A-CD3FCD9E4795}"/>
    <cellStyle name="40% - Accent3 2 3 6 3" xfId="1781" xr:uid="{BC1E5C91-3082-4B1F-ACFF-8E73B588B1E0}"/>
    <cellStyle name="40% - Accent3 2 3 6 3 2" xfId="4098" xr:uid="{B66AFEC7-9A91-437A-9E3F-DB84BF39760B}"/>
    <cellStyle name="40% - Accent3 2 3 6 4" xfId="2521" xr:uid="{8734D5E4-5F0E-43D2-973C-71806FFC6AC2}"/>
    <cellStyle name="40% - Accent3 2 3 6 4 2" xfId="4602" xr:uid="{0F8954AE-3B67-4589-9AAD-6A8C276C2E07}"/>
    <cellStyle name="40% - Accent3 2 3 6 5" xfId="3322" xr:uid="{856CD14B-6E69-430E-83AE-774000A68008}"/>
    <cellStyle name="40% - Accent3 2 3 7" xfId="1278" xr:uid="{A9699508-F123-41AD-96BB-85B1CD8DCB55}"/>
    <cellStyle name="40% - Accent3 2 3 7 2" xfId="2840" xr:uid="{7178576D-B28E-452C-B0BE-9E17213A45FB}"/>
    <cellStyle name="40% - Accent3 2 3 7 2 2" xfId="4899" xr:uid="{4BA3E372-ACB5-4FB7-87FC-CB2F6E786A35}"/>
    <cellStyle name="40% - Accent3 2 3 7 3" xfId="3634" xr:uid="{C79FF67E-D01E-4E5E-B0B6-CCDE509312DD}"/>
    <cellStyle name="40% - Accent3 2 3 8" xfId="1701" xr:uid="{7111D046-261D-4167-A0BF-D6EBFC5CA830}"/>
    <cellStyle name="40% - Accent3 2 3 8 2" xfId="4022" xr:uid="{E24180F2-8B07-4BC1-8197-853F257A8D27}"/>
    <cellStyle name="40% - Accent3 2 3 9" xfId="2127" xr:uid="{5C01D42F-F054-4449-9F22-BFAABA38D61D}"/>
    <cellStyle name="40% - Accent3 2 3 9 2" xfId="4413" xr:uid="{EC480FCA-6F04-4151-904A-1D90D3E9BCC1}"/>
    <cellStyle name="40% - Accent3 2 4" xfId="88" xr:uid="{D724BF48-F122-4D98-AE55-057B6944311F}"/>
    <cellStyle name="40% - Accent3 2 4 2" xfId="2259" xr:uid="{82BC6AE4-1F08-4C36-B4A6-96AC12FA7893}"/>
    <cellStyle name="40% - Accent3 2 4 3" xfId="2128" xr:uid="{BAA52D55-B4BE-487E-8848-CA355683A617}"/>
    <cellStyle name="40% - Accent3 2 5" xfId="89" xr:uid="{675B9FE3-4BC5-4695-B1D0-E30AC5EA008C}"/>
    <cellStyle name="40% - Accent3 2 5 2" xfId="2260" xr:uid="{B8114E57-CCA5-4E86-9885-FCD26DAB1CC3}"/>
    <cellStyle name="40% - Accent3 2 5 3" xfId="2129" xr:uid="{1CC222D9-1224-406B-8845-041267DDB70D}"/>
    <cellStyle name="40% - Accent3 2 6" xfId="881" xr:uid="{4C2DE945-7171-467C-B690-FCFBDF728D3A}"/>
    <cellStyle name="40% - Accent3 2 6 2" xfId="2261" xr:uid="{928752B5-71EE-4CE8-B885-0593EF573DB1}"/>
    <cellStyle name="40% - Accent3 2 6 3" xfId="2572" xr:uid="{E68B14AC-A3BC-4164-8CAA-21C2D750ABEA}"/>
    <cellStyle name="40% - Accent3 2 6 4" xfId="2201" xr:uid="{A61168D3-E653-47B7-8D74-4BE22CA88B1A}"/>
    <cellStyle name="40% - Accent3 2 6 5" xfId="5354" xr:uid="{0224A3F7-3187-4421-BA97-0D3ADD26EA8E}"/>
    <cellStyle name="40% - Accent3 3" xfId="90" xr:uid="{14607CCC-562A-495A-BCEC-548721C7CEEB}"/>
    <cellStyle name="40% - Accent3 3 2" xfId="2262" xr:uid="{E2CEE5B2-829F-4BE2-AF5F-E4FEAD4E071D}"/>
    <cellStyle name="40% - Accent3 3 3" xfId="2130" xr:uid="{C679B612-A6C4-45CE-9C02-777834D1A802}"/>
    <cellStyle name="40% - Accent3 4" xfId="91" xr:uid="{F36AF59E-8BD9-4FDC-9961-98E7494C5E41}"/>
    <cellStyle name="40% - Accent3 4 2" xfId="2263" xr:uid="{6CD00035-18B6-402E-B9BD-8DF40D06609D}"/>
    <cellStyle name="40% - Accent3 4 3" xfId="2131" xr:uid="{D6CF251F-5135-4AC7-A4DF-4AD2419C660F}"/>
    <cellStyle name="40% - Accent4 2" xfId="92" xr:uid="{E5D44E91-1437-44C3-8EB2-BA52AA174FD3}"/>
    <cellStyle name="40% - Accent4 2 2" xfId="93" xr:uid="{028572A1-E308-411B-86CA-887313C6FC71}"/>
    <cellStyle name="40% - Accent4 2 3" xfId="94" xr:uid="{3AF0802F-87DE-49AC-819E-D981C83073F9}"/>
    <cellStyle name="40% - Accent4 2 3 10" xfId="3247" xr:uid="{D36CA889-B7A2-4FD2-B808-133E33677051}"/>
    <cellStyle name="40% - Accent4 2 3 2" xfId="825" xr:uid="{B2CCBB21-6985-4202-8AA6-747ACED906D8}"/>
    <cellStyle name="40% - Accent4 2 3 2 2" xfId="1095" xr:uid="{D0D4AA60-0125-41E1-9A10-BCFB4C7435E4}"/>
    <cellStyle name="40% - Accent4 2 3 2 2 2" xfId="1512" xr:uid="{30EB068E-C364-4206-88BA-0CCA907554CD}"/>
    <cellStyle name="40% - Accent4 2 3 2 2 2 2" xfId="2681" xr:uid="{4D984337-B4A2-46A5-BA3C-3B929475CEDC}"/>
    <cellStyle name="40% - Accent4 2 3 2 2 2 2 2" xfId="4751" xr:uid="{8FD72E49-6A56-481C-A9A4-B1EC575FA33C}"/>
    <cellStyle name="40% - Accent4 2 3 2 2 2 3" xfId="3847" xr:uid="{98853EAF-233F-4F8F-A3F7-68161B22ED74}"/>
    <cellStyle name="40% - Accent4 2 3 2 2 3" xfId="1918" xr:uid="{6A2E7734-5599-4879-A8E2-B759785C8068}"/>
    <cellStyle name="40% - Accent4 2 3 2 2 3 2" xfId="3064" xr:uid="{1B9449CA-5614-484D-9C18-B53FEC3CCE5D}"/>
    <cellStyle name="40% - Accent4 2 3 2 2 3 2 2" xfId="5113" xr:uid="{1A2956BB-1657-479B-8456-756FABF6F618}"/>
    <cellStyle name="40% - Accent4 2 3 2 2 3 3" xfId="4235" xr:uid="{F3C35302-4B94-49A5-A997-5FAC5C99A0C0}"/>
    <cellStyle name="40% - Accent4 2 3 2 2 4" xfId="2413" xr:uid="{F5E97A1A-325D-42E6-AB07-7E8071FBFEA6}"/>
    <cellStyle name="40% - Accent4 2 3 2 2 4 2" xfId="4514" xr:uid="{8EC6BE76-E07A-45A7-8998-692C4588CF56}"/>
    <cellStyle name="40% - Accent4 2 3 2 2 5" xfId="3459" xr:uid="{916BCEDF-DA0C-4AB3-8BBA-7A86036DDAAF}"/>
    <cellStyle name="40% - Accent4 2 3 2 3" xfId="1202" xr:uid="{25553CEA-CD4C-4168-8F47-E4A2ED9D1179}"/>
    <cellStyle name="40% - Accent4 2 3 2 3 2" xfId="1617" xr:uid="{7C4BD0C3-27BD-4CAA-9A5A-9E597A457522}"/>
    <cellStyle name="40% - Accent4 2 3 2 3 2 2" xfId="3169" xr:uid="{BD964D65-558E-477D-AF63-C3CF9F9316E0}"/>
    <cellStyle name="40% - Accent4 2 3 2 3 2 2 2" xfId="5218" xr:uid="{360519EB-6A92-4C16-8C79-5EB29BA0245E}"/>
    <cellStyle name="40% - Accent4 2 3 2 3 2 3" xfId="3952" xr:uid="{845C2FA5-1578-42EF-AB40-B98AD315161C}"/>
    <cellStyle name="40% - Accent4 2 3 2 3 3" xfId="2023" xr:uid="{BDA5C559-9B6C-46CC-928D-ED4AB624AFF9}"/>
    <cellStyle name="40% - Accent4 2 3 2 3 3 2" xfId="4340" xr:uid="{849B0518-D75F-484C-8E30-8549AA4ADE55}"/>
    <cellStyle name="40% - Accent4 2 3 2 3 4" xfId="2547" xr:uid="{F9250DF9-B3BF-42CB-BE3D-5E2079F04EEF}"/>
    <cellStyle name="40% - Accent4 2 3 2 3 4 2" xfId="4626" xr:uid="{8DB60917-AE2B-47C1-8F0E-3F42034CAD44}"/>
    <cellStyle name="40% - Accent4 2 3 2 3 5" xfId="3564" xr:uid="{6D3C8916-1A28-422C-B0FD-96BE9487C76A}"/>
    <cellStyle name="40% - Accent4 2 3 2 4" xfId="972" xr:uid="{94E56F9E-9F11-41F0-8869-88D336D69B4B}"/>
    <cellStyle name="40% - Accent4 2 3 2 4 2" xfId="1407" xr:uid="{911FD75A-2D17-413E-BA27-2E0FD66E4165}"/>
    <cellStyle name="40% - Accent4 2 3 2 4 2 2" xfId="2851" xr:uid="{D3ED27F5-ABA6-445C-A794-12C56A4ABD04}"/>
    <cellStyle name="40% - Accent4 2 3 2 4 2 2 2" xfId="4908" xr:uid="{F594B235-94C1-45EE-A89E-ABE6FA47F952}"/>
    <cellStyle name="40% - Accent4 2 3 2 4 2 3" xfId="3742" xr:uid="{9CA08EE7-0027-41A7-BAA2-E13827CE0EE8}"/>
    <cellStyle name="40% - Accent4 2 3 2 4 3" xfId="1813" xr:uid="{0F0FEAC8-82E4-4BE8-8A29-6256E41EBC59}"/>
    <cellStyle name="40% - Accent4 2 3 2 4 3 2" xfId="4130" xr:uid="{C3FEA7DF-768F-4FAA-B337-BD4D1A17520D}"/>
    <cellStyle name="40% - Accent4 2 3 2 4 4" xfId="2531" xr:uid="{532ABAE1-8E38-4D97-94B5-EF3DDD4E717C}"/>
    <cellStyle name="40% - Accent4 2 3 2 4 4 2" xfId="4611" xr:uid="{4C1DAEB6-0427-41D8-927E-FD09BF158E98}"/>
    <cellStyle name="40% - Accent4 2 3 2 4 5" xfId="3354" xr:uid="{301A0966-E95D-4DC2-91E7-786189C2876C}"/>
    <cellStyle name="40% - Accent4 2 3 2 5" xfId="1333" xr:uid="{0C41EE69-793D-45EE-9D61-D026A54EBA64}"/>
    <cellStyle name="40% - Accent4 2 3 2 5 2" xfId="2912" xr:uid="{EE784228-A9FA-4DDA-9834-EFE93D1ABA66}"/>
    <cellStyle name="40% - Accent4 2 3 2 5 2 2" xfId="4966" xr:uid="{90925024-C7C3-4D2D-8CA1-8EF91F3B3072}"/>
    <cellStyle name="40% - Accent4 2 3 2 5 3" xfId="3669" xr:uid="{2741B2FF-6A81-4ADB-B276-33313DCCD47F}"/>
    <cellStyle name="40% - Accent4 2 3 2 6" xfId="1740" xr:uid="{229066C4-F6DB-46A0-AABF-C0F9039B5492}"/>
    <cellStyle name="40% - Accent4 2 3 2 6 2" xfId="4057" xr:uid="{502E8685-1293-4ECC-A734-F011362E6A51}"/>
    <cellStyle name="40% - Accent4 2 3 2 7" xfId="2221" xr:uid="{B3F251F4-0D5C-4E99-953D-94B3B0CFE037}"/>
    <cellStyle name="40% - Accent4 2 3 2 7 2" xfId="4442" xr:uid="{74BF4420-F80E-4196-9423-F7ECCF87894A}"/>
    <cellStyle name="40% - Accent4 2 3 2 8" xfId="3281" xr:uid="{74C06CA6-09AF-413E-BEBA-A4E4EA74CF44}"/>
    <cellStyle name="40% - Accent4 2 3 3" xfId="1010" xr:uid="{0FA1DD44-189D-4236-B1F0-E8C2B655E87C}"/>
    <cellStyle name="40% - Accent4 2 3 3 2" xfId="1129" xr:uid="{AB519CBD-BCD8-4408-93BA-71889A0974A7}"/>
    <cellStyle name="40% - Accent4 2 3 3 2 2" xfId="1546" xr:uid="{F71939E2-A89D-45EE-B322-B0225EC55E42}"/>
    <cellStyle name="40% - Accent4 2 3 3 2 2 2" xfId="3098" xr:uid="{898D1057-85D5-4F15-A753-E0A48FDBA08A}"/>
    <cellStyle name="40% - Accent4 2 3 3 2 2 2 2" xfId="5147" xr:uid="{F21B72E4-FB66-4276-A74C-D65641514226}"/>
    <cellStyle name="40% - Accent4 2 3 3 2 2 3" xfId="3881" xr:uid="{B55D8E18-2B8F-413B-96AA-310E450E8CDB}"/>
    <cellStyle name="40% - Accent4 2 3 3 2 3" xfId="1952" xr:uid="{95A504F4-B4A7-432B-A1A1-09DF168AC3B6}"/>
    <cellStyle name="40% - Accent4 2 3 3 2 3 2" xfId="4269" xr:uid="{DE5C6719-3592-45D0-90E6-CA0F35586388}"/>
    <cellStyle name="40% - Accent4 2 3 3 2 4" xfId="2714" xr:uid="{E57A3D87-25AF-416C-8BE4-722B77E6BDB3}"/>
    <cellStyle name="40% - Accent4 2 3 3 2 4 2" xfId="4784" xr:uid="{23758964-E69F-48D4-AD9E-2D3F8B5C787A}"/>
    <cellStyle name="40% - Accent4 2 3 3 2 5" xfId="3493" xr:uid="{2BBF4755-C5B1-4F25-90C6-40EC095F6874}"/>
    <cellStyle name="40% - Accent4 2 3 3 3" xfId="1240" xr:uid="{2F21272B-A92E-46A7-9808-CF760118E97B}"/>
    <cellStyle name="40% - Accent4 2 3 3 3 2" xfId="1651" xr:uid="{9E36EEFA-484B-47CD-AF07-82F1018EBB6C}"/>
    <cellStyle name="40% - Accent4 2 3 3 3 2 2" xfId="3203" xr:uid="{A5ABE26A-3177-45E7-B172-95D99927BA34}"/>
    <cellStyle name="40% - Accent4 2 3 3 3 2 2 2" xfId="5252" xr:uid="{54071205-2305-4FEC-92C1-72B55C0C37E2}"/>
    <cellStyle name="40% - Accent4 2 3 3 3 2 3" xfId="3986" xr:uid="{5F707C5C-D6B1-43F0-BD07-D44D3A9B6AA8}"/>
    <cellStyle name="40% - Accent4 2 3 3 3 3" xfId="2057" xr:uid="{55CA774F-C700-43B1-BC25-AB6F64CDD21E}"/>
    <cellStyle name="40% - Accent4 2 3 3 3 3 2" xfId="4374" xr:uid="{4AE959C1-2F56-4966-AF7B-C9DAC60BC87F}"/>
    <cellStyle name="40% - Accent4 2 3 3 3 4" xfId="2790" xr:uid="{84F56652-C221-435F-B076-ADB1E1492031}"/>
    <cellStyle name="40% - Accent4 2 3 3 3 4 2" xfId="4860" xr:uid="{B98FBE8B-4990-479D-9673-D47EA895BFD8}"/>
    <cellStyle name="40% - Accent4 2 3 3 3 5" xfId="3598" xr:uid="{BF15E5A8-7D16-437F-85F3-D7A4DD17E02A}"/>
    <cellStyle name="40% - Accent4 2 3 3 4" xfId="1441" xr:uid="{C8C3486D-E09C-4F4B-943E-E6BAC446353F}"/>
    <cellStyle name="40% - Accent4 2 3 3 4 2" xfId="2634" xr:uid="{717DC098-5660-4989-81A4-1A601781D6C2}"/>
    <cellStyle name="40% - Accent4 2 3 3 4 2 2" xfId="4704" xr:uid="{5883CB02-8583-4BBC-A641-65DDF063C360}"/>
    <cellStyle name="40% - Accent4 2 3 3 4 3" xfId="3776" xr:uid="{985CE0B6-BAA0-4B4F-A4B4-D58EA900BF57}"/>
    <cellStyle name="40% - Accent4 2 3 3 5" xfId="1847" xr:uid="{CA7B72E5-9CDE-4E7A-94A9-A304B2B7E4BE}"/>
    <cellStyle name="40% - Accent4 2 3 3 5 2" xfId="2994" xr:uid="{289E9D93-3B16-4C10-8300-BE85DEFCD9BB}"/>
    <cellStyle name="40% - Accent4 2 3 3 5 2 2" xfId="5044" xr:uid="{35AD6E43-317D-4EFF-8687-F527A4EF2753}"/>
    <cellStyle name="40% - Accent4 2 3 3 5 3" xfId="4164" xr:uid="{6B0C3ADF-37D9-488C-81A9-9ECD7AB5D045}"/>
    <cellStyle name="40% - Accent4 2 3 3 6" xfId="2385" xr:uid="{7955FEEB-88E7-41E8-80C9-3547B074D8C3}"/>
    <cellStyle name="40% - Accent4 2 3 3 6 2" xfId="4486" xr:uid="{B1186F8C-3607-4D95-B68F-14A37DCE7959}"/>
    <cellStyle name="40% - Accent4 2 3 3 7" xfId="3388" xr:uid="{445D0DAF-EA57-475B-A37D-D44FEE51A41B}"/>
    <cellStyle name="40% - Accent4 2 3 4" xfId="1064" xr:uid="{B8C52273-6764-479D-9E12-17FBD95C0DAA}"/>
    <cellStyle name="40% - Accent4 2 3 4 2" xfId="1481" xr:uid="{6F0587F2-47BD-4058-9B39-4AE9ECC0CF74}"/>
    <cellStyle name="40% - Accent4 2 3 4 2 2" xfId="3033" xr:uid="{BA78CB2A-A33F-43D2-A680-F25464A8C04A}"/>
    <cellStyle name="40% - Accent4 2 3 4 2 2 2" xfId="5083" xr:uid="{A71839F5-F18A-4B11-A50C-F4C43B75B3AF}"/>
    <cellStyle name="40% - Accent4 2 3 4 2 3" xfId="3816" xr:uid="{14AFEAFD-139E-441B-848E-F85F51FC9BC8}"/>
    <cellStyle name="40% - Accent4 2 3 4 3" xfId="1887" xr:uid="{341B75FE-0BFA-4447-84C1-CD67CEB2BCBC}"/>
    <cellStyle name="40% - Accent4 2 3 4 3 2" xfId="4204" xr:uid="{5C2FCF3B-FD33-4702-91FC-0AF5DE138B2F}"/>
    <cellStyle name="40% - Accent4 2 3 4 4" xfId="2461" xr:uid="{A5C51020-B802-42C1-9421-6731EB97CD07}"/>
    <cellStyle name="40% - Accent4 2 3 4 4 2" xfId="4560" xr:uid="{EA6A7DEB-5CAB-4032-BDD6-F36DB8368369}"/>
    <cellStyle name="40% - Accent4 2 3 4 5" xfId="3428" xr:uid="{3B1BF45A-7EB1-4509-AED8-31B6951A79C0}"/>
    <cellStyle name="40% - Accent4 2 3 5" xfId="1170" xr:uid="{FB597904-9DF1-4516-AC81-A78A8755369F}"/>
    <cellStyle name="40% - Accent4 2 3 5 2" xfId="1586" xr:uid="{18319747-2EC7-47E8-B34B-B425CEDC8678}"/>
    <cellStyle name="40% - Accent4 2 3 5 2 2" xfId="3138" xr:uid="{F86AF7F5-3A2C-499C-A057-9E48BD285506}"/>
    <cellStyle name="40% - Accent4 2 3 5 2 2 2" xfId="5187" xr:uid="{177BB803-9D22-4370-AC9E-E51B10295D30}"/>
    <cellStyle name="40% - Accent4 2 3 5 2 3" xfId="3921" xr:uid="{6E275C86-ECDD-4AE7-94C5-63B868BF0E7E}"/>
    <cellStyle name="40% - Accent4 2 3 5 3" xfId="1992" xr:uid="{17CD0C14-1371-4DF4-8F2B-87C4F460796D}"/>
    <cellStyle name="40% - Accent4 2 3 5 3 2" xfId="4309" xr:uid="{DB4966A1-ECF4-4567-9C2A-226EF053F24F}"/>
    <cellStyle name="40% - Accent4 2 3 5 4" xfId="2754" xr:uid="{53C045E5-2E5C-4FC5-8708-502222D21F41}"/>
    <cellStyle name="40% - Accent4 2 3 5 4 2" xfId="4824" xr:uid="{9FB337E3-9E51-4E13-8BAF-68BF90513A14}"/>
    <cellStyle name="40% - Accent4 2 3 5 5" xfId="3533" xr:uid="{A96FB3CF-8E1C-4433-AA40-B3083D522D29}"/>
    <cellStyle name="40% - Accent4 2 3 6" xfId="918" xr:uid="{5E49B2D9-0ED4-4953-A5C7-C0B0C7BE4D24}"/>
    <cellStyle name="40% - Accent4 2 3 6 2" xfId="1375" xr:uid="{7B30D5FD-37FF-4958-87CA-00AAD1600D93}"/>
    <cellStyle name="40% - Accent4 2 3 6 2 2" xfId="2881" xr:uid="{BF7080A2-2513-41A1-BEF6-AE09A19990F5}"/>
    <cellStyle name="40% - Accent4 2 3 6 2 2 2" xfId="4935" xr:uid="{DD7DF8FC-CF0B-4396-BA31-3D4EAAA379A5}"/>
    <cellStyle name="40% - Accent4 2 3 6 2 3" xfId="3711" xr:uid="{2D4CE4F9-7050-490E-A040-48D7EEBDC97F}"/>
    <cellStyle name="40% - Accent4 2 3 6 3" xfId="1782" xr:uid="{A2EAD4A9-F953-43F9-85D6-0FEE74079C2C}"/>
    <cellStyle name="40% - Accent4 2 3 6 3 2" xfId="4099" xr:uid="{9FCBC8E1-FD94-49D5-A7F6-8B3FCDF5C93C}"/>
    <cellStyle name="40% - Accent4 2 3 6 4" xfId="2522" xr:uid="{6D796B63-6EB5-4717-A29C-A5059181FD09}"/>
    <cellStyle name="40% - Accent4 2 3 6 4 2" xfId="4603" xr:uid="{3EFA50EA-8271-41B2-A12B-DAAED1F4F149}"/>
    <cellStyle name="40% - Accent4 2 3 6 5" xfId="3323" xr:uid="{3F6205A7-5839-43C7-A038-401CDE74214E}"/>
    <cellStyle name="40% - Accent4 2 3 7" xfId="1279" xr:uid="{6E4E48C6-9866-466E-BF8B-50789DF3331A}"/>
    <cellStyle name="40% - Accent4 2 3 7 2" xfId="2842" xr:uid="{05EFAC77-D3AA-4251-A193-D4483BF80A4A}"/>
    <cellStyle name="40% - Accent4 2 3 7 2 2" xfId="4901" xr:uid="{3D1DF0BC-CD3D-4827-88B2-09EDD94D4E8D}"/>
    <cellStyle name="40% - Accent4 2 3 7 3" xfId="3635" xr:uid="{E4E6F508-E0B8-40BB-8070-B0D262828286}"/>
    <cellStyle name="40% - Accent4 2 3 8" xfId="1702" xr:uid="{AF16F8F0-17C6-4F02-B474-BA77D6E1A363}"/>
    <cellStyle name="40% - Accent4 2 3 8 2" xfId="4023" xr:uid="{13D66665-3255-48B4-AAD9-7DCCB3C382D8}"/>
    <cellStyle name="40% - Accent4 2 3 9" xfId="2132" xr:uid="{5B9D8ACB-7ED2-457C-9BB8-F8B2F0320388}"/>
    <cellStyle name="40% - Accent4 2 3 9 2" xfId="4414" xr:uid="{62243202-4806-4150-B5D3-6D33F09761EC}"/>
    <cellStyle name="40% - Accent4 2 4" xfId="95" xr:uid="{8C171806-5338-44BD-A121-AF62DA27ADC6}"/>
    <cellStyle name="40% - Accent4 2 5" xfId="96" xr:uid="{66C20A1C-E039-458E-BC57-536A01FCB8B9}"/>
    <cellStyle name="40% - Accent4 2 6" xfId="2264" xr:uid="{26E0925F-CAC8-4C78-8122-49ACF83EF445}"/>
    <cellStyle name="40% - Accent4 3" xfId="97" xr:uid="{06EEA4E1-64C2-4F83-9AC5-DECE86DC81BF}"/>
    <cellStyle name="40% - Accent4 4" xfId="98" xr:uid="{A6C49752-1D08-48C0-8251-F9730D52B2E1}"/>
    <cellStyle name="40% - Accent5 2" xfId="99" xr:uid="{47051825-BAFF-48D5-BE8B-443DF50BA4DE}"/>
    <cellStyle name="40% - Accent5 2 2" xfId="100" xr:uid="{0CE461B9-4D90-4777-8C03-A40B07EBB6AC}"/>
    <cellStyle name="40% - Accent5 2 3" xfId="101" xr:uid="{6463DB6E-D8D7-4E0C-92D3-331DB223F994}"/>
    <cellStyle name="40% - Accent5 2 3 10" xfId="3248" xr:uid="{4704025B-4B90-4812-8D49-036BBE3A4A16}"/>
    <cellStyle name="40% - Accent5 2 3 2" xfId="826" xr:uid="{6ACA6253-C1A6-47EF-939C-55F7C6B2DF42}"/>
    <cellStyle name="40% - Accent5 2 3 2 2" xfId="1096" xr:uid="{393376A1-C545-408D-BAE1-F6519A1BC715}"/>
    <cellStyle name="40% - Accent5 2 3 2 2 2" xfId="1513" xr:uid="{B3AD1CC3-4916-41A9-B6C5-733B2A9B1636}"/>
    <cellStyle name="40% - Accent5 2 3 2 2 2 2" xfId="2682" xr:uid="{43DC1F43-4679-40DA-A6EC-A3C50C26369D}"/>
    <cellStyle name="40% - Accent5 2 3 2 2 2 2 2" xfId="4752" xr:uid="{DB500AE9-7D5D-4CAA-B73B-CC8BF3AB5EAC}"/>
    <cellStyle name="40% - Accent5 2 3 2 2 2 3" xfId="3848" xr:uid="{87DFDC8C-8512-4ADE-92DF-032725651B97}"/>
    <cellStyle name="40% - Accent5 2 3 2 2 3" xfId="1919" xr:uid="{3BD55485-8240-4C59-B0DB-E359F2368FBF}"/>
    <cellStyle name="40% - Accent5 2 3 2 2 3 2" xfId="3065" xr:uid="{2D924770-0C3B-4743-BDED-13B7CFD81FC8}"/>
    <cellStyle name="40% - Accent5 2 3 2 2 3 2 2" xfId="5114" xr:uid="{1CC53A2C-4F49-4BB0-8275-60C66DA2D0C3}"/>
    <cellStyle name="40% - Accent5 2 3 2 2 3 3" xfId="4236" xr:uid="{CB94B9D0-E7B7-4E4E-8D38-274C59D410B8}"/>
    <cellStyle name="40% - Accent5 2 3 2 2 4" xfId="2414" xr:uid="{4D171BDD-1BA3-49DF-A2EA-90CEDEF62AED}"/>
    <cellStyle name="40% - Accent5 2 3 2 2 4 2" xfId="4515" xr:uid="{33649C16-C6F6-4993-9E6F-2A873D4E0BEC}"/>
    <cellStyle name="40% - Accent5 2 3 2 2 5" xfId="3460" xr:uid="{8B6381B9-92FA-4F3D-82FA-86EBE99BE1D3}"/>
    <cellStyle name="40% - Accent5 2 3 2 3" xfId="1203" xr:uid="{565F9976-C46F-4128-875B-66235A4F7A24}"/>
    <cellStyle name="40% - Accent5 2 3 2 3 2" xfId="1618" xr:uid="{2EFAAB98-9BE4-4689-B18B-FE5F6D04AFCB}"/>
    <cellStyle name="40% - Accent5 2 3 2 3 2 2" xfId="3170" xr:uid="{719EB265-86E5-40F3-88AE-7042F2AE8408}"/>
    <cellStyle name="40% - Accent5 2 3 2 3 2 2 2" xfId="5219" xr:uid="{59C21052-52A8-474A-A4B8-1F1381475EF2}"/>
    <cellStyle name="40% - Accent5 2 3 2 3 2 3" xfId="3953" xr:uid="{27AF3723-AD3A-48F7-ADD2-7E46C4D34AE5}"/>
    <cellStyle name="40% - Accent5 2 3 2 3 3" xfId="2024" xr:uid="{A30269CB-D157-472D-8AC4-308AC23766E9}"/>
    <cellStyle name="40% - Accent5 2 3 2 3 3 2" xfId="4341" xr:uid="{5EDD6748-C8C0-4B28-8E58-B9C25A45E40D}"/>
    <cellStyle name="40% - Accent5 2 3 2 3 4" xfId="2548" xr:uid="{B7329702-7E66-42EB-8DD6-554875220644}"/>
    <cellStyle name="40% - Accent5 2 3 2 3 4 2" xfId="4627" xr:uid="{0FE0E73E-E855-4447-8641-455A81B00FB6}"/>
    <cellStyle name="40% - Accent5 2 3 2 3 5" xfId="3565" xr:uid="{7CC7FA82-D152-4204-984B-8D6DE6504B35}"/>
    <cellStyle name="40% - Accent5 2 3 2 4" xfId="973" xr:uid="{3743FB56-AC66-431B-9DF9-3FFA16597495}"/>
    <cellStyle name="40% - Accent5 2 3 2 4 2" xfId="1408" xr:uid="{570595B8-3CDB-4BFD-BD01-5D76851569A9}"/>
    <cellStyle name="40% - Accent5 2 3 2 4 2 2" xfId="2960" xr:uid="{7F9812B8-3D2D-4795-A4F0-3091EB1CCF29}"/>
    <cellStyle name="40% - Accent5 2 3 2 4 2 2 2" xfId="5012" xr:uid="{A9732B95-5025-4255-B5E7-15A2F9A1D0FC}"/>
    <cellStyle name="40% - Accent5 2 3 2 4 2 3" xfId="3743" xr:uid="{0EEBBB24-3186-4012-9981-F8FBB0807933}"/>
    <cellStyle name="40% - Accent5 2 3 2 4 3" xfId="1814" xr:uid="{298BE79D-08CA-4FE3-8753-EA20A7BCF40D}"/>
    <cellStyle name="40% - Accent5 2 3 2 4 3 2" xfId="4131" xr:uid="{EA6022EB-B801-4A23-B2AF-B8AD74B3F6F5}"/>
    <cellStyle name="40% - Accent5 2 3 2 4 4" xfId="2605" xr:uid="{0E1D01EC-5F3D-4182-AA46-2807DF1EB59A}"/>
    <cellStyle name="40% - Accent5 2 3 2 4 4 2" xfId="4675" xr:uid="{4D42FB5C-1823-47C1-99FD-BF1CA3562ACE}"/>
    <cellStyle name="40% - Accent5 2 3 2 4 5" xfId="3355" xr:uid="{266AA609-9049-4D41-85F6-DAC4B1C7E268}"/>
    <cellStyle name="40% - Accent5 2 3 2 5" xfId="1334" xr:uid="{52E1E2D1-AA3B-490B-ADBF-15D46B0D0060}"/>
    <cellStyle name="40% - Accent5 2 3 2 5 2" xfId="2913" xr:uid="{2BF1C03D-1653-4889-A628-7326558FA191}"/>
    <cellStyle name="40% - Accent5 2 3 2 5 2 2" xfId="4967" xr:uid="{17986EC9-E60B-477D-9927-59B09E013604}"/>
    <cellStyle name="40% - Accent5 2 3 2 5 3" xfId="3670" xr:uid="{B34EFA27-2C01-40CA-BDB2-888A1F57764D}"/>
    <cellStyle name="40% - Accent5 2 3 2 6" xfId="1741" xr:uid="{D7421AFB-1A94-4744-8BC5-86B12C78CF5A}"/>
    <cellStyle name="40% - Accent5 2 3 2 6 2" xfId="4058" xr:uid="{4D15D22F-4F88-421C-9113-8644B8AA6AF9}"/>
    <cellStyle name="40% - Accent5 2 3 2 7" xfId="2222" xr:uid="{9DEA0986-5FC6-49D6-89FE-AF3494499BFA}"/>
    <cellStyle name="40% - Accent5 2 3 2 7 2" xfId="4443" xr:uid="{A0FA3B56-0357-4471-9FFE-DE7F3A17A1E1}"/>
    <cellStyle name="40% - Accent5 2 3 2 8" xfId="3282" xr:uid="{FAB6952D-5905-47F3-BA3C-100E07855989}"/>
    <cellStyle name="40% - Accent5 2 3 3" xfId="1011" xr:uid="{A6F30E31-B0BA-4034-AB14-8ACFE11A3B7F}"/>
    <cellStyle name="40% - Accent5 2 3 3 2" xfId="1130" xr:uid="{BE48CA03-66B3-4F7A-9659-344E7F967754}"/>
    <cellStyle name="40% - Accent5 2 3 3 2 2" xfId="1547" xr:uid="{85C231F8-6E66-4911-A40F-A6ADFE5A45A5}"/>
    <cellStyle name="40% - Accent5 2 3 3 2 2 2" xfId="3099" xr:uid="{6D8460B2-36D6-449E-A07C-5B8A5584D210}"/>
    <cellStyle name="40% - Accent5 2 3 3 2 2 2 2" xfId="5148" xr:uid="{B26ED938-D957-41ED-B948-C0AE8F261588}"/>
    <cellStyle name="40% - Accent5 2 3 3 2 2 3" xfId="3882" xr:uid="{C5C5F95B-CBD4-42A7-880E-BD2DC387DE94}"/>
    <cellStyle name="40% - Accent5 2 3 3 2 3" xfId="1953" xr:uid="{54A03584-06A7-4C1C-8ACC-3073B3C76491}"/>
    <cellStyle name="40% - Accent5 2 3 3 2 3 2" xfId="4270" xr:uid="{F3C0EF74-5A34-46A8-B403-AB906459E3B0}"/>
    <cellStyle name="40% - Accent5 2 3 3 2 4" xfId="2715" xr:uid="{AB57C0C0-0C08-4C70-8ED2-ABC2ABAF2306}"/>
    <cellStyle name="40% - Accent5 2 3 3 2 4 2" xfId="4785" xr:uid="{85ABE249-07F4-4512-9B1D-982D03A75D2C}"/>
    <cellStyle name="40% - Accent5 2 3 3 2 5" xfId="3494" xr:uid="{731C4CDA-F3F8-449B-A855-42A458F2B8BD}"/>
    <cellStyle name="40% - Accent5 2 3 3 3" xfId="1241" xr:uid="{68907AD3-81FD-4B90-828E-30D24245D4CE}"/>
    <cellStyle name="40% - Accent5 2 3 3 3 2" xfId="1652" xr:uid="{5E952DBD-6ABA-4066-AE46-619967C34CB5}"/>
    <cellStyle name="40% - Accent5 2 3 3 3 2 2" xfId="3204" xr:uid="{54881173-F116-40A7-96B5-9CF0EAA46287}"/>
    <cellStyle name="40% - Accent5 2 3 3 3 2 2 2" xfId="5253" xr:uid="{188F7FE7-A8C9-43C6-A44D-3438D67D9CAB}"/>
    <cellStyle name="40% - Accent5 2 3 3 3 2 3" xfId="3987" xr:uid="{89DD0BC5-CEE3-4CB2-9AF4-A22B49C7D7ED}"/>
    <cellStyle name="40% - Accent5 2 3 3 3 3" xfId="2058" xr:uid="{C367B62A-D727-4871-A2E8-8FC27C61F0F1}"/>
    <cellStyle name="40% - Accent5 2 3 3 3 3 2" xfId="4375" xr:uid="{25D427F9-EC5A-4B82-8193-05C6190D09AA}"/>
    <cellStyle name="40% - Accent5 2 3 3 3 4" xfId="2791" xr:uid="{2035E9D1-AE38-46D3-996D-98ECC2EEE5F6}"/>
    <cellStyle name="40% - Accent5 2 3 3 3 4 2" xfId="4861" xr:uid="{D1868B0A-6D7F-409F-A3FF-FB1409E87C0F}"/>
    <cellStyle name="40% - Accent5 2 3 3 3 5" xfId="3599" xr:uid="{3D2687CB-A22A-49E6-9403-F5D5C32468D5}"/>
    <cellStyle name="40% - Accent5 2 3 3 4" xfId="1442" xr:uid="{3D35E059-1B58-4018-AE32-6FC531F3EF56}"/>
    <cellStyle name="40% - Accent5 2 3 3 4 2" xfId="2635" xr:uid="{1F029107-8DE0-4894-A167-B17E41508371}"/>
    <cellStyle name="40% - Accent5 2 3 3 4 2 2" xfId="4705" xr:uid="{EC211B3C-2419-4064-99C2-CE587EFC0669}"/>
    <cellStyle name="40% - Accent5 2 3 3 4 3" xfId="3777" xr:uid="{FB1EBDE6-7BBC-40B4-A556-2EBDE9DEF305}"/>
    <cellStyle name="40% - Accent5 2 3 3 5" xfId="1848" xr:uid="{335977A2-0987-4460-AF3F-2A51A49CC0B2}"/>
    <cellStyle name="40% - Accent5 2 3 3 5 2" xfId="2995" xr:uid="{A9D71ABE-9BA0-4E5C-9620-C0BA71533A2D}"/>
    <cellStyle name="40% - Accent5 2 3 3 5 2 2" xfId="5045" xr:uid="{542F4250-F1F1-4851-B78B-5120DCF9245F}"/>
    <cellStyle name="40% - Accent5 2 3 3 5 3" xfId="4165" xr:uid="{C5C23C72-B715-45BE-9519-933C9431034D}"/>
    <cellStyle name="40% - Accent5 2 3 3 6" xfId="2386" xr:uid="{ABEE517C-47E0-4BC9-8F49-DC51E6CD43D4}"/>
    <cellStyle name="40% - Accent5 2 3 3 6 2" xfId="4487" xr:uid="{3FDC99FC-E948-48CB-9F5F-2A639F96882E}"/>
    <cellStyle name="40% - Accent5 2 3 3 7" xfId="3389" xr:uid="{03A3424A-FFC6-44A7-BC5A-4E2565AC1D1D}"/>
    <cellStyle name="40% - Accent5 2 3 4" xfId="1065" xr:uid="{6F7E4454-0CF8-48FF-9A7F-73B2EA3219EF}"/>
    <cellStyle name="40% - Accent5 2 3 4 2" xfId="1482" xr:uid="{E0B4D50E-BAC0-4996-AB62-49689B7A229F}"/>
    <cellStyle name="40% - Accent5 2 3 4 2 2" xfId="3034" xr:uid="{80A0109F-0350-430E-93CE-31884EAF0B91}"/>
    <cellStyle name="40% - Accent5 2 3 4 2 2 2" xfId="5084" xr:uid="{CE355535-61DB-40C0-9F55-69DB77F168FC}"/>
    <cellStyle name="40% - Accent5 2 3 4 2 3" xfId="3817" xr:uid="{1D716733-BC98-4B6C-853F-50E3AEA63460}"/>
    <cellStyle name="40% - Accent5 2 3 4 3" xfId="1888" xr:uid="{6451638D-CAE1-44D3-8126-328B6374D34E}"/>
    <cellStyle name="40% - Accent5 2 3 4 3 2" xfId="4205" xr:uid="{DAC3AE4B-B568-4255-A24B-E450FBB3C327}"/>
    <cellStyle name="40% - Accent5 2 3 4 4" xfId="2462" xr:uid="{FD3EA48E-787D-458E-84FC-8D972774837E}"/>
    <cellStyle name="40% - Accent5 2 3 4 4 2" xfId="4561" xr:uid="{ADD174AA-3A86-4007-9897-04653C4410AE}"/>
    <cellStyle name="40% - Accent5 2 3 4 5" xfId="3429" xr:uid="{55D75D2D-6C0C-44C0-8CDF-1206EDC5B889}"/>
    <cellStyle name="40% - Accent5 2 3 5" xfId="1171" xr:uid="{C0FFD2D9-7ABD-438F-BA05-C43FD82B69A6}"/>
    <cellStyle name="40% - Accent5 2 3 5 2" xfId="1587" xr:uid="{8422A6B2-E92F-48BA-91B7-844D531BCC68}"/>
    <cellStyle name="40% - Accent5 2 3 5 2 2" xfId="3139" xr:uid="{6C375ADE-D0FF-4900-9EFB-C94171A1E27D}"/>
    <cellStyle name="40% - Accent5 2 3 5 2 2 2" xfId="5188" xr:uid="{7A90BC69-311D-4BD3-9B71-46CB60C6449B}"/>
    <cellStyle name="40% - Accent5 2 3 5 2 3" xfId="3922" xr:uid="{B96EFEA2-5AD3-4F56-B58C-D19707C1DF5A}"/>
    <cellStyle name="40% - Accent5 2 3 5 3" xfId="1993" xr:uid="{BF12C51C-1C12-4AE6-A882-EF13A8217905}"/>
    <cellStyle name="40% - Accent5 2 3 5 3 2" xfId="4310" xr:uid="{5F91D480-71B0-4B99-B118-4A7E2FCCA974}"/>
    <cellStyle name="40% - Accent5 2 3 5 4" xfId="2755" xr:uid="{F4193031-F94B-4835-B293-CE9006C65ACD}"/>
    <cellStyle name="40% - Accent5 2 3 5 4 2" xfId="4825" xr:uid="{76404058-FE2B-441A-81E8-0D22EC426624}"/>
    <cellStyle name="40% - Accent5 2 3 5 5" xfId="3534" xr:uid="{32380825-8C83-40F3-B21E-21333764E10B}"/>
    <cellStyle name="40% - Accent5 2 3 6" xfId="919" xr:uid="{6A81F677-89E3-4DCE-8A44-76A2EDF82079}"/>
    <cellStyle name="40% - Accent5 2 3 6 2" xfId="1376" xr:uid="{A607BDF4-51FA-4EFB-8084-86BC11F680C8}"/>
    <cellStyle name="40% - Accent5 2 3 6 2 2" xfId="2861" xr:uid="{AFC9421B-039C-4CD3-B024-398862D243FD}"/>
    <cellStyle name="40% - Accent5 2 3 6 2 2 2" xfId="4917" xr:uid="{5FBC6A87-8845-413B-B7F8-1951DA4A587B}"/>
    <cellStyle name="40% - Accent5 2 3 6 2 3" xfId="3712" xr:uid="{C26C47E3-78B9-4A25-ACEC-30E34EA89087}"/>
    <cellStyle name="40% - Accent5 2 3 6 3" xfId="1783" xr:uid="{D7F439D0-9D28-4B3E-B5C1-DA7E27D828A6}"/>
    <cellStyle name="40% - Accent5 2 3 6 3 2" xfId="4100" xr:uid="{068D59BE-FACB-4691-AA53-3B7E156C01C0}"/>
    <cellStyle name="40% - Accent5 2 3 6 4" xfId="2575" xr:uid="{1CBCA430-E27F-47FB-B9CC-242B970810A6}"/>
    <cellStyle name="40% - Accent5 2 3 6 4 2" xfId="4651" xr:uid="{358C1DDC-B0EB-41E4-9F1B-B462CE6CCD62}"/>
    <cellStyle name="40% - Accent5 2 3 6 5" xfId="3324" xr:uid="{F8D8D608-11A4-424D-B03F-4FA133968DD6}"/>
    <cellStyle name="40% - Accent5 2 3 7" xfId="1280" xr:uid="{2C96D1E3-3CC1-4575-9A41-EDB53727B15F}"/>
    <cellStyle name="40% - Accent5 2 3 7 2" xfId="2843" xr:uid="{673D79F4-CD39-4280-BF75-04AC30A9581F}"/>
    <cellStyle name="40% - Accent5 2 3 7 2 2" xfId="4902" xr:uid="{1E9B2484-1680-4E08-99BB-1E762F3D2534}"/>
    <cellStyle name="40% - Accent5 2 3 7 3" xfId="3636" xr:uid="{D0EF09FE-3679-4C34-A989-1238D8B2B86C}"/>
    <cellStyle name="40% - Accent5 2 3 8" xfId="1703" xr:uid="{CBFAA5FE-E517-42AC-A018-0AB5F76FFA24}"/>
    <cellStyle name="40% - Accent5 2 3 8 2" xfId="4024" xr:uid="{C05B7D67-E5BB-493B-B321-692CC419AA90}"/>
    <cellStyle name="40% - Accent5 2 3 9" xfId="2133" xr:uid="{C63288E7-3EA9-41CC-BD35-8D7A3C55836D}"/>
    <cellStyle name="40% - Accent5 2 3 9 2" xfId="4415" xr:uid="{E2357DB9-973D-4045-A56D-6F36903B608B}"/>
    <cellStyle name="40% - Accent5 2 4" xfId="102" xr:uid="{1A4E1D8E-38A8-4110-94BC-50E1CB35681D}"/>
    <cellStyle name="40% - Accent5 2 5" xfId="103" xr:uid="{9DDD171B-EBE7-4E94-A128-021573594A26}"/>
    <cellStyle name="40% - Accent5 2 6" xfId="2265" xr:uid="{210F9339-CA0A-49FD-A69D-B100082B30D5}"/>
    <cellStyle name="40% - Accent5 3" xfId="104" xr:uid="{F0D92FA7-D08A-4B60-A24A-A2CA21F360AE}"/>
    <cellStyle name="40% - Accent5 4" xfId="105" xr:uid="{476D0DF9-079E-4CDC-A9CD-F459AD148EB1}"/>
    <cellStyle name="40% - Accent6 2" xfId="106" xr:uid="{6313DCC2-5319-4EBD-BF3C-4C3AFB5F8FBD}"/>
    <cellStyle name="40% - Accent6 2 2" xfId="107" xr:uid="{54D31FCF-7705-4C04-A20B-599AB138BBE7}"/>
    <cellStyle name="40% - Accent6 2 3" xfId="108" xr:uid="{CC8EF0AE-6110-415E-9C28-869935A4F358}"/>
    <cellStyle name="40% - Accent6 2 3 10" xfId="3249" xr:uid="{A024997F-46D8-4694-B54F-E887736BBCA9}"/>
    <cellStyle name="40% - Accent6 2 3 2" xfId="827" xr:uid="{DF64874F-BF90-4520-871C-7EBE73111B96}"/>
    <cellStyle name="40% - Accent6 2 3 2 2" xfId="1097" xr:uid="{2D663ACF-512D-4293-9DB6-D379DDEDE115}"/>
    <cellStyle name="40% - Accent6 2 3 2 2 2" xfId="1514" xr:uid="{AED5DE70-3507-4105-B46B-8CC4FCCEABF4}"/>
    <cellStyle name="40% - Accent6 2 3 2 2 2 2" xfId="2683" xr:uid="{DE5C3AAD-E23D-4E0F-828A-685549255A99}"/>
    <cellStyle name="40% - Accent6 2 3 2 2 2 2 2" xfId="4753" xr:uid="{264B41A0-A48D-44A2-8034-452E61ACF505}"/>
    <cellStyle name="40% - Accent6 2 3 2 2 2 3" xfId="3849" xr:uid="{9DEE1698-B433-4E2E-9E38-F7063C36991C}"/>
    <cellStyle name="40% - Accent6 2 3 2 2 3" xfId="1920" xr:uid="{BF114692-52C0-4853-A565-752099D63D5F}"/>
    <cellStyle name="40% - Accent6 2 3 2 2 3 2" xfId="3066" xr:uid="{CC75AB5E-FCDF-41DF-956D-E1157343335E}"/>
    <cellStyle name="40% - Accent6 2 3 2 2 3 2 2" xfId="5115" xr:uid="{DBB4E135-1368-4C7D-990D-57229B5D4597}"/>
    <cellStyle name="40% - Accent6 2 3 2 2 3 3" xfId="4237" xr:uid="{5D6881C7-1623-449A-9FF4-F0DF9E3EDCB4}"/>
    <cellStyle name="40% - Accent6 2 3 2 2 4" xfId="2415" xr:uid="{A4131768-E355-408A-95A1-2C651EDA5B60}"/>
    <cellStyle name="40% - Accent6 2 3 2 2 4 2" xfId="4516" xr:uid="{17FEFE2D-91D4-4310-A2ED-BFDC47DFD597}"/>
    <cellStyle name="40% - Accent6 2 3 2 2 5" xfId="3461" xr:uid="{E4AFC03B-5F79-4812-8774-1CA34D6969D5}"/>
    <cellStyle name="40% - Accent6 2 3 2 3" xfId="1204" xr:uid="{57F80308-6980-4BC6-B336-AEE3D75133B0}"/>
    <cellStyle name="40% - Accent6 2 3 2 3 2" xfId="1619" xr:uid="{E107EFAC-4B7E-4985-BCD5-BDAC5D3D19FB}"/>
    <cellStyle name="40% - Accent6 2 3 2 3 2 2" xfId="3171" xr:uid="{777E9D2F-5F1C-4A5B-9855-8452227E2348}"/>
    <cellStyle name="40% - Accent6 2 3 2 3 2 2 2" xfId="5220" xr:uid="{5829CD0E-7127-4623-92A8-5CA5731E279D}"/>
    <cellStyle name="40% - Accent6 2 3 2 3 2 3" xfId="3954" xr:uid="{95BB4498-1F80-4E69-A414-DB6D399B0780}"/>
    <cellStyle name="40% - Accent6 2 3 2 3 3" xfId="2025" xr:uid="{B98CCAB2-38D0-436F-914F-8F6DD3B4FDAD}"/>
    <cellStyle name="40% - Accent6 2 3 2 3 3 2" xfId="4342" xr:uid="{3EDD5F3E-51BE-4049-9871-CEF2D1D09C24}"/>
    <cellStyle name="40% - Accent6 2 3 2 3 4" xfId="2549" xr:uid="{F2F17019-ACA7-43E2-A057-E0377918F086}"/>
    <cellStyle name="40% - Accent6 2 3 2 3 4 2" xfId="4628" xr:uid="{09548807-9CEB-4BF0-8482-DAF452CEB3A9}"/>
    <cellStyle name="40% - Accent6 2 3 2 3 5" xfId="3566" xr:uid="{E92C0628-367A-416E-9F14-DBDA976A8936}"/>
    <cellStyle name="40% - Accent6 2 3 2 4" xfId="974" xr:uid="{62DD25A1-0DB4-4C82-A138-618B0E3C92E2}"/>
    <cellStyle name="40% - Accent6 2 3 2 4 2" xfId="1409" xr:uid="{C34F804C-A4C1-4DE5-A127-34629AD5611A}"/>
    <cellStyle name="40% - Accent6 2 3 2 4 2 2" xfId="2878" xr:uid="{082BEFEE-A358-4D77-91E8-A471A585509D}"/>
    <cellStyle name="40% - Accent6 2 3 2 4 2 2 2" xfId="4932" xr:uid="{79A969E1-3FA9-4549-B7E3-18922DAEAD43}"/>
    <cellStyle name="40% - Accent6 2 3 2 4 2 3" xfId="3744" xr:uid="{CE38E143-157F-4CAC-96FB-25CFA189941C}"/>
    <cellStyle name="40% - Accent6 2 3 2 4 3" xfId="1815" xr:uid="{5A08100E-9AA6-4CCC-A961-85C1ADAF1E24}"/>
    <cellStyle name="40% - Accent6 2 3 2 4 3 2" xfId="4132" xr:uid="{D7E734FE-43D4-4846-83C3-CEAF7900EDC3}"/>
    <cellStyle name="40% - Accent6 2 3 2 4 4" xfId="2606" xr:uid="{1B0B5CA9-E23C-449A-8211-20C63595DA4F}"/>
    <cellStyle name="40% - Accent6 2 3 2 4 4 2" xfId="4676" xr:uid="{243D877D-E8A6-4AA1-A06F-6E01F63330B1}"/>
    <cellStyle name="40% - Accent6 2 3 2 4 5" xfId="3356" xr:uid="{C7214F65-ECCA-4E92-8A05-09265EB1A13B}"/>
    <cellStyle name="40% - Accent6 2 3 2 5" xfId="1335" xr:uid="{CECA6B5D-FD49-4B57-AEFC-E008A7DD2C6F}"/>
    <cellStyle name="40% - Accent6 2 3 2 5 2" xfId="2914" xr:uid="{7FF1C3B5-D491-49F0-8BA8-9D0600E032B1}"/>
    <cellStyle name="40% - Accent6 2 3 2 5 2 2" xfId="4968" xr:uid="{688A59EB-70D8-4C71-A6B6-1B6476920886}"/>
    <cellStyle name="40% - Accent6 2 3 2 5 3" xfId="3671" xr:uid="{2D75FF65-6661-4449-8CE0-D556F8B13696}"/>
    <cellStyle name="40% - Accent6 2 3 2 6" xfId="1742" xr:uid="{478C608E-EC18-4A01-9A78-5412178483A5}"/>
    <cellStyle name="40% - Accent6 2 3 2 6 2" xfId="4059" xr:uid="{8DBD249D-0DFC-4878-8326-1B18BB1E50A9}"/>
    <cellStyle name="40% - Accent6 2 3 2 7" xfId="2223" xr:uid="{6D9C5280-52A3-49D6-858F-D5716B534AE7}"/>
    <cellStyle name="40% - Accent6 2 3 2 7 2" xfId="4444" xr:uid="{56B3BDE5-C62C-4D74-8FA0-F92119F7A7F2}"/>
    <cellStyle name="40% - Accent6 2 3 2 8" xfId="3283" xr:uid="{9ABEE6C4-944E-4B2F-8DA9-9BCE9090180B}"/>
    <cellStyle name="40% - Accent6 2 3 3" xfId="1012" xr:uid="{4EFDCDA7-058C-4EC2-BE90-18E2442FF613}"/>
    <cellStyle name="40% - Accent6 2 3 3 2" xfId="1131" xr:uid="{BCEFEEA2-A3F7-4E12-93BD-D0C0592A9288}"/>
    <cellStyle name="40% - Accent6 2 3 3 2 2" xfId="1548" xr:uid="{911A6FC7-8EAA-41B8-B06B-37B61DB9DB02}"/>
    <cellStyle name="40% - Accent6 2 3 3 2 2 2" xfId="3100" xr:uid="{BFCCB830-0AC5-49B1-8231-135402A51D25}"/>
    <cellStyle name="40% - Accent6 2 3 3 2 2 2 2" xfId="5149" xr:uid="{5D6BA2B2-11F7-41A0-BA1C-572BEE6A97C5}"/>
    <cellStyle name="40% - Accent6 2 3 3 2 2 3" xfId="3883" xr:uid="{CEBD51E0-1440-4D71-9C98-BD4D784ED147}"/>
    <cellStyle name="40% - Accent6 2 3 3 2 3" xfId="1954" xr:uid="{7942E1FF-A8E3-4D2F-9B1B-DB7B8328F5F7}"/>
    <cellStyle name="40% - Accent6 2 3 3 2 3 2" xfId="4271" xr:uid="{98AE71CE-AFA2-41A6-B223-A211860F39C9}"/>
    <cellStyle name="40% - Accent6 2 3 3 2 4" xfId="2716" xr:uid="{4757AD3A-1294-4C82-B895-0DA378877329}"/>
    <cellStyle name="40% - Accent6 2 3 3 2 4 2" xfId="4786" xr:uid="{A78E1BE5-E26E-49DF-A1CF-EAD91D316C63}"/>
    <cellStyle name="40% - Accent6 2 3 3 2 5" xfId="3495" xr:uid="{4DD0AE7B-5671-41AC-8AF6-003A7CAC8DAA}"/>
    <cellStyle name="40% - Accent6 2 3 3 3" xfId="1242" xr:uid="{E8147634-3875-4B3C-9F74-6B0B6CDD1525}"/>
    <cellStyle name="40% - Accent6 2 3 3 3 2" xfId="1653" xr:uid="{D37E6AFE-82FF-4C5A-81D6-B8C3ABD82BCF}"/>
    <cellStyle name="40% - Accent6 2 3 3 3 2 2" xfId="3205" xr:uid="{34C8A6F4-07D1-45A5-B650-3F582851C572}"/>
    <cellStyle name="40% - Accent6 2 3 3 3 2 2 2" xfId="5254" xr:uid="{ED5F54AA-47B6-4972-9215-BFA3D8C3FF4B}"/>
    <cellStyle name="40% - Accent6 2 3 3 3 2 3" xfId="3988" xr:uid="{67F34911-598C-43B2-8D18-8173587AD9E7}"/>
    <cellStyle name="40% - Accent6 2 3 3 3 3" xfId="2059" xr:uid="{3172E1A8-628C-438E-A989-BF4B06D46AA5}"/>
    <cellStyle name="40% - Accent6 2 3 3 3 3 2" xfId="4376" xr:uid="{12C50944-9271-4701-8C14-443D14C895D9}"/>
    <cellStyle name="40% - Accent6 2 3 3 3 4" xfId="2792" xr:uid="{1BA6F160-8DD2-4867-A3E4-284D85552287}"/>
    <cellStyle name="40% - Accent6 2 3 3 3 4 2" xfId="4862" xr:uid="{50C6F4FB-E77A-45A4-A1FC-BA2234BF2CB6}"/>
    <cellStyle name="40% - Accent6 2 3 3 3 5" xfId="3600" xr:uid="{9D3B5F25-0C3C-4BF9-9F9A-3E05DC380B69}"/>
    <cellStyle name="40% - Accent6 2 3 3 4" xfId="1443" xr:uid="{3BAC023C-E297-4ED4-B6DC-A9678FBAAD75}"/>
    <cellStyle name="40% - Accent6 2 3 3 4 2" xfId="2636" xr:uid="{07FE4A25-BC4E-4DC8-A554-22BB0440F620}"/>
    <cellStyle name="40% - Accent6 2 3 3 4 2 2" xfId="4706" xr:uid="{055A8D42-11CA-46B5-BC6B-B84EDF8A990C}"/>
    <cellStyle name="40% - Accent6 2 3 3 4 3" xfId="3778" xr:uid="{84B178F7-4897-4A92-81D1-24F00644A33A}"/>
    <cellStyle name="40% - Accent6 2 3 3 5" xfId="1849" xr:uid="{7A08D757-3FDD-410D-9419-C4518689F155}"/>
    <cellStyle name="40% - Accent6 2 3 3 5 2" xfId="2996" xr:uid="{4B505189-E1A7-42CC-9050-00ACC5105033}"/>
    <cellStyle name="40% - Accent6 2 3 3 5 2 2" xfId="5046" xr:uid="{0B37DD6E-864C-4654-AE72-4982C8928650}"/>
    <cellStyle name="40% - Accent6 2 3 3 5 3" xfId="4166" xr:uid="{25628823-7143-4ECA-A01B-043E02FB22C0}"/>
    <cellStyle name="40% - Accent6 2 3 3 6" xfId="2387" xr:uid="{B443B008-D99C-4D69-996E-F185C00E8B35}"/>
    <cellStyle name="40% - Accent6 2 3 3 6 2" xfId="4488" xr:uid="{11E9F428-1CDA-4D5D-AB08-164C1F976508}"/>
    <cellStyle name="40% - Accent6 2 3 3 7" xfId="3390" xr:uid="{27084E05-BE30-4664-9FEC-B7143856F6EB}"/>
    <cellStyle name="40% - Accent6 2 3 4" xfId="1066" xr:uid="{A1603D1B-B3EB-45EE-8F2E-2769B7C08DE1}"/>
    <cellStyle name="40% - Accent6 2 3 4 2" xfId="1483" xr:uid="{08311BF6-7B73-4ADC-973C-10F8FEA3B591}"/>
    <cellStyle name="40% - Accent6 2 3 4 2 2" xfId="3035" xr:uid="{DC18FACA-F05E-498C-A182-7ECD2F9FC856}"/>
    <cellStyle name="40% - Accent6 2 3 4 2 2 2" xfId="5085" xr:uid="{046063FE-678F-45BF-95AB-3890B99930D9}"/>
    <cellStyle name="40% - Accent6 2 3 4 2 3" xfId="3818" xr:uid="{91E7C185-455D-4D7E-B889-207A46F54BE7}"/>
    <cellStyle name="40% - Accent6 2 3 4 3" xfId="1889" xr:uid="{1660D40E-4DCE-443C-9373-B8F9E9E2F6C4}"/>
    <cellStyle name="40% - Accent6 2 3 4 3 2" xfId="4206" xr:uid="{0232C258-D1E7-4130-8DA0-24C52FC9C48A}"/>
    <cellStyle name="40% - Accent6 2 3 4 4" xfId="2463" xr:uid="{5E0E09CD-4DF8-4699-8900-3F5EE9D36891}"/>
    <cellStyle name="40% - Accent6 2 3 4 4 2" xfId="4562" xr:uid="{6379A784-15C8-4CFC-BC8D-957191302956}"/>
    <cellStyle name="40% - Accent6 2 3 4 5" xfId="3430" xr:uid="{4D7AAA45-24A2-4D46-A510-8D65A7C23922}"/>
    <cellStyle name="40% - Accent6 2 3 5" xfId="1172" xr:uid="{584ECCE2-03B4-4A40-A572-BC1CDA79C5AF}"/>
    <cellStyle name="40% - Accent6 2 3 5 2" xfId="1588" xr:uid="{C7AF62C4-113D-44FC-A256-ED0E69744E9E}"/>
    <cellStyle name="40% - Accent6 2 3 5 2 2" xfId="3140" xr:uid="{FE9948CE-D3D5-47A9-BDF5-D0BA91396F86}"/>
    <cellStyle name="40% - Accent6 2 3 5 2 2 2" xfId="5189" xr:uid="{74B66BE5-9A86-4EF0-9379-85DDAB6DEDA9}"/>
    <cellStyle name="40% - Accent6 2 3 5 2 3" xfId="3923" xr:uid="{3E3A2163-0242-4D38-910B-C4F0EC90F28A}"/>
    <cellStyle name="40% - Accent6 2 3 5 3" xfId="1994" xr:uid="{6F751D3D-281A-42DF-A5EB-FB0CDC29F7AF}"/>
    <cellStyle name="40% - Accent6 2 3 5 3 2" xfId="4311" xr:uid="{B44D478E-5E38-455D-A88C-198E81E4422E}"/>
    <cellStyle name="40% - Accent6 2 3 5 4" xfId="2756" xr:uid="{11E07619-1F23-4D02-ACD6-648B87EC7065}"/>
    <cellStyle name="40% - Accent6 2 3 5 4 2" xfId="4826" xr:uid="{6CBA3037-856A-446D-8E5E-D3EA5FFB6942}"/>
    <cellStyle name="40% - Accent6 2 3 5 5" xfId="3535" xr:uid="{A68FEF93-E301-44B8-98B1-34C29FB8F8C3}"/>
    <cellStyle name="40% - Accent6 2 3 6" xfId="920" xr:uid="{632092DE-F2D8-4F8B-A3E3-27856395F630}"/>
    <cellStyle name="40% - Accent6 2 3 6 2" xfId="1377" xr:uid="{FA114D6E-01D6-4C54-875D-66F552EE3F41}"/>
    <cellStyle name="40% - Accent6 2 3 6 2 2" xfId="2961" xr:uid="{F7452A7F-77DC-42B1-A1BB-5BF0E16585C6}"/>
    <cellStyle name="40% - Accent6 2 3 6 2 2 2" xfId="5013" xr:uid="{D29A7FE6-E590-49EB-8C9E-3E6668523290}"/>
    <cellStyle name="40% - Accent6 2 3 6 2 3" xfId="3713" xr:uid="{76ABA9D2-F502-4DC8-9B12-8C65CE6B95C6}"/>
    <cellStyle name="40% - Accent6 2 3 6 3" xfId="1784" xr:uid="{C23400EF-895B-4E1A-90E5-A3FE30A7437F}"/>
    <cellStyle name="40% - Accent6 2 3 6 3 2" xfId="4101" xr:uid="{01B9754D-1A0C-4510-8B82-0A700E9A78CA}"/>
    <cellStyle name="40% - Accent6 2 3 6 4" xfId="2597" xr:uid="{1940FED3-AD1D-4278-8790-0AECB4AE697B}"/>
    <cellStyle name="40% - Accent6 2 3 6 4 2" xfId="4668" xr:uid="{28D76A63-BFA3-45DC-AF80-2D48FDFFEE12}"/>
    <cellStyle name="40% - Accent6 2 3 6 5" xfId="3325" xr:uid="{05ABCCD3-BB07-4888-AFCF-E59DA5E8644D}"/>
    <cellStyle name="40% - Accent6 2 3 7" xfId="1281" xr:uid="{B53B8F2E-4B6F-4FFB-AD7D-A6F73BF69F08}"/>
    <cellStyle name="40% - Accent6 2 3 7 2" xfId="2844" xr:uid="{D735E3DD-319F-4B96-B777-18AC675957DF}"/>
    <cellStyle name="40% - Accent6 2 3 7 2 2" xfId="4903" xr:uid="{ACE6204B-9260-4EC4-9DF2-EC94E8AFF3E8}"/>
    <cellStyle name="40% - Accent6 2 3 7 3" xfId="3637" xr:uid="{CFA41393-F1E4-4F91-8282-4FA34064F550}"/>
    <cellStyle name="40% - Accent6 2 3 8" xfId="1704" xr:uid="{190DC7E0-0B16-47E3-85B4-CFF415DE9A95}"/>
    <cellStyle name="40% - Accent6 2 3 8 2" xfId="4025" xr:uid="{22AD5893-0A71-4BDF-B109-7DF74219FBF6}"/>
    <cellStyle name="40% - Accent6 2 3 9" xfId="2134" xr:uid="{BCDF30E2-A8B4-456A-BB31-0800EB53D480}"/>
    <cellStyle name="40% - Accent6 2 3 9 2" xfId="4416" xr:uid="{B5CF2FD6-ECFD-4A10-B669-9196839D1977}"/>
    <cellStyle name="40% - Accent6 2 4" xfId="109" xr:uid="{10717066-BC3A-44D7-98D7-1109F286F284}"/>
    <cellStyle name="40% - Accent6 2 5" xfId="110" xr:uid="{D12EA8B8-5756-4818-A15B-7A0DAA8343F6}"/>
    <cellStyle name="40% - Accent6 2 6" xfId="2266" xr:uid="{722CDCFF-E438-446B-8835-A8F34C72D3F9}"/>
    <cellStyle name="40% - Accent6 3" xfId="111" xr:uid="{ADCADE44-CA58-4E94-B80E-09FADA14F228}"/>
    <cellStyle name="40% - Accent6 4" xfId="112" xr:uid="{F96D983D-8201-4951-A45B-6EDDF174DAA5}"/>
    <cellStyle name="60% - Accent1 2" xfId="113" xr:uid="{851252F3-FA42-4890-B074-F31EDB113E70}"/>
    <cellStyle name="60% - Accent1 2 2" xfId="114" xr:uid="{77F964A1-EE3F-4738-B3BF-6627FDD7A89E}"/>
    <cellStyle name="60% - Accent1 2 3" xfId="115" xr:uid="{E21EB782-D79A-49E1-90A9-67AD18C43746}"/>
    <cellStyle name="60% - Accent1 2 4" xfId="116" xr:uid="{E9B6EA78-2AA5-451B-9FCF-A19DB61F32D1}"/>
    <cellStyle name="60% - Accent1 2 5" xfId="117" xr:uid="{479630F2-EF4F-4AA3-8E56-B6FE7B5574B5}"/>
    <cellStyle name="60% - Accent1 2 6" xfId="2267" xr:uid="{FD414B8D-351E-40F7-8057-E41837642551}"/>
    <cellStyle name="60% - Accent1 3" xfId="118" xr:uid="{09CBA3BE-EF0B-46CD-8F15-9F4E36D26B2B}"/>
    <cellStyle name="60% - Accent1 4" xfId="119" xr:uid="{428B4B4C-E569-414D-B0AA-FCD12380AB55}"/>
    <cellStyle name="60% - Accent2 2" xfId="120" xr:uid="{E9015811-1336-432F-85E4-92767E3E3269}"/>
    <cellStyle name="60% - Accent2 2 2" xfId="121" xr:uid="{A8BD290B-24FF-41C6-ABC7-EA34D0FA90B3}"/>
    <cellStyle name="60% - Accent2 2 3" xfId="122" xr:uid="{0F0A0EEF-93BA-461E-B845-CDEBA79CEECE}"/>
    <cellStyle name="60% - Accent2 2 4" xfId="123" xr:uid="{CBD65397-2186-4D76-965F-8569AD28EAA6}"/>
    <cellStyle name="60% - Accent2 2 5" xfId="124" xr:uid="{E62F6565-3103-48C1-AA78-16E7D4549E01}"/>
    <cellStyle name="60% - Accent2 2 6" xfId="2268" xr:uid="{2C352688-BBCF-4EBA-A8D7-114007310138}"/>
    <cellStyle name="60% - Accent2 3" xfId="125" xr:uid="{AB951B45-6DC4-4A1A-958F-CB731FD72564}"/>
    <cellStyle name="60% - Accent2 4" xfId="126" xr:uid="{406C31D2-44A5-40B7-B0E4-15E58C92D0CF}"/>
    <cellStyle name="60% - Accent3 2" xfId="127" xr:uid="{3E5F5B92-42E1-4E97-8EFA-56687272F6ED}"/>
    <cellStyle name="60% - Accent3 2 2" xfId="128" xr:uid="{93E04F33-B1E3-456A-8C31-F2ECC56CC269}"/>
    <cellStyle name="60% - Accent3 2 2 2" xfId="2269" xr:uid="{DF46BD3A-AAA6-4576-B7AF-744191805F0F}"/>
    <cellStyle name="60% - Accent3 2 2 3" xfId="2135" xr:uid="{6205B121-443D-4297-911D-0349CA837B00}"/>
    <cellStyle name="60% - Accent3 2 3" xfId="129" xr:uid="{E98F707F-F12E-4368-A355-1DD31EFFCD08}"/>
    <cellStyle name="60% - Accent3 2 3 2" xfId="2270" xr:uid="{A6A24E73-7A6A-49E7-A46D-336C2F07B52B}"/>
    <cellStyle name="60% - Accent3 2 3 3" xfId="2136" xr:uid="{6FA7F396-6051-4C97-8866-FC0267A4D6AC}"/>
    <cellStyle name="60% - Accent3 2 4" xfId="130" xr:uid="{4662EAFE-3F0B-4739-99E2-8D0D8B7C010E}"/>
    <cellStyle name="60% - Accent3 2 4 2" xfId="2271" xr:uid="{95D0991C-29A8-44A4-A2D2-1886686B6C30}"/>
    <cellStyle name="60% - Accent3 2 4 3" xfId="2137" xr:uid="{1C39A76B-C547-4B7B-AFA6-CA8AA66E7479}"/>
    <cellStyle name="60% - Accent3 2 5" xfId="131" xr:uid="{81B006F5-795D-447A-8982-7A9EF9015E6F}"/>
    <cellStyle name="60% - Accent3 2 5 2" xfId="2272" xr:uid="{9CAFA623-426F-469F-8E5B-9C999C8F6226}"/>
    <cellStyle name="60% - Accent3 2 5 3" xfId="2138" xr:uid="{E471542D-BDE0-4D26-B2B8-CD186B95B785}"/>
    <cellStyle name="60% - Accent3 2 6" xfId="884" xr:uid="{453B28E8-FEB3-4349-BADF-516E63678A20}"/>
    <cellStyle name="60% - Accent3 2 6 2" xfId="2273" xr:uid="{760D9A9D-CC89-4E2A-B2D8-914063147A36}"/>
    <cellStyle name="60% - Accent3 2 6 3" xfId="2514" xr:uid="{A83C5821-3664-4FDB-B316-553E85147B0C}"/>
    <cellStyle name="60% - Accent3 2 6 4" xfId="2202" xr:uid="{54330E29-851A-4CB7-84BB-AC0F6E231C85}"/>
    <cellStyle name="60% - Accent3 2 6 5" xfId="5357" xr:uid="{4D3CBA82-F25C-4937-9599-79B501FB3D0C}"/>
    <cellStyle name="60% - Accent3 3" xfId="132" xr:uid="{885B57AD-E227-4CCC-BA47-93E0E739830E}"/>
    <cellStyle name="60% - Accent3 3 2" xfId="2274" xr:uid="{174641DA-ACD9-4583-88C8-422B89E01105}"/>
    <cellStyle name="60% - Accent3 3 3" xfId="2139" xr:uid="{0A11B982-F95A-4C48-8638-C174897D9F94}"/>
    <cellStyle name="60% - Accent3 4" xfId="133" xr:uid="{C8EC5CCC-352A-4B7F-9CDD-110B689B1D5E}"/>
    <cellStyle name="60% - Accent3 4 2" xfId="2275" xr:uid="{7E735A01-441B-4810-B1B3-C98BB11D50AF}"/>
    <cellStyle name="60% - Accent3 4 3" xfId="2140" xr:uid="{801FAE4F-2388-47EA-A2A9-B2C3F62542BD}"/>
    <cellStyle name="60% - Accent4 2" xfId="134" xr:uid="{CD93B5CC-3E8C-4411-8884-EF404ADAA39A}"/>
    <cellStyle name="60% - Accent4 2 2" xfId="135" xr:uid="{436CAD85-C00D-4809-97AB-AA498F3DFB5E}"/>
    <cellStyle name="60% - Accent4 2 3" xfId="136" xr:uid="{4CEADD6E-7B72-418E-8BE8-0F567BFD4E0E}"/>
    <cellStyle name="60% - Accent4 2 4" xfId="137" xr:uid="{AB792DA7-3FD0-4168-BAFA-1C05C5D0DE58}"/>
    <cellStyle name="60% - Accent4 2 5" xfId="138" xr:uid="{779CDCB4-8F1D-4D54-B98B-8E3D05A37950}"/>
    <cellStyle name="60% - Accent4 2 6" xfId="2276" xr:uid="{CF23904F-7FF1-44BB-A2D6-A1767CBFB44E}"/>
    <cellStyle name="60% - Accent4 3" xfId="139" xr:uid="{7371F5DD-845F-4F15-A194-02C5EA0EAE8E}"/>
    <cellStyle name="60% - Accent4 4" xfId="140" xr:uid="{E0EEAE2B-A292-4A91-B9AF-980CF44D9834}"/>
    <cellStyle name="60% - Accent5 2" xfId="141" xr:uid="{1F47D029-1331-469F-A5D0-821C0509212D}"/>
    <cellStyle name="60% - Accent5 2 2" xfId="142" xr:uid="{15B755CB-E5B6-4D8C-A4E3-9E06CBD804A2}"/>
    <cellStyle name="60% - Accent5 2 3" xfId="143" xr:uid="{B9AF840C-F3FA-43B4-B791-DFCAA6211497}"/>
    <cellStyle name="60% - Accent5 2 4" xfId="144" xr:uid="{AA373DF3-A029-4263-9593-9F9DF949ABF5}"/>
    <cellStyle name="60% - Accent5 2 5" xfId="145" xr:uid="{C979423D-A97E-4AE6-9433-41F5047510FB}"/>
    <cellStyle name="60% - Accent5 2 6" xfId="2277" xr:uid="{87A5DC77-4AD5-4249-827E-7D91E21E06BE}"/>
    <cellStyle name="60% - Accent5 3" xfId="146" xr:uid="{CB0CFD28-844E-4A7E-9603-9F721B9A01F4}"/>
    <cellStyle name="60% - Accent5 4" xfId="147" xr:uid="{228F283B-0353-47BB-9E53-99B09EB63B58}"/>
    <cellStyle name="60% - Accent6 2" xfId="148" xr:uid="{031F9211-229E-45F9-BFE6-ED46278BFC19}"/>
    <cellStyle name="60% - Accent6 2 2" xfId="149" xr:uid="{4463F097-AF93-49F8-B072-B42796B1A086}"/>
    <cellStyle name="60% - Accent6 2 2 2" xfId="2278" xr:uid="{D67F1E0E-594B-42BC-BEC8-58E55233E4EC}"/>
    <cellStyle name="60% - Accent6 2 2 3" xfId="2141" xr:uid="{E0A295AC-152B-4809-8E58-7E585C853E75}"/>
    <cellStyle name="60% - Accent6 2 3" xfId="150" xr:uid="{442E68BE-2C66-443A-812D-DCD22B0B861F}"/>
    <cellStyle name="60% - Accent6 2 3 2" xfId="2279" xr:uid="{6B250C4D-A0D1-4306-BFE5-8C630E75E62C}"/>
    <cellStyle name="60% - Accent6 2 3 3" xfId="2142" xr:uid="{E56551A7-6601-475C-83D4-DA07D066D369}"/>
    <cellStyle name="60% - Accent6 2 4" xfId="151" xr:uid="{7EEE6061-F6BD-4658-BC1B-ABB4DEF40F26}"/>
    <cellStyle name="60% - Accent6 2 4 2" xfId="2280" xr:uid="{95B0934F-E74C-4A7F-992A-D7866E1543B3}"/>
    <cellStyle name="60% - Accent6 2 4 3" xfId="2143" xr:uid="{2C05D359-76C0-4E72-9FFA-36B77E1F825F}"/>
    <cellStyle name="60% - Accent6 2 5" xfId="152" xr:uid="{896F1B59-06E5-4753-B65D-0AE86010502E}"/>
    <cellStyle name="60% - Accent6 2 6" xfId="2203" xr:uid="{B76E2FFB-7866-45BC-846F-F96DE6D3F176}"/>
    <cellStyle name="60% - Accent6 2 6 2" xfId="2281" xr:uid="{B5CD24BA-85D2-4307-A6AD-E777BE8AD776}"/>
    <cellStyle name="60% - Accent6 2 6 3" xfId="5363" xr:uid="{A03FC32B-0B9B-4DED-8CCC-EBED8381C83A}"/>
    <cellStyle name="60% - Accent6 3" xfId="153" xr:uid="{15F24751-D3EB-4FE8-B6CA-6EC1C0573272}"/>
    <cellStyle name="60% - Accent6 3 2" xfId="2282" xr:uid="{F1951502-6888-4BD1-8742-484B137E05DD}"/>
    <cellStyle name="60% - Accent6 3 3" xfId="2144" xr:uid="{F1927A9A-A34D-4914-936D-5CA0B59AC3A4}"/>
    <cellStyle name="60% - Accent6 4" xfId="154" xr:uid="{2AE0BF49-0A2F-46F0-83E9-1B115B5A3DB3}"/>
    <cellStyle name="60% - Accent6 4 2" xfId="2283" xr:uid="{EC17E106-C7D7-4C38-A6FB-22D53AE26B28}"/>
    <cellStyle name="60% - Accent6 4 3" xfId="2145" xr:uid="{C13365EC-6A5C-455D-8D30-54EF44048CDF}"/>
    <cellStyle name="Accent1 2" xfId="155" xr:uid="{C9F158B3-180B-4200-8D4C-CF61AAE34406}"/>
    <cellStyle name="Accent1 2 2" xfId="156" xr:uid="{9B59ACB9-5B74-417E-8217-7A547C41DC53}"/>
    <cellStyle name="Accent1 2 3" xfId="157" xr:uid="{CD590B8C-0C2C-4E40-8399-9E2A06F53A3C}"/>
    <cellStyle name="Accent1 2 4" xfId="158" xr:uid="{C295A2C7-905F-4338-8D76-CC7ED3D34DA9}"/>
    <cellStyle name="Accent1 2 5" xfId="159" xr:uid="{9AEDFB12-8EAF-42CF-A416-13DA2CC84EDB}"/>
    <cellStyle name="Accent1 2 6" xfId="2284" xr:uid="{74F5472E-818F-42A8-A12A-2275CD828B23}"/>
    <cellStyle name="Accent1 3" xfId="160" xr:uid="{733C83B7-48BB-4FC7-B6FA-6EB9C15C3439}"/>
    <cellStyle name="Accent1 4" xfId="161" xr:uid="{148B876B-C325-4AEF-B437-F96358151CE7}"/>
    <cellStyle name="Accent2 2" xfId="162" xr:uid="{854A8BF6-F420-4701-9979-23AE44AB4F62}"/>
    <cellStyle name="Accent2 2 2" xfId="163" xr:uid="{167AFFDE-42B0-454C-AA82-7B2CB753B9BB}"/>
    <cellStyle name="Accent2 2 3" xfId="164" xr:uid="{63DA691E-3EAF-4114-B91D-7008B337449F}"/>
    <cellStyle name="Accent2 2 4" xfId="165" xr:uid="{2688CD71-06B1-43B3-8497-E7C2286BCD31}"/>
    <cellStyle name="Accent2 2 5" xfId="166" xr:uid="{BA788E30-CAF5-4786-83AD-D530538F4F95}"/>
    <cellStyle name="Accent2 2 6" xfId="2285" xr:uid="{80A291C5-0D38-4AEF-8D41-D4909F9AB0DA}"/>
    <cellStyle name="Accent2 3" xfId="167" xr:uid="{6511626C-74B1-4B35-B35D-826BE48BD394}"/>
    <cellStyle name="Accent2 4" xfId="168" xr:uid="{A763735D-C4CE-4998-9816-7548A924E103}"/>
    <cellStyle name="Accent3 2" xfId="169" xr:uid="{DBC50504-190D-4B97-980D-D34BEF0B96D2}"/>
    <cellStyle name="Accent3 2 2" xfId="170" xr:uid="{B0FEF7CF-A767-474D-89F9-0A7685F9908D}"/>
    <cellStyle name="Accent3 2 3" xfId="171" xr:uid="{4C082C7C-9520-41D3-BAFF-EF9095162867}"/>
    <cellStyle name="Accent3 2 4" xfId="172" xr:uid="{393A1A39-987C-45FE-B29D-10957EEE8EA2}"/>
    <cellStyle name="Accent3 2 5" xfId="173" xr:uid="{8FBBFB00-3DF0-4E3C-A789-6612CD830C95}"/>
    <cellStyle name="Accent3 2 6" xfId="2286" xr:uid="{7EBDF175-42E1-4831-A77A-CE4EC28D77B6}"/>
    <cellStyle name="Accent3 3" xfId="174" xr:uid="{716F1E2B-5E58-4A55-97E5-63D573290DEC}"/>
    <cellStyle name="Accent3 4" xfId="175" xr:uid="{0B53B947-CC22-4CEB-9A1E-6B0193552170}"/>
    <cellStyle name="Accent4 2" xfId="176" xr:uid="{1A714C03-0C48-4CDE-A0DD-992236A5C7FC}"/>
    <cellStyle name="Accent4 2 2" xfId="177" xr:uid="{F3D233BE-E522-44C6-8967-E7A28134A2E3}"/>
    <cellStyle name="Accent4 2 3" xfId="178" xr:uid="{A1162938-EF82-467B-94D5-5F34156A313E}"/>
    <cellStyle name="Accent4 2 4" xfId="179" xr:uid="{6F325368-BA7B-47A3-857F-F17CD95674F9}"/>
    <cellStyle name="Accent4 2 5" xfId="180" xr:uid="{B94BD8F5-43D5-49B8-BF78-766E8F12E2DF}"/>
    <cellStyle name="Accent4 2 6" xfId="2287" xr:uid="{C9016FFB-EF21-43D0-B07F-81C372D951EC}"/>
    <cellStyle name="Accent4 3" xfId="181" xr:uid="{371F8565-50EB-4F5A-8FE1-5DE6ED958654}"/>
    <cellStyle name="Accent4 4" xfId="182" xr:uid="{DFA6DAB1-A933-4628-8C89-56B87089B57A}"/>
    <cellStyle name="Accent5 2" xfId="183" xr:uid="{279FBB95-FA4C-4C54-8EB8-38C74BB7193C}"/>
    <cellStyle name="Accent5 2 2" xfId="184" xr:uid="{8F495876-D65D-4632-A752-C80B147C1F44}"/>
    <cellStyle name="Accent5 2 3" xfId="185" xr:uid="{BA7FA4C6-E895-40A8-965F-BF2EE6AA4F0C}"/>
    <cellStyle name="Accent5 3" xfId="186" xr:uid="{0D55D8D8-DB7D-48C0-96C6-7D4FBD971E9F}"/>
    <cellStyle name="Accent5 4" xfId="187" xr:uid="{255580D1-2EE8-45B9-B566-53AF27B2D199}"/>
    <cellStyle name="Accent6 2" xfId="188" xr:uid="{343F03C5-EC99-47A8-88CF-FBAD5390553C}"/>
    <cellStyle name="Accent6 2 2" xfId="189" xr:uid="{896973B1-8C6A-4CCC-A9AC-0C2B9A1C37A0}"/>
    <cellStyle name="Accent6 2 3" xfId="190" xr:uid="{1BF388F5-8D2A-40A7-A0C3-FBD70A9918E4}"/>
    <cellStyle name="Accent6 2 4" xfId="191" xr:uid="{7D1281CA-264E-4FE2-8E26-F73CBE677A2F}"/>
    <cellStyle name="Accent6 2 5" xfId="192" xr:uid="{7603C449-2917-4A89-8FF6-B4F05F04B760}"/>
    <cellStyle name="Accent6 2 6" xfId="2288" xr:uid="{8BCC59C8-1371-4AA1-852B-7B22E191DD29}"/>
    <cellStyle name="Accent6 3" xfId="193" xr:uid="{CA8EF23E-6E2D-42DA-A0DF-D7EB32FD1CB6}"/>
    <cellStyle name="Accent6 4" xfId="194" xr:uid="{D8C20B41-879F-476A-9936-20C477FA171C}"/>
    <cellStyle name="Bad 2" xfId="195" xr:uid="{46F0560F-1F09-4AC2-A7EA-3BABA7CAAE47}"/>
    <cellStyle name="Bad 2 2" xfId="196" xr:uid="{61601DC3-0F5E-40F9-BB63-26906C6481AA}"/>
    <cellStyle name="Bad 2 2 2" xfId="2289" xr:uid="{0DDC6C2B-2AD1-4CDA-B5EE-3153AC5EE759}"/>
    <cellStyle name="Bad 2 2 3" xfId="2146" xr:uid="{7809CF3A-B3A9-4D2D-93D4-40076645B08C}"/>
    <cellStyle name="Bad 2 3" xfId="197" xr:uid="{80F4DE17-6EA2-4F46-9850-007EDBDCBF53}"/>
    <cellStyle name="Bad 2 3 2" xfId="2290" xr:uid="{8CE4B048-B0E8-47D7-A02C-6203FA7C9F4B}"/>
    <cellStyle name="Bad 2 3 3" xfId="2147" xr:uid="{84F3EEF3-C1E4-4E72-9645-42A789AEB3AA}"/>
    <cellStyle name="Bad 2 4" xfId="198" xr:uid="{A06CD2F2-B532-4B37-B702-5A0D3F9365B6}"/>
    <cellStyle name="Bad 2 4 2" xfId="2291" xr:uid="{EAABC6FE-5A7E-40A3-96AB-8B62BA4895BA}"/>
    <cellStyle name="Bad 2 4 3" xfId="2148" xr:uid="{81F4FD6C-31B0-4811-A061-EFBC1B0B439D}"/>
    <cellStyle name="Bad 2 5" xfId="199" xr:uid="{9337D07E-7C06-4404-A517-949086696626}"/>
    <cellStyle name="Bad 2 6" xfId="2204" xr:uid="{C76EE604-D666-4FE3-A166-3BBC6F9A7839}"/>
    <cellStyle name="Bad 2 6 2" xfId="2292" xr:uid="{4BC2E533-9BF0-4795-AD8B-BF0093E6E17A}"/>
    <cellStyle name="Bad 2 6 3" xfId="5364" xr:uid="{5AD9C676-0407-4255-B9A1-DD3F6B193021}"/>
    <cellStyle name="Bad 3" xfId="200" xr:uid="{6229CB70-1067-4111-BCF2-0A71FDF04DCA}"/>
    <cellStyle name="Bad 3 2" xfId="2293" xr:uid="{EBF06361-C156-409C-B3C0-21A21489B65E}"/>
    <cellStyle name="Bad 3 3" xfId="2149" xr:uid="{210F9BAE-CE1C-4D1A-A504-6A973427E03A}"/>
    <cellStyle name="Bad 4" xfId="201" xr:uid="{ACD40A1E-736B-4874-9A52-B274B3715625}"/>
    <cellStyle name="Bad 4 2" xfId="2294" xr:uid="{0B0B95CA-1C20-4ACC-BE85-393234804BA1}"/>
    <cellStyle name="Bad 4 3" xfId="2150" xr:uid="{A73E95ED-CAE0-41F6-BD9A-5B0451E6B494}"/>
    <cellStyle name="Calculation 2" xfId="202" xr:uid="{4931E659-EE94-402F-8309-81F8EFA64565}"/>
    <cellStyle name="Calculation 2 2" xfId="203" xr:uid="{BE4F5B2D-D745-432E-B0CA-5BB363C53325}"/>
    <cellStyle name="Calculation 2 3" xfId="204" xr:uid="{4D45B34C-6582-4D0E-81E8-094C4CD78622}"/>
    <cellStyle name="Calculation 2 4" xfId="205" xr:uid="{1AADBE46-0001-4E89-A8AD-13E2E73790A9}"/>
    <cellStyle name="Calculation 2 5" xfId="206" xr:uid="{1AB91D32-304D-4751-9A13-5E18E80A9214}"/>
    <cellStyle name="Calculation 2 6" xfId="2295" xr:uid="{579E69E3-AC23-4094-B217-2AE14E2E58FA}"/>
    <cellStyle name="Calculation 3" xfId="207" xr:uid="{54C45C8B-57CB-42A9-9949-A11E64B5019D}"/>
    <cellStyle name="Calculation 4" xfId="208" xr:uid="{5E8AA2FF-A324-4E37-AB33-896BA4630B30}"/>
    <cellStyle name="Check Cell 2" xfId="209" xr:uid="{98771C40-A858-4338-B93F-F800B3F082AC}"/>
    <cellStyle name="Check Cell 2 2" xfId="210" xr:uid="{80DF95C9-6309-482A-A54A-14BCC4806D0E}"/>
    <cellStyle name="Check Cell 2 3" xfId="211" xr:uid="{3D115491-F35B-4B2F-AED1-62DFCB207771}"/>
    <cellStyle name="Check Cell 3" xfId="212" xr:uid="{09756ADC-DA0C-4773-BAF2-C71F16D1B4F4}"/>
    <cellStyle name="Check Cell 4" xfId="213" xr:uid="{B965BE00-5986-4AC2-8570-BC7FF4CA5358}"/>
    <cellStyle name="Comma" xfId="1" builtinId="3"/>
    <cellStyle name="Comma 10" xfId="215" xr:uid="{21682F8B-6127-49BD-9059-E1CD88FB898F}"/>
    <cellStyle name="Comma 11" xfId="216" xr:uid="{C7546A5A-0BA4-4F37-A8BD-BE30582F65BF}"/>
    <cellStyle name="Comma 11 2" xfId="828" xr:uid="{C50EB06D-69AA-4BE5-88FF-C9E1F5E2AB9D}"/>
    <cellStyle name="Comma 11 2 2" xfId="1032" xr:uid="{6AC4BFF6-B0BE-4775-A46B-C3F0C4FA23B5}"/>
    <cellStyle name="Comma 11 2 3" xfId="5337" xr:uid="{0A522E69-6804-4FB9-9013-7822828AA05A}"/>
    <cellStyle name="Comma 11 2 4" xfId="5286" xr:uid="{5B088B9E-5604-4A47-9B98-C0E7E2F4D51F}"/>
    <cellStyle name="Comma 11 3" xfId="5308" xr:uid="{6EA9BA66-6844-497B-A49B-F9405F5DBC3D}"/>
    <cellStyle name="Comma 11 4" xfId="5281" xr:uid="{A41A8EDE-4361-4CBB-8173-E3D8AE22F1CA}"/>
    <cellStyle name="Comma 12" xfId="214" xr:uid="{97AF9D97-1EB6-4AA6-8C79-2A0EB2986873}"/>
    <cellStyle name="Comma 12 2" xfId="5350" xr:uid="{373D4FD2-DB38-4430-A303-3518E3585065}"/>
    <cellStyle name="Comma 12 3" xfId="5282" xr:uid="{2B2715B3-8378-435F-A53A-8871913C2983}"/>
    <cellStyle name="Comma 13" xfId="217" xr:uid="{F5FBEFE4-8677-4DEE-BB8B-44D49B379298}"/>
    <cellStyle name="Comma 14" xfId="218" xr:uid="{955A2228-7938-4AAD-BE41-B6B18631D699}"/>
    <cellStyle name="Comma 15" xfId="5280" xr:uid="{BAAF54D6-1800-42C7-8516-AF40A5419C66}"/>
    <cellStyle name="Comma 2" xfId="219" xr:uid="{735CCCB0-6A45-4ED5-AFB4-83826B2E90B0}"/>
    <cellStyle name="Comma 2 2" xfId="220" xr:uid="{763CBEB1-372F-46F3-A899-37CF4322A6DC}"/>
    <cellStyle name="Comma 2 2 2" xfId="221" xr:uid="{3EA17489-A929-478F-A58C-8A9FA73163D2}"/>
    <cellStyle name="Comma 2 2 2 2" xfId="222" xr:uid="{C16CA19D-CAFF-4C11-9268-ED98C3D29E01}"/>
    <cellStyle name="Comma 2 2 3" xfId="223" xr:uid="{C5B29516-D2AC-4D26-8412-7C10D976F56D}"/>
    <cellStyle name="Comma 2 2 3 2" xfId="224" xr:uid="{CAE39574-A51F-40A5-AA93-6698B86205EA}"/>
    <cellStyle name="Comma 2 2 4" xfId="225" xr:uid="{CD1EF858-3709-407E-A445-28B7E1D225CD}"/>
    <cellStyle name="Comma 2 2 5" xfId="226" xr:uid="{9C191BAB-793B-4F00-8D8B-5C1C69062D37}"/>
    <cellStyle name="Comma 2 3" xfId="227" xr:uid="{32B4FC86-5FA0-453A-8075-D7D3FDFA529C}"/>
    <cellStyle name="Comma 2 3 2" xfId="228" xr:uid="{0BBB1F50-E1C8-4B90-A8A5-D4CA3AAE17DA}"/>
    <cellStyle name="Comma 2 3 2 2" xfId="229" xr:uid="{63FEA742-0C72-4640-83A5-3EB95D91FEB2}"/>
    <cellStyle name="Comma 2 3 3" xfId="230" xr:uid="{164DE763-40F6-4447-829D-31546BB099B9}"/>
    <cellStyle name="Comma 2 3 3 2" xfId="231" xr:uid="{05F65066-EB01-41B3-8B1E-081F5D9DAC11}"/>
    <cellStyle name="Comma 2 3 4" xfId="232" xr:uid="{F66F15AF-9980-4BF3-AD35-7A7EE5FF2BDA}"/>
    <cellStyle name="Comma 2 3 5" xfId="233" xr:uid="{7D86DF37-DD1A-457D-9ABB-07B4639DA7B2}"/>
    <cellStyle name="Comma 2 4" xfId="234" xr:uid="{00EE2CA0-EE71-4F2D-8B19-1F853D32F6BA}"/>
    <cellStyle name="Comma 2 4 2" xfId="235" xr:uid="{69F936D1-04EB-4F01-B1BE-425EB24F17C7}"/>
    <cellStyle name="Comma 2 4 2 2" xfId="236" xr:uid="{D0913760-3FCE-42F9-94C7-3B02A22F27D9}"/>
    <cellStyle name="Comma 2 4 2 3" xfId="237" xr:uid="{4E79AB17-51F4-4F47-9B58-DE6181341FEC}"/>
    <cellStyle name="Comma 2 4 2 4" xfId="238" xr:uid="{EB167D22-8704-4502-8691-73141E090A10}"/>
    <cellStyle name="Comma 2 4 3" xfId="239" xr:uid="{6A510D38-F7C1-4789-A058-05D8B0E026AD}"/>
    <cellStyle name="Comma 2 5" xfId="240" xr:uid="{77790840-7E77-45D9-BAC5-3FD409057701}"/>
    <cellStyle name="Comma 2 5 2" xfId="241" xr:uid="{8B583209-ACE0-411B-ACF8-68438B5D3029}"/>
    <cellStyle name="Comma 2 5 2 2" xfId="242" xr:uid="{98ABD74F-6FEA-4C27-A8A6-CFE26E4AC0E9}"/>
    <cellStyle name="Comma 2 5 3" xfId="243" xr:uid="{2B713DE3-B2E5-41CD-88EF-3B787A394F66}"/>
    <cellStyle name="Comma 2 5 4" xfId="244" xr:uid="{D916DAB0-2491-40FF-8777-84A57C202958}"/>
    <cellStyle name="Comma 2 5 5" xfId="245" xr:uid="{F9BE8A4A-3EB7-4D4A-B5CF-A2EBC0A163E0}"/>
    <cellStyle name="Comma 2 5 6" xfId="246" xr:uid="{5BB91B8E-FDFC-463D-BC74-20A8CFC6C383}"/>
    <cellStyle name="Comma 2 5 6 2" xfId="829" xr:uid="{816CD627-64F0-46DE-A08D-DC99B692117D}"/>
    <cellStyle name="Comma 2 5 6 2 2" xfId="2082" xr:uid="{5EC97C55-7234-4E5C-9FB2-C50D9EE865AF}"/>
    <cellStyle name="Comma 2 5 6 3" xfId="5288" xr:uid="{A4E80F86-CB34-497A-8F84-9C62D9D9E8C0}"/>
    <cellStyle name="Comma 2 5 7" xfId="5287" xr:uid="{0F68CC33-9EFD-44A3-84C4-1BB855360CFC}"/>
    <cellStyle name="Comma 2 6" xfId="247" xr:uid="{0FB245C4-ED93-460F-8C1D-46411152B49C}"/>
    <cellStyle name="Comma 2 6 10" xfId="5338" xr:uid="{C95726C6-A361-4759-8E0E-F138E0C5CDE0}"/>
    <cellStyle name="Comma 2 6 2" xfId="248" xr:uid="{B3143B9F-209B-4FBB-959C-82AFDD322171}"/>
    <cellStyle name="Comma 2 6 2 2" xfId="830" xr:uid="{1672CCFF-7FCC-4E01-8CF4-DCE5B3629D3D}"/>
    <cellStyle name="Comma 2 6 2 2 2" xfId="1067" xr:uid="{69E55DF4-1041-4C26-8866-F5255B516B45}"/>
    <cellStyle name="Comma 2 6 2 2 2 2" xfId="1484" xr:uid="{8978D10C-7A35-4E60-8B88-ECC242BEEE1D}"/>
    <cellStyle name="Comma 2 6 2 2 2 2 2" xfId="2660" xr:uid="{B1E5242C-8420-471F-B425-DFF83BF2B7CA}"/>
    <cellStyle name="Comma 2 6 2 2 2 2 2 2" xfId="4730" xr:uid="{0B02D1E1-8944-4989-8FEF-4779F93397B2}"/>
    <cellStyle name="Comma 2 6 2 2 2 2 3" xfId="3819" xr:uid="{09EA4A82-F32D-4EB7-B3E2-469EA7EBE39E}"/>
    <cellStyle name="Comma 2 6 2 2 2 3" xfId="1890" xr:uid="{8A5C2F47-599A-4D59-B8A0-AEBD42488CD9}"/>
    <cellStyle name="Comma 2 6 2 2 2 3 2" xfId="3036" xr:uid="{C06D8011-B640-422D-9161-8494873FB8F8}"/>
    <cellStyle name="Comma 2 6 2 2 2 3 2 2" xfId="5086" xr:uid="{175B1B6E-A683-4BF0-9C6D-DDC35FBFEA10}"/>
    <cellStyle name="Comma 2 6 2 2 2 3 3" xfId="4207" xr:uid="{06B99946-5C34-45AA-A026-35498BE71AA0}"/>
    <cellStyle name="Comma 2 6 2 2 2 4" xfId="2434" xr:uid="{C67DB3F2-84DE-48BE-9B41-4F9090920910}"/>
    <cellStyle name="Comma 2 6 2 2 2 4 2" xfId="4535" xr:uid="{5D43CA25-216A-44A2-B6E1-04306A66C648}"/>
    <cellStyle name="Comma 2 6 2 2 2 5" xfId="3431" xr:uid="{15DFA90C-FFF4-4A01-B2A0-326FF61F1CDF}"/>
    <cellStyle name="Comma 2 6 2 2 3" xfId="1173" xr:uid="{E2D1D466-E36B-48B4-9859-3A0F28BDB90B}"/>
    <cellStyle name="Comma 2 6 2 2 3 2" xfId="1589" xr:uid="{7E7037ED-CAA7-47A4-B4EF-D349E5E8A5C1}"/>
    <cellStyle name="Comma 2 6 2 2 3 2 2" xfId="3141" xr:uid="{760A8C92-D55F-47A0-8C16-9D421A2F18E7}"/>
    <cellStyle name="Comma 2 6 2 2 3 2 2 2" xfId="5190" xr:uid="{FF007EF4-0652-4B99-8239-99A6D412AD58}"/>
    <cellStyle name="Comma 2 6 2 2 3 2 3" xfId="3924" xr:uid="{9D8E8449-8F82-41F8-9B92-17557F0BB56A}"/>
    <cellStyle name="Comma 2 6 2 2 3 3" xfId="1995" xr:uid="{B72C0DCA-50E7-404B-9412-232CF4062016}"/>
    <cellStyle name="Comma 2 6 2 2 3 3 2" xfId="4312" xr:uid="{23D22A02-868E-4726-B184-AE185E40321C}"/>
    <cellStyle name="Comma 2 6 2 2 3 4" xfId="2576" xr:uid="{EA7CCE21-AEB9-4DCE-9DA5-817ABE0BAE18}"/>
    <cellStyle name="Comma 2 6 2 2 3 4 2" xfId="4652" xr:uid="{7CFD070F-9E5B-49EE-B85F-DF7B05945840}"/>
    <cellStyle name="Comma 2 6 2 2 3 5" xfId="3536" xr:uid="{02941531-15C2-43B0-B8CC-1051FF0C1106}"/>
    <cellStyle name="Comma 2 6 2 2 4" xfId="921" xr:uid="{DE4B5A04-F849-46AF-9ADB-F07DF7B98696}"/>
    <cellStyle name="Comma 2 6 2 2 4 2" xfId="1378" xr:uid="{F1BE936A-3C98-430A-9599-B0D60B57A26A}"/>
    <cellStyle name="Comma 2 6 2 2 4 2 2" xfId="2933" xr:uid="{05B85B4B-B200-445F-855D-B0989A0E3551}"/>
    <cellStyle name="Comma 2 6 2 2 4 2 2 2" xfId="4987" xr:uid="{6F25EEAD-9BC3-4043-BC58-DC272BBF7BBE}"/>
    <cellStyle name="Comma 2 6 2 2 4 2 3" xfId="3714" xr:uid="{6132239C-4BDB-4727-A927-0E0714E1DBBD}"/>
    <cellStyle name="Comma 2 6 2 2 4 3" xfId="1785" xr:uid="{4F30DD27-640F-42A7-A62A-F0F22BF905C2}"/>
    <cellStyle name="Comma 2 6 2 2 4 3 2" xfId="4102" xr:uid="{46AEF047-3411-43DB-BCA0-7D00582B4850}"/>
    <cellStyle name="Comma 2 6 2 2 4 4" xfId="2523" xr:uid="{7CE62B6A-5602-4F97-A876-1E63243D2938}"/>
    <cellStyle name="Comma 2 6 2 2 4 4 2" xfId="4604" xr:uid="{B5B9008A-D9ED-4BF8-B6B3-1DD9F6E65354}"/>
    <cellStyle name="Comma 2 6 2 2 4 5" xfId="3326" xr:uid="{3301BD19-D82D-43B2-A537-9DDF17129BD3}"/>
    <cellStyle name="Comma 2 6 2 2 5" xfId="1336" xr:uid="{6AC8A7A6-C759-4914-87C9-3AEF593A3A9E}"/>
    <cellStyle name="Comma 2 6 2 2 5 2" xfId="2942" xr:uid="{F5968821-BD05-4128-9ADD-6E550CCE96BC}"/>
    <cellStyle name="Comma 2 6 2 2 5 2 2" xfId="4996" xr:uid="{9ED270F3-7614-4ED3-A41E-B43D2995C0CE}"/>
    <cellStyle name="Comma 2 6 2 2 5 3" xfId="3672" xr:uid="{78C512C5-71B7-48AB-B1F7-82172C199958}"/>
    <cellStyle name="Comma 2 6 2 2 6" xfId="1743" xr:uid="{54675077-60D8-4EBE-9C43-FD3347FCD20C}"/>
    <cellStyle name="Comma 2 6 2 2 6 2" xfId="4060" xr:uid="{76379A37-1269-4736-A9D4-5EC73A1CE066}"/>
    <cellStyle name="Comma 2 6 2 2 7" xfId="2296" xr:uid="{09428D53-ED04-405B-A200-E576F9172E0A}"/>
    <cellStyle name="Comma 2 6 2 2 7 2" xfId="4463" xr:uid="{A8C39C7E-85DE-4D7B-A935-FCB55E1B015B}"/>
    <cellStyle name="Comma 2 6 2 2 8" xfId="3284" xr:uid="{D89E0169-3CAA-4F15-AA71-0FBB27601C91}"/>
    <cellStyle name="Comma 2 6 2 3" xfId="975" xr:uid="{01F215B2-ED76-4A03-95AB-6C05657A2C8D}"/>
    <cellStyle name="Comma 2 6 2 3 2" xfId="1098" xr:uid="{7D841D41-81B3-4CBF-BDD7-5D35E512C46C}"/>
    <cellStyle name="Comma 2 6 2 3 2 2" xfId="1515" xr:uid="{57818255-F07B-4317-A431-BB5F80D204DD}"/>
    <cellStyle name="Comma 2 6 2 3 2 2 2" xfId="3067" xr:uid="{6CB08618-5DF1-4BCC-9203-4E3C85CB4DF0}"/>
    <cellStyle name="Comma 2 6 2 3 2 2 2 2" xfId="5116" xr:uid="{D372B4E2-B4C7-4D05-B3C1-19F5824E7050}"/>
    <cellStyle name="Comma 2 6 2 3 2 2 3" xfId="3850" xr:uid="{9D9AACB1-F799-458E-869E-DF3F5DECB7D3}"/>
    <cellStyle name="Comma 2 6 2 3 2 3" xfId="1921" xr:uid="{57F7A8EB-C0D4-457A-94AA-3951446ED533}"/>
    <cellStyle name="Comma 2 6 2 3 2 3 2" xfId="4238" xr:uid="{617FA60F-3372-4910-B1AB-3C31B9EA9DF1}"/>
    <cellStyle name="Comma 2 6 2 3 2 4" xfId="2684" xr:uid="{036D607C-516B-457C-9F5F-F9D17C5D34E0}"/>
    <cellStyle name="Comma 2 6 2 3 2 4 2" xfId="4754" xr:uid="{B96059FB-54E7-4F79-B7E0-56D22858E9BB}"/>
    <cellStyle name="Comma 2 6 2 3 2 5" xfId="3462" xr:uid="{1052DF73-8D6E-4660-8EEF-7CFB3174948A}"/>
    <cellStyle name="Comma 2 6 2 3 3" xfId="1205" xr:uid="{4A3B2E7E-3F7B-4158-A045-673AA1870438}"/>
    <cellStyle name="Comma 2 6 2 3 3 2" xfId="1620" xr:uid="{9B574C6B-CB41-4D9B-B9FC-E0AC37DD4A32}"/>
    <cellStyle name="Comma 2 6 2 3 3 2 2" xfId="3172" xr:uid="{15009628-2312-4D35-BBC2-261295CD2B44}"/>
    <cellStyle name="Comma 2 6 2 3 3 2 2 2" xfId="5221" xr:uid="{B89DD7A2-4C60-44F6-8B9B-A12A78AE236F}"/>
    <cellStyle name="Comma 2 6 2 3 3 2 3" xfId="3955" xr:uid="{AA8C4D2D-63F8-4F39-8080-7552A5BC0204}"/>
    <cellStyle name="Comma 2 6 2 3 3 3" xfId="2026" xr:uid="{FFFFF12C-1656-4478-9DFA-A989CABDE0E2}"/>
    <cellStyle name="Comma 2 6 2 3 3 3 2" xfId="4343" xr:uid="{20F649D3-4DB4-4F82-BF2D-04AFE79BECEB}"/>
    <cellStyle name="Comma 2 6 2 3 3 4" xfId="2778" xr:uid="{E561BECA-AF6D-4D2F-9AC7-6C10CEEA9AB7}"/>
    <cellStyle name="Comma 2 6 2 3 3 4 2" xfId="4848" xr:uid="{9E4E5E10-4D00-46E2-9965-6E03D2BEDC8A}"/>
    <cellStyle name="Comma 2 6 2 3 3 5" xfId="3567" xr:uid="{5266D322-0830-4323-AF36-C1108D3F702E}"/>
    <cellStyle name="Comma 2 6 2 3 4" xfId="1410" xr:uid="{9B5B7671-C284-4CD1-ADAC-56F1EF6F82DB}"/>
    <cellStyle name="Comma 2 6 2 3 4 2" xfId="2831" xr:uid="{6B23803B-F1D0-44BA-A148-0F53E0800A2F}"/>
    <cellStyle name="Comma 2 6 2 3 4 2 2" xfId="4890" xr:uid="{3D029687-8ABD-46D1-AB2A-2736264CB9EB}"/>
    <cellStyle name="Comma 2 6 2 3 4 3" xfId="3745" xr:uid="{8D60BD33-5E25-4543-AF15-43A1FA5550A9}"/>
    <cellStyle name="Comma 2 6 2 3 5" xfId="1816" xr:uid="{9CAAD0C8-9747-4D7A-9BD0-C9ABA0455C33}"/>
    <cellStyle name="Comma 2 6 2 3 5 2" xfId="4133" xr:uid="{A402AE41-25AC-49ED-8015-DA3F4C1B3330}"/>
    <cellStyle name="Comma 2 6 2 3 6" xfId="2607" xr:uid="{E8B4DB0A-48AE-41B3-9FB0-8F44454795BE}"/>
    <cellStyle name="Comma 2 6 2 3 6 2" xfId="4677" xr:uid="{21FB6BD1-C0BA-48E0-B9F5-318E5832B4E2}"/>
    <cellStyle name="Comma 2 6 2 3 7" xfId="3357" xr:uid="{BF73C236-FC16-4EB8-98C0-0F7CAA7399ED}"/>
    <cellStyle name="Comma 2 6 2 4" xfId="1014" xr:uid="{2A0A8CA3-1085-4946-AD85-CC80A162B6F9}"/>
    <cellStyle name="Comma 2 6 2 4 2" xfId="1132" xr:uid="{59D18E46-0B86-465B-9546-902BA950E8DB}"/>
    <cellStyle name="Comma 2 6 2 4 2 2" xfId="1549" xr:uid="{B994FA04-A927-4A3B-8511-ADD412F381E5}"/>
    <cellStyle name="Comma 2 6 2 4 2 2 2" xfId="3101" xr:uid="{949AE0A5-A0A5-4B0F-91CE-863A751E57B5}"/>
    <cellStyle name="Comma 2 6 2 4 2 2 2 2" xfId="5150" xr:uid="{6E8A3203-CA3B-4E69-B1A7-5C6A579F5C5D}"/>
    <cellStyle name="Comma 2 6 2 4 2 2 3" xfId="3884" xr:uid="{77090A23-1E77-4BD9-A2AD-012881425DCD}"/>
    <cellStyle name="Comma 2 6 2 4 2 3" xfId="1955" xr:uid="{67B7BB5B-A349-4802-BAC4-78718B5C662E}"/>
    <cellStyle name="Comma 2 6 2 4 2 3 2" xfId="4272" xr:uid="{75342964-A8FE-476D-ABE3-7B9CAEDC5273}"/>
    <cellStyle name="Comma 2 6 2 4 2 4" xfId="2717" xr:uid="{9CD31E5A-A86E-4479-BC7A-FE5C28D39326}"/>
    <cellStyle name="Comma 2 6 2 4 2 4 2" xfId="4787" xr:uid="{79BBBED2-3EC7-49D0-AC1A-543E55A57C38}"/>
    <cellStyle name="Comma 2 6 2 4 2 5" xfId="3496" xr:uid="{10F328F7-582A-41F1-9820-FE75E7894408}"/>
    <cellStyle name="Comma 2 6 2 4 3" xfId="1243" xr:uid="{1D87176A-6129-4A98-9B08-2C3020EA5B24}"/>
    <cellStyle name="Comma 2 6 2 4 3 2" xfId="1654" xr:uid="{FBD2A2DF-96F4-4EA3-8E67-33FCD2CA387E}"/>
    <cellStyle name="Comma 2 6 2 4 3 2 2" xfId="3206" xr:uid="{0BC06CEC-CF4C-45A9-8F78-B3B54E225B06}"/>
    <cellStyle name="Comma 2 6 2 4 3 2 2 2" xfId="5255" xr:uid="{E80C25D0-A2D6-484D-B2E3-860C32B34BCA}"/>
    <cellStyle name="Comma 2 6 2 4 3 2 3" xfId="3989" xr:uid="{4F9DE832-206F-49C3-850C-5245E7C343DA}"/>
    <cellStyle name="Comma 2 6 2 4 3 3" xfId="2060" xr:uid="{FC1027C1-AC62-4DFA-BD1B-E121347E2E27}"/>
    <cellStyle name="Comma 2 6 2 4 3 3 2" xfId="4377" xr:uid="{95E8333F-CEDE-4981-907B-49A87AE17367}"/>
    <cellStyle name="Comma 2 6 2 4 3 4" xfId="2793" xr:uid="{899D5CB7-7971-49DD-9FB4-69E01A1D9F7A}"/>
    <cellStyle name="Comma 2 6 2 4 3 4 2" xfId="4863" xr:uid="{C1928B7E-FA3E-44AB-9589-DEE3FADC7799}"/>
    <cellStyle name="Comma 2 6 2 4 3 5" xfId="3601" xr:uid="{26CC5355-B3E0-4AD9-93EC-D425EBF49271}"/>
    <cellStyle name="Comma 2 6 2 4 4" xfId="1444" xr:uid="{747B38E1-44F8-46FB-98D3-28FF4CCEDDDB}"/>
    <cellStyle name="Comma 2 6 2 4 4 2" xfId="2997" xr:uid="{059824B7-B651-4919-AF56-0EF2453198FB}"/>
    <cellStyle name="Comma 2 6 2 4 4 2 2" xfId="5047" xr:uid="{1F086678-BD57-4320-A1AF-32B25B67E32C}"/>
    <cellStyle name="Comma 2 6 2 4 4 3" xfId="3779" xr:uid="{9EF27C1A-21A9-413D-AB97-B99398DF3BDA}"/>
    <cellStyle name="Comma 2 6 2 4 5" xfId="1850" xr:uid="{AFFB5B9B-E04E-4359-9497-070C58FF3405}"/>
    <cellStyle name="Comma 2 6 2 4 5 2" xfId="4167" xr:uid="{46186892-4D0C-46C1-AFCB-3200C6FE5C48}"/>
    <cellStyle name="Comma 2 6 2 4 6" xfId="2637" xr:uid="{B2697F42-ECB3-4CC5-9CB5-D7BA18EF2B9E}"/>
    <cellStyle name="Comma 2 6 2 4 6 2" xfId="4707" xr:uid="{54A13A9D-BB55-458E-8268-7EBF6ABC428C}"/>
    <cellStyle name="Comma 2 6 2 4 7" xfId="3391" xr:uid="{EDFC24F8-E929-449C-A39C-3881E865804A}"/>
    <cellStyle name="Comma 2 6 2 5" xfId="887" xr:uid="{10A4376F-B973-4C0C-838F-733B5E91FC8F}"/>
    <cellStyle name="Comma 2 6 2 6" xfId="1282" xr:uid="{6DF5B8B6-186E-4E7E-B0B7-EDD924F422C8}"/>
    <cellStyle name="Comma 2 6 2 6 2" xfId="3638" xr:uid="{FAB2EBE5-8B53-426D-B53E-453E0DE644BC}"/>
    <cellStyle name="Comma 2 6 2 7" xfId="1706" xr:uid="{3A255FF3-FB68-4FB5-93FC-A41681C0CB0A}"/>
    <cellStyle name="Comma 2 6 2 7 2" xfId="4026" xr:uid="{863EB94B-231B-4C78-9B1E-E5B792F2A734}"/>
    <cellStyle name="Comma 2 6 2 8" xfId="3250" xr:uid="{74FBDAF6-DF9A-49FC-B974-E6AC4C39A089}"/>
    <cellStyle name="Comma 2 6 3" xfId="249" xr:uid="{C45828BA-145B-45D8-B79C-7B0917BA422A}"/>
    <cellStyle name="Comma 2 6 4" xfId="250" xr:uid="{6FDE389E-D7C3-4D0B-B535-1A1A6324D4C8}"/>
    <cellStyle name="Comma 2 6 4 2" xfId="251" xr:uid="{DF53EA77-B1E3-4878-899A-8319401E5D82}"/>
    <cellStyle name="Comma 2 6 4 3" xfId="252" xr:uid="{432E7DF7-4590-491B-8B19-B76A97E774A4}"/>
    <cellStyle name="Comma 2 6 5" xfId="253" xr:uid="{C562DEF1-FEEF-4655-860B-473176FCB469}"/>
    <cellStyle name="Comma 2 6 6" xfId="254" xr:uid="{63A838BF-74EE-4242-9D66-4BA006ED3328}"/>
    <cellStyle name="Comma 2 6 6 10" xfId="3251" xr:uid="{C69413EA-1CBA-460B-AFCD-B6B3BB6CE4CB}"/>
    <cellStyle name="Comma 2 6 6 2" xfId="831" xr:uid="{9A765209-6AE2-4B57-9D4C-9AB8DC0E8329}"/>
    <cellStyle name="Comma 2 6 6 2 2" xfId="1099" xr:uid="{E8ECEF6B-F3C2-4C73-8554-4DA93EEF886F}"/>
    <cellStyle name="Comma 2 6 6 2 2 2" xfId="1516" xr:uid="{92554080-115C-4430-9A70-8AC132E68790}"/>
    <cellStyle name="Comma 2 6 6 2 2 2 2" xfId="2685" xr:uid="{178E047F-AA68-4B29-A385-0DFCC39B037B}"/>
    <cellStyle name="Comma 2 6 6 2 2 2 2 2" xfId="4755" xr:uid="{F56BD983-12B9-405C-AB19-5F738ED4D239}"/>
    <cellStyle name="Comma 2 6 6 2 2 2 3" xfId="3851" xr:uid="{BFF8784A-02F8-4FFE-9973-DF294781FF14}"/>
    <cellStyle name="Comma 2 6 6 2 2 3" xfId="1922" xr:uid="{62DA4199-79DA-4242-BCF5-A21D0180CFA5}"/>
    <cellStyle name="Comma 2 6 6 2 2 3 2" xfId="3068" xr:uid="{59061BD1-9A1C-40A0-BBBC-0BDFFFE713C5}"/>
    <cellStyle name="Comma 2 6 6 2 2 3 2 2" xfId="5117" xr:uid="{AEE2EC0F-9F5B-43D1-A148-123997285CA0}"/>
    <cellStyle name="Comma 2 6 6 2 2 3 3" xfId="4239" xr:uid="{725B7B0A-B4AE-4EFE-A3B3-D597C08BE461}"/>
    <cellStyle name="Comma 2 6 6 2 2 4" xfId="2435" xr:uid="{275EBA93-CCAA-4877-ABB6-5C738ABDFA62}"/>
    <cellStyle name="Comma 2 6 6 2 2 4 2" xfId="4536" xr:uid="{322648AD-4E48-40CF-B47F-481FD9DC1F7D}"/>
    <cellStyle name="Comma 2 6 6 2 2 5" xfId="3463" xr:uid="{F085B8A2-B2AB-44EB-A4CE-CBFB37E848DD}"/>
    <cellStyle name="Comma 2 6 6 2 3" xfId="1206" xr:uid="{7988118F-D673-4DE1-8A3F-FBECB4869415}"/>
    <cellStyle name="Comma 2 6 6 2 3 2" xfId="1621" xr:uid="{CE9E160C-F50D-4AB6-8BD6-A38EC89DD91C}"/>
    <cellStyle name="Comma 2 6 6 2 3 2 2" xfId="3173" xr:uid="{0834619D-A50F-4862-8C80-831B47D69A17}"/>
    <cellStyle name="Comma 2 6 6 2 3 2 2 2" xfId="5222" xr:uid="{379BE131-1929-44FF-B7C6-EBD3DD8D2FE3}"/>
    <cellStyle name="Comma 2 6 6 2 3 2 3" xfId="3956" xr:uid="{6A1B7F29-CF3C-40C2-BFBC-70C93B2C7777}"/>
    <cellStyle name="Comma 2 6 6 2 3 3" xfId="2027" xr:uid="{439C93AB-1EBB-4DBC-8C6A-921A76656C7B}"/>
    <cellStyle name="Comma 2 6 6 2 3 3 2" xfId="4344" xr:uid="{C2B56711-9285-4074-BEF9-FC21D29563BC}"/>
    <cellStyle name="Comma 2 6 6 2 3 4" xfId="2577" xr:uid="{4CBBF8D5-C7B3-4E06-B3A6-0DD7F4E05B9E}"/>
    <cellStyle name="Comma 2 6 6 2 3 4 2" xfId="4653" xr:uid="{6F379FFB-25E8-4EAF-8260-ADBB4C9E7B33}"/>
    <cellStyle name="Comma 2 6 6 2 3 5" xfId="3568" xr:uid="{B38EC367-F80D-4835-B4D9-60D018929561}"/>
    <cellStyle name="Comma 2 6 6 2 4" xfId="976" xr:uid="{895E3396-23B3-439E-BFF6-F49DDE3F40EA}"/>
    <cellStyle name="Comma 2 6 6 2 4 2" xfId="1411" xr:uid="{97A920E8-0707-4D92-8237-159D1D1FE6B1}"/>
    <cellStyle name="Comma 2 6 6 2 4 2 2" xfId="2897" xr:uid="{EEB32C0C-0D13-4629-9C51-3AAD001A4404}"/>
    <cellStyle name="Comma 2 6 6 2 4 2 2 2" xfId="4951" xr:uid="{5BD4B990-20F5-4B48-BAD9-C82FE2356675}"/>
    <cellStyle name="Comma 2 6 6 2 4 2 3" xfId="3746" xr:uid="{D9335471-68B3-4B51-A875-4DDF22388B8A}"/>
    <cellStyle name="Comma 2 6 6 2 4 3" xfId="1817" xr:uid="{5FDA79B8-FE80-4E62-9649-6216B601A0CC}"/>
    <cellStyle name="Comma 2 6 6 2 4 3 2" xfId="4134" xr:uid="{BF21AACC-D190-47E4-881A-A7BE4E6D5376}"/>
    <cellStyle name="Comma 2 6 6 2 4 4" xfId="2608" xr:uid="{4F63126E-2CAF-41C0-A3D2-AF723781E9CD}"/>
    <cellStyle name="Comma 2 6 6 2 4 4 2" xfId="4678" xr:uid="{1739F62F-8AE1-4CA3-A797-A0D7FCE486D7}"/>
    <cellStyle name="Comma 2 6 6 2 4 5" xfId="3358" xr:uid="{41C0D04F-1E0C-4A7D-806F-84ACD8DBADC5}"/>
    <cellStyle name="Comma 2 6 6 2 5" xfId="1337" xr:uid="{D3DA9F9B-2FD5-4C76-B396-040B5CBFEB52}"/>
    <cellStyle name="Comma 2 6 6 2 5 2" xfId="2943" xr:uid="{570CB8DF-04F7-4D84-A8DE-EE90E16EF0AC}"/>
    <cellStyle name="Comma 2 6 6 2 5 2 2" xfId="4997" xr:uid="{F38560B1-2301-4187-8640-DD968CACE4E9}"/>
    <cellStyle name="Comma 2 6 6 2 5 3" xfId="3673" xr:uid="{1543F425-FE37-4F29-90F5-17484C25B8BB}"/>
    <cellStyle name="Comma 2 6 6 2 6" xfId="1744" xr:uid="{6AB819A1-50B9-4FE6-92D0-3AD41CE9AF1F}"/>
    <cellStyle name="Comma 2 6 6 2 6 2" xfId="4061" xr:uid="{93E0569E-5E11-41E2-85EF-7E36AA6B1F21}"/>
    <cellStyle name="Comma 2 6 6 2 7" xfId="2297" xr:uid="{476621AD-39AB-4BD7-933F-3A603C0E07B1}"/>
    <cellStyle name="Comma 2 6 6 2 7 2" xfId="4464" xr:uid="{A3ABC73C-3F36-4499-94A3-12682533BA98}"/>
    <cellStyle name="Comma 2 6 6 2 8" xfId="3285" xr:uid="{166F7042-E52D-4148-871A-F682FEE28D18}"/>
    <cellStyle name="Comma 2 6 6 3" xfId="1015" xr:uid="{3C236733-2AD8-40DD-82F7-257092AF2D19}"/>
    <cellStyle name="Comma 2 6 6 3 2" xfId="1133" xr:uid="{D7394CF2-0AF5-4D78-BC90-79C2D729780F}"/>
    <cellStyle name="Comma 2 6 6 3 2 2" xfId="1550" xr:uid="{91588889-F528-4A4F-B851-6EF6CDADD70D}"/>
    <cellStyle name="Comma 2 6 6 3 2 2 2" xfId="3102" xr:uid="{7E97DD17-3736-42EA-97E3-1244BA0F2728}"/>
    <cellStyle name="Comma 2 6 6 3 2 2 2 2" xfId="5151" xr:uid="{6A6CAF1E-CDE7-4A92-9D8E-1EAF0CB44E1D}"/>
    <cellStyle name="Comma 2 6 6 3 2 2 3" xfId="3885" xr:uid="{07EFFB44-DB98-4137-B618-01471F092D2F}"/>
    <cellStyle name="Comma 2 6 6 3 2 3" xfId="1956" xr:uid="{98B07308-1667-4314-9353-DD3EF77EF558}"/>
    <cellStyle name="Comma 2 6 6 3 2 3 2" xfId="4273" xr:uid="{C11C97BF-F57A-4F40-92EE-2C2D87E2444B}"/>
    <cellStyle name="Comma 2 6 6 3 2 4" xfId="2718" xr:uid="{515C16EA-9501-444C-BF16-025C98A8CBA5}"/>
    <cellStyle name="Comma 2 6 6 3 2 4 2" xfId="4788" xr:uid="{A8CB3F84-3C7A-4CD7-8A67-02548C9ADD19}"/>
    <cellStyle name="Comma 2 6 6 3 2 5" xfId="3497" xr:uid="{5996CD49-E0DB-488D-9AC2-C3CC7FCDBD40}"/>
    <cellStyle name="Comma 2 6 6 3 3" xfId="1244" xr:uid="{7B8A9D13-0BB9-4888-AC6F-4F4CFCAEE1A0}"/>
    <cellStyle name="Comma 2 6 6 3 3 2" xfId="1655" xr:uid="{21ACF946-12F6-46BB-802C-1E3746652196}"/>
    <cellStyle name="Comma 2 6 6 3 3 2 2" xfId="3207" xr:uid="{015644F9-F3B2-4092-9EC6-3FF9CFCBF1A7}"/>
    <cellStyle name="Comma 2 6 6 3 3 2 2 2" xfId="5256" xr:uid="{563A070B-DE23-43C5-B18C-93F0EFEDF0A7}"/>
    <cellStyle name="Comma 2 6 6 3 3 2 3" xfId="3990" xr:uid="{BF65A764-D862-4F10-B638-8AB115027C80}"/>
    <cellStyle name="Comma 2 6 6 3 3 3" xfId="2061" xr:uid="{AE8BF92B-09A0-4509-8C09-E3B603E58D86}"/>
    <cellStyle name="Comma 2 6 6 3 3 3 2" xfId="4378" xr:uid="{89207479-2B51-4FF5-B64C-984A032DC254}"/>
    <cellStyle name="Comma 2 6 6 3 3 4" xfId="2794" xr:uid="{FE68BD1A-CF10-45D8-BC72-680FA59DB5AF}"/>
    <cellStyle name="Comma 2 6 6 3 3 4 2" xfId="4864" xr:uid="{BD0A9396-3F91-4C7C-A0B8-617E1918237F}"/>
    <cellStyle name="Comma 2 6 6 3 3 5" xfId="3602" xr:uid="{C4364113-A9F6-4844-8E65-6AC32C086CD7}"/>
    <cellStyle name="Comma 2 6 6 3 4" xfId="1445" xr:uid="{34FD0C12-1AAF-486D-B9EA-E747CBBE4D03}"/>
    <cellStyle name="Comma 2 6 6 3 4 2" xfId="2998" xr:uid="{B37290AD-BE59-42E7-BFEF-73EF4364FA21}"/>
    <cellStyle name="Comma 2 6 6 3 4 2 2" xfId="5048" xr:uid="{923323B1-5CDA-4D87-9570-27C65F2ED858}"/>
    <cellStyle name="Comma 2 6 6 3 4 3" xfId="3780" xr:uid="{2C1ED23B-17E5-4238-ADC8-880DA0B9301F}"/>
    <cellStyle name="Comma 2 6 6 3 5" xfId="1851" xr:uid="{1AA8A695-FC83-4C69-8179-11EA227AD752}"/>
    <cellStyle name="Comma 2 6 6 3 5 2" xfId="4168" xr:uid="{AFFB5B29-C737-47DD-8AC0-72E59B0F05E5}"/>
    <cellStyle name="Comma 2 6 6 3 6" xfId="2638" xr:uid="{D0A434A6-02FF-4189-A442-EE8272ACA447}"/>
    <cellStyle name="Comma 2 6 6 3 6 2" xfId="4708" xr:uid="{9E5A55A3-1CFD-4A81-87F7-6781BFFDD89E}"/>
    <cellStyle name="Comma 2 6 6 3 7" xfId="3392" xr:uid="{9A0CB182-D7F2-4ED4-B049-D80F36679366}"/>
    <cellStyle name="Comma 2 6 6 4" xfId="1068" xr:uid="{08D8C602-8A89-4E61-8B26-6BC1250D44B4}"/>
    <cellStyle name="Comma 2 6 6 4 2" xfId="1485" xr:uid="{047CBE8C-CC2E-4B8D-A038-7C981B4B3CC5}"/>
    <cellStyle name="Comma 2 6 6 4 2 2" xfId="3037" xr:uid="{CF611049-E8D9-4630-A14D-8CD945BC9FDF}"/>
    <cellStyle name="Comma 2 6 6 4 2 2 2" xfId="5087" xr:uid="{43BFB9AF-6ED7-468D-A1EC-A23E64A7EEA0}"/>
    <cellStyle name="Comma 2 6 6 4 2 3" xfId="3820" xr:uid="{4213A5B2-4F7D-45F3-86E3-2456D37D587E}"/>
    <cellStyle name="Comma 2 6 6 4 3" xfId="1891" xr:uid="{DF658B54-F7AC-4A23-9B17-D92D056A42E4}"/>
    <cellStyle name="Comma 2 6 6 4 3 2" xfId="4208" xr:uid="{FDAF7E95-AFB7-41EA-AD98-4CD625DCDB1C}"/>
    <cellStyle name="Comma 2 6 6 4 4" xfId="2661" xr:uid="{927EA156-972F-4375-A9F8-835708A195E8}"/>
    <cellStyle name="Comma 2 6 6 4 4 2" xfId="4731" xr:uid="{8E4D2A17-E907-4F2B-AB90-4A6AB7C40F63}"/>
    <cellStyle name="Comma 2 6 6 4 5" xfId="3432" xr:uid="{527F201E-FBD9-452D-B896-47CF06D671C2}"/>
    <cellStyle name="Comma 2 6 6 5" xfId="1174" xr:uid="{E58B3061-F4D9-4CA6-80B4-E15BF729B9FC}"/>
    <cellStyle name="Comma 2 6 6 5 2" xfId="1590" xr:uid="{F7A1F9DD-395E-4E38-B8ED-88CFE0A1E042}"/>
    <cellStyle name="Comma 2 6 6 5 2 2" xfId="3142" xr:uid="{26083F45-17D5-4C02-8282-3E075DA3FADD}"/>
    <cellStyle name="Comma 2 6 6 5 2 2 2" xfId="5191" xr:uid="{132CAA4A-7FC2-4B4D-BF88-9FD8B09BC77E}"/>
    <cellStyle name="Comma 2 6 6 5 2 3" xfId="3925" xr:uid="{40FE7963-FBEE-45BC-8744-74A964E4C51C}"/>
    <cellStyle name="Comma 2 6 6 5 3" xfId="1996" xr:uid="{3722E0A8-B09C-48AC-B6B4-3C081DAB75F1}"/>
    <cellStyle name="Comma 2 6 6 5 3 2" xfId="4313" xr:uid="{DF372575-34A0-42E1-B0B9-0E6C1CD2F467}"/>
    <cellStyle name="Comma 2 6 6 5 4" xfId="2757" xr:uid="{DEBFCDD3-AB64-4C91-BFC2-707D131EFA8B}"/>
    <cellStyle name="Comma 2 6 6 5 4 2" xfId="4827" xr:uid="{F599D826-8B7A-44E8-981D-04F8C03B89C2}"/>
    <cellStyle name="Comma 2 6 6 5 5" xfId="3537" xr:uid="{E0EB6478-B354-4427-A3B6-2866253EA9DA}"/>
    <cellStyle name="Comma 2 6 6 6" xfId="922" xr:uid="{1B247363-6708-4A77-B91E-B809163F0365}"/>
    <cellStyle name="Comma 2 6 6 6 2" xfId="1379" xr:uid="{5A34128D-9D90-4E06-B093-950C9BB82BF0}"/>
    <cellStyle name="Comma 2 6 6 6 2 2" xfId="2857" xr:uid="{66D98C85-87EC-49CC-AAD7-AE904D51A2CF}"/>
    <cellStyle name="Comma 2 6 6 6 2 2 2" xfId="4914" xr:uid="{8B5C68FB-1694-4A17-AD89-DCC1E7EA8E14}"/>
    <cellStyle name="Comma 2 6 6 6 2 3" xfId="3715" xr:uid="{8FAE7E9D-EBAE-44F4-A925-C36A40DDA540}"/>
    <cellStyle name="Comma 2 6 6 6 3" xfId="1786" xr:uid="{D34DEEE1-069F-4364-ACAF-428E188D4FC7}"/>
    <cellStyle name="Comma 2 6 6 6 3 2" xfId="4103" xr:uid="{389826B5-08D0-4FBC-B4DE-5B910FED6F04}"/>
    <cellStyle name="Comma 2 6 6 6 4" xfId="2598" xr:uid="{7AF43E42-A0D5-46B4-B7E5-0E233107B07A}"/>
    <cellStyle name="Comma 2 6 6 6 4 2" xfId="4669" xr:uid="{FC8EFD06-A8A2-4277-A2C8-3CD50E66A0AE}"/>
    <cellStyle name="Comma 2 6 6 6 5" xfId="3327" xr:uid="{47B3710B-4162-49C4-B3FA-0967ECF92B12}"/>
    <cellStyle name="Comma 2 6 6 7" xfId="1283" xr:uid="{FB8FE7EE-ACB8-4673-981C-64E7D9C55E37}"/>
    <cellStyle name="Comma 2 6 6 7 2" xfId="3639" xr:uid="{172A794E-1D3B-41A0-9EB2-D45290D1DF00}"/>
    <cellStyle name="Comma 2 6 6 8" xfId="1707" xr:uid="{96FB4588-D154-47DC-AE81-FCDD65104BA6}"/>
    <cellStyle name="Comma 2 6 6 8 2" xfId="4027" xr:uid="{03B7E9F6-DCAC-4ECD-87AA-917BB438F06B}"/>
    <cellStyle name="Comma 2 6 6 9" xfId="2151" xr:uid="{125C7D7A-13EC-4063-9223-C9B9A90BFA03}"/>
    <cellStyle name="Comma 2 6 7" xfId="255" xr:uid="{A424C766-B993-41CC-BA51-B2E720DF51B6}"/>
    <cellStyle name="Comma 2 6 8" xfId="2205" xr:uid="{263B675B-7D9B-4938-8947-5353ACA22A93}"/>
    <cellStyle name="Comma 2 6 8 2" xfId="2236" xr:uid="{2BBE185E-DC18-426E-A43A-446E171FA17F}"/>
    <cellStyle name="Comma 2 6 8 2 2" xfId="2428" xr:uid="{07654232-9375-4DF3-9D43-AA7A9C7A90E2}"/>
    <cellStyle name="Comma 2 6 8 2 2 2" xfId="4529" xr:uid="{EA3E700B-BB56-4DD4-BBCE-31F7EA6B95A6}"/>
    <cellStyle name="Comma 2 6 8 2 3" xfId="2562" xr:uid="{58C1A6A9-41EE-4A73-B1C4-9B69B7916780}"/>
    <cellStyle name="Comma 2 6 8 2 3 2" xfId="4641" xr:uid="{0C8412D6-C754-4C9F-95CF-BC0B284B04EF}"/>
    <cellStyle name="Comma 2 6 8 2 4" xfId="2927" xr:uid="{4DA9D01F-CCD9-4023-88CE-A02D75D15BA2}"/>
    <cellStyle name="Comma 2 6 8 2 4 2" xfId="4981" xr:uid="{8F1684BE-F448-4CE8-9B32-A897E4AD5D7A}"/>
    <cellStyle name="Comma 2 6 8 2 5" xfId="4457" xr:uid="{B9A40708-F2A7-48D0-A4CD-50186A943090}"/>
    <cellStyle name="Comma 2 6 8 3" xfId="2298" xr:uid="{FAAA5D90-1F9B-43A0-8A1E-155732FD41C9}"/>
    <cellStyle name="Comma 2 6 8 4" xfId="2400" xr:uid="{67F75452-ABF2-4490-B67B-581B31B4E38B}"/>
    <cellStyle name="Comma 2 6 8 4 2" xfId="4501" xr:uid="{DD1B498E-E0E1-407C-A77C-ABB9CB1E5EC3}"/>
    <cellStyle name="Comma 2 6 8 5" xfId="2533" xr:uid="{446A3498-E804-4BC1-871D-89F36C149BC0}"/>
    <cellStyle name="Comma 2 6 8 5 2" xfId="4613" xr:uid="{15BD7210-CB8D-47C6-97A5-4A66B60510D9}"/>
    <cellStyle name="Comma 2 6 8 6" xfId="2899" xr:uid="{BC34332D-1221-422F-B747-E789E61E01E5}"/>
    <cellStyle name="Comma 2 6 8 6 2" xfId="4953" xr:uid="{F4205A3F-4AB9-4A33-9B4A-E7D3DF9BB1DA}"/>
    <cellStyle name="Comma 2 6 8 7" xfId="4429" xr:uid="{4CE0DC2E-2DC3-4B96-B1EC-3F234FE90B9C}"/>
    <cellStyle name="Comma 2 6 9" xfId="5289" xr:uid="{55BF1802-CF3E-4234-ACAE-10B1B1AFA0CA}"/>
    <cellStyle name="Comma 2 6 9 2" xfId="5346" xr:uid="{814F1C5C-4294-491F-A6FE-6E1A8AFF74B7}"/>
    <cellStyle name="Comma 2 7" xfId="886" xr:uid="{5AED89B2-3940-45C1-9EBB-07F8BB2D8D75}"/>
    <cellStyle name="Comma 22" xfId="256" xr:uid="{5187192B-B541-47F6-8568-7A85720926FE}"/>
    <cellStyle name="Comma 22 2" xfId="2299" xr:uid="{DCE012AC-61AF-4FC4-88A3-A5B5D0D7B8DD}"/>
    <cellStyle name="Comma 22 3" xfId="2152" xr:uid="{C343AAAE-09A5-464C-8D3B-C792251FA49C}"/>
    <cellStyle name="Comma 3" xfId="257" xr:uid="{A8530D84-3E50-48C8-B25B-E9837CA55C48}"/>
    <cellStyle name="Comma 3 2" xfId="258" xr:uid="{00D2EB5A-43AF-4525-8F40-37436C516980}"/>
    <cellStyle name="Comma 3 2 2" xfId="259" xr:uid="{65609F0B-6DF2-4349-BB91-61F6341E4A2A}"/>
    <cellStyle name="Comma 3 2 2 2" xfId="260" xr:uid="{894790C6-81D5-4D21-8F25-5F599C6088D3}"/>
    <cellStyle name="Comma 3 2 2 2 2" xfId="261" xr:uid="{15C634F3-0B8D-4A1D-9BC0-1A64DAED2FBA}"/>
    <cellStyle name="Comma 3 2 2 2 2 2" xfId="923" xr:uid="{5929FE54-F4C5-4699-9858-8B85E0A788EC}"/>
    <cellStyle name="Comma 3 2 2 2 2 3" xfId="888" xr:uid="{F11C5D7E-96DB-4527-ABEA-16CC4FBFBB2F}"/>
    <cellStyle name="Comma 3 2 2 2 3" xfId="262" xr:uid="{EDD1F842-F25F-45E2-B44F-E0B77B7ADE56}"/>
    <cellStyle name="Comma 3 2 2 2 4" xfId="2206" xr:uid="{25118CBF-D163-450D-9442-014504F5D3CF}"/>
    <cellStyle name="Comma 3 2 2 2 4 2" xfId="2300" xr:uid="{B6EEE140-D746-44C6-AAAF-0CC0BE83265C}"/>
    <cellStyle name="Comma 3 2 2 2 4 3" xfId="5365" xr:uid="{F5191109-38A2-43C4-88F9-E4E38ADB9AB5}"/>
    <cellStyle name="Comma 3 2 2 3" xfId="263" xr:uid="{04DC89CF-84DB-41BF-92B4-CEDAAFB104C3}"/>
    <cellStyle name="Comma 3 2 3" xfId="264" xr:uid="{A9676BBB-372D-43B2-9E4E-2B7AA6037B9C}"/>
    <cellStyle name="Comma 3 2 3 2" xfId="265" xr:uid="{C5FDD619-B35B-4937-BBC9-0357CEF1D748}"/>
    <cellStyle name="Comma 3 2 4" xfId="266" xr:uid="{5B002698-5719-4B2C-8F78-928B22B8602E}"/>
    <cellStyle name="Comma 3 3" xfId="267" xr:uid="{163244F2-B651-4469-9929-046BCB7574A3}"/>
    <cellStyle name="Comma 3 3 2" xfId="268" xr:uid="{80EED77D-6647-4F59-B0B9-BCEB83D687A7}"/>
    <cellStyle name="Comma 3 3 2 10" xfId="3252" xr:uid="{8FB7C4D4-1870-4580-A10A-28491DF014F1}"/>
    <cellStyle name="Comma 3 3 2 2" xfId="832" xr:uid="{106D2E8C-7D36-46EF-8593-BB94E6FA0851}"/>
    <cellStyle name="Comma 3 3 2 2 2" xfId="1100" xr:uid="{5B67E64B-85BF-4686-B622-B34BFF6366ED}"/>
    <cellStyle name="Comma 3 3 2 2 2 2" xfId="1517" xr:uid="{7BC2A6EE-786C-4454-AA7C-683BC802E791}"/>
    <cellStyle name="Comma 3 3 2 2 2 2 2" xfId="3069" xr:uid="{19C48195-2FFC-4360-B9E5-BCA234520C24}"/>
    <cellStyle name="Comma 3 3 2 2 2 2 2 2" xfId="5118" xr:uid="{845F1AD6-4D95-4323-9B15-8FDF40A94994}"/>
    <cellStyle name="Comma 3 3 2 2 2 2 3" xfId="3852" xr:uid="{372C916E-4B20-4DA3-8FFA-2941615FAF80}"/>
    <cellStyle name="Comma 3 3 2 2 2 3" xfId="1923" xr:uid="{DBAA1208-1FCE-4B00-8EFC-CABDEE60A622}"/>
    <cellStyle name="Comma 3 3 2 2 2 3 2" xfId="4240" xr:uid="{42C96011-80A4-40F6-8C55-B2F8FF9790E8}"/>
    <cellStyle name="Comma 3 3 2 2 2 4" xfId="2686" xr:uid="{7A1BE7E6-FC52-4EBB-B40C-B25F18CE0196}"/>
    <cellStyle name="Comma 3 3 2 2 2 4 2" xfId="4756" xr:uid="{DBA4F047-B271-41F5-AD6E-518A1F1E6382}"/>
    <cellStyle name="Comma 3 3 2 2 2 5" xfId="3464" xr:uid="{1FB1175C-538C-4AA5-A8F3-15C8EA6ADAF9}"/>
    <cellStyle name="Comma 3 3 2 2 3" xfId="1207" xr:uid="{C38006E6-C8EA-4234-AD83-E94D29400B49}"/>
    <cellStyle name="Comma 3 3 2 2 3 2" xfId="1622" xr:uid="{53B83B2A-1B8A-451D-9F7E-0DB04ECB2536}"/>
    <cellStyle name="Comma 3 3 2 2 3 2 2" xfId="3174" xr:uid="{9E8E4B33-6A40-4C89-AA0E-7560B5863B56}"/>
    <cellStyle name="Comma 3 3 2 2 3 2 2 2" xfId="5223" xr:uid="{57E3DC7D-ABF7-4AC6-B618-A8BB5AB3CB28}"/>
    <cellStyle name="Comma 3 3 2 2 3 2 3" xfId="3957" xr:uid="{C330965C-946F-4922-B022-6A24E172FE32}"/>
    <cellStyle name="Comma 3 3 2 2 3 3" xfId="2028" xr:uid="{593B1D8F-C037-419C-9AC0-00514693A792}"/>
    <cellStyle name="Comma 3 3 2 2 3 3 2" xfId="4345" xr:uid="{FA1F19B6-B2A9-466E-8602-1368A1DECCD2}"/>
    <cellStyle name="Comma 3 3 2 2 3 4" xfId="2779" xr:uid="{CD2E3EFA-B938-4741-8BA6-2B88255D8AF9}"/>
    <cellStyle name="Comma 3 3 2 2 3 4 2" xfId="4849" xr:uid="{8E2794EF-EC76-4182-8BE8-ED852E72AC00}"/>
    <cellStyle name="Comma 3 3 2 2 3 5" xfId="3569" xr:uid="{0B912845-81A5-49CB-9486-EA94C4496FB0}"/>
    <cellStyle name="Comma 3 3 2 2 4" xfId="977" xr:uid="{2A4862E7-DB4B-4B7B-98FC-534569EDF264}"/>
    <cellStyle name="Comma 3 3 2 2 4 2" xfId="1412" xr:uid="{300C8831-451A-4381-9FE9-4D98FE6AF63D}"/>
    <cellStyle name="Comma 3 3 2 2 4 2 2" xfId="2936" xr:uid="{1C05A707-97C8-4DFF-BFCA-3588D0B971CB}"/>
    <cellStyle name="Comma 3 3 2 2 4 2 2 2" xfId="4990" xr:uid="{96A75CF7-E36C-4554-91EE-223023F5D5C3}"/>
    <cellStyle name="Comma 3 3 2 2 4 2 3" xfId="3747" xr:uid="{E1AA4639-8DF4-48C7-A45D-B827D9B11C6B}"/>
    <cellStyle name="Comma 3 3 2 2 4 3" xfId="1818" xr:uid="{321C6C3A-1FB6-4342-B1D9-34C94693EAD4}"/>
    <cellStyle name="Comma 3 3 2 2 4 3 2" xfId="4135" xr:uid="{16EBDDFB-90C2-4A1E-ACE7-0AA0158786D9}"/>
    <cellStyle name="Comma 3 3 2 2 4 4" xfId="2609" xr:uid="{4D159942-A9AC-41E6-A285-850D000833FC}"/>
    <cellStyle name="Comma 3 3 2 2 4 4 2" xfId="4679" xr:uid="{E4AE909B-CC4D-45C7-B890-04B6E00D44EA}"/>
    <cellStyle name="Comma 3 3 2 2 4 5" xfId="3359" xr:uid="{1CF3B1AE-E2E3-4A0F-983A-39FEF5011375}"/>
    <cellStyle name="Comma 3 3 2 2 5" xfId="1338" xr:uid="{9342AF05-A83B-4D10-AB86-709763360E8C}"/>
    <cellStyle name="Comma 3 3 2 2 5 2" xfId="2510" xr:uid="{975C88A8-638D-46EB-A903-5967281B413F}"/>
    <cellStyle name="Comma 3 3 2 2 5 2 2" xfId="4596" xr:uid="{FD73D420-067F-4592-B7BF-F1729C986DB0}"/>
    <cellStyle name="Comma 3 3 2 2 5 3" xfId="3674" xr:uid="{9C323806-0540-430D-8D12-2C3D5D2D4D16}"/>
    <cellStyle name="Comma 3 3 2 2 6" xfId="1745" xr:uid="{D85AD9D5-1BFC-4A59-8A20-55545D15A873}"/>
    <cellStyle name="Comma 3 3 2 2 6 2" xfId="2859" xr:uid="{8B9E2663-0FF2-4094-9556-1F516D316751}"/>
    <cellStyle name="Comma 3 3 2 2 6 2 2" xfId="4915" xr:uid="{9E8258B1-EC8B-49D0-8666-6E5B67B777C3}"/>
    <cellStyle name="Comma 3 3 2 2 6 3" xfId="4062" xr:uid="{CE42566B-6884-4834-93C3-C97E0FABFCFA}"/>
    <cellStyle name="Comma 3 3 2 2 7" xfId="2436" xr:uid="{D02C9822-9F58-427F-8521-CDDFEB04A9AC}"/>
    <cellStyle name="Comma 3 3 2 2 7 2" xfId="4537" xr:uid="{93365204-FE71-4E35-8653-DD49D6546064}"/>
    <cellStyle name="Comma 3 3 2 2 8" xfId="3286" xr:uid="{1A373720-136E-443E-AF82-373235D2DED6}"/>
    <cellStyle name="Comma 3 3 2 3" xfId="1016" xr:uid="{4D3B85C7-21B4-4C10-B351-5E037F6099CD}"/>
    <cellStyle name="Comma 3 3 2 3 2" xfId="1134" xr:uid="{C5A505F0-BCBA-4564-A4D3-2898226298B5}"/>
    <cellStyle name="Comma 3 3 2 3 2 2" xfId="1551" xr:uid="{C25F748E-0FEE-40A2-8B1D-F96A4152E91C}"/>
    <cellStyle name="Comma 3 3 2 3 2 2 2" xfId="3103" xr:uid="{E7180A57-2300-4592-BC06-3A3330FDB7C4}"/>
    <cellStyle name="Comma 3 3 2 3 2 2 2 2" xfId="5152" xr:uid="{EA10039F-3DAE-4116-A1DC-C196B27F1891}"/>
    <cellStyle name="Comma 3 3 2 3 2 2 3" xfId="3886" xr:uid="{9F4ADBCD-DEB6-49BB-8C9D-1B7F54EF0BA1}"/>
    <cellStyle name="Comma 3 3 2 3 2 3" xfId="1957" xr:uid="{F5B91F9A-DAE9-4A40-8019-7308E3992412}"/>
    <cellStyle name="Comma 3 3 2 3 2 3 2" xfId="4274" xr:uid="{9AEEB87E-0CE3-4E56-A056-8DDE292CE376}"/>
    <cellStyle name="Comma 3 3 2 3 2 4" xfId="2719" xr:uid="{DC6A717E-04E9-4522-AE93-1ABAE9944262}"/>
    <cellStyle name="Comma 3 3 2 3 2 4 2" xfId="4789" xr:uid="{686DA138-2BAC-48AE-B177-84CE558099BF}"/>
    <cellStyle name="Comma 3 3 2 3 2 5" xfId="3498" xr:uid="{14BA3D81-4652-4EB8-ABAF-D1AEF839362B}"/>
    <cellStyle name="Comma 3 3 2 3 3" xfId="1245" xr:uid="{8EBF261E-8D60-457C-ACDC-C94D7FE6E979}"/>
    <cellStyle name="Comma 3 3 2 3 3 2" xfId="1656" xr:uid="{DE97880E-BA08-4F6E-8529-0EF79D973587}"/>
    <cellStyle name="Comma 3 3 2 3 3 2 2" xfId="3208" xr:uid="{BC77702E-5297-4368-8848-BA71FDCFB60E}"/>
    <cellStyle name="Comma 3 3 2 3 3 2 2 2" xfId="5257" xr:uid="{4BABDFC1-8FB9-4E04-8905-2006D934D04F}"/>
    <cellStyle name="Comma 3 3 2 3 3 2 3" xfId="3991" xr:uid="{EE7F92A1-ADF3-4CA5-AAE0-74485FE6ADC3}"/>
    <cellStyle name="Comma 3 3 2 3 3 3" xfId="2062" xr:uid="{957ACCC4-FC34-4927-8CB3-D00E8F04A5AB}"/>
    <cellStyle name="Comma 3 3 2 3 3 3 2" xfId="4379" xr:uid="{9DF4DE03-7D6E-4A5C-8199-4DE7B0B5105C}"/>
    <cellStyle name="Comma 3 3 2 3 3 4" xfId="2795" xr:uid="{B9DA6977-6030-4D38-9582-B70C35C5AA95}"/>
    <cellStyle name="Comma 3 3 2 3 3 4 2" xfId="4865" xr:uid="{1B9648E2-B6EA-4327-BD10-DEC680A2D647}"/>
    <cellStyle name="Comma 3 3 2 3 3 5" xfId="3603" xr:uid="{5AE5EA4B-4700-4CD1-9551-DC1CAC242097}"/>
    <cellStyle name="Comma 3 3 2 3 4" xfId="1446" xr:uid="{762C8278-38C8-45B2-B2F4-6D0160947EBF}"/>
    <cellStyle name="Comma 3 3 2 3 4 2" xfId="2999" xr:uid="{75994793-5DB6-4171-BE97-EE07BD07E2AA}"/>
    <cellStyle name="Comma 3 3 2 3 4 2 2" xfId="5049" xr:uid="{E82C8363-8BC8-46DF-8F63-63E79431530F}"/>
    <cellStyle name="Comma 3 3 2 3 4 3" xfId="3781" xr:uid="{7A5D54D5-252B-4CFB-905C-4D50FF87381A}"/>
    <cellStyle name="Comma 3 3 2 3 5" xfId="1852" xr:uid="{418F0D64-79DC-44C1-8865-401DFEF4E05E}"/>
    <cellStyle name="Comma 3 3 2 3 5 2" xfId="4169" xr:uid="{2CB15A6C-A0A1-4100-A4C6-48FADF21C9A1}"/>
    <cellStyle name="Comma 3 3 2 3 6" xfId="2578" xr:uid="{578E18D1-ED20-4E1F-BA6C-5AC30016698C}"/>
    <cellStyle name="Comma 3 3 2 3 6 2" xfId="4654" xr:uid="{9FB271EB-58C1-4711-ADE9-10FD28DC6DF7}"/>
    <cellStyle name="Comma 3 3 2 3 7" xfId="3393" xr:uid="{DFC58EA6-C38E-4DC3-B3C5-153FC0123107}"/>
    <cellStyle name="Comma 3 3 2 4" xfId="1069" xr:uid="{15C6E2FA-D5F7-4FA3-821B-F235872701B5}"/>
    <cellStyle name="Comma 3 3 2 4 2" xfId="1486" xr:uid="{4445AB24-93F2-4DB3-9CD5-9E31FF46AA9F}"/>
    <cellStyle name="Comma 3 3 2 4 2 2" xfId="3038" xr:uid="{6E6A6BDD-186E-4484-B19B-FEF7C4F26D17}"/>
    <cellStyle name="Comma 3 3 2 4 2 2 2" xfId="5088" xr:uid="{A0C7C7E8-6950-4B70-A651-625F10F63EFD}"/>
    <cellStyle name="Comma 3 3 2 4 2 3" xfId="3821" xr:uid="{7669617F-C150-40D7-B60D-3C7A02CCF3F7}"/>
    <cellStyle name="Comma 3 3 2 4 3" xfId="1892" xr:uid="{E493413F-3ECD-4C4B-8B3B-C1CFFCF0556C}"/>
    <cellStyle name="Comma 3 3 2 4 3 2" xfId="4209" xr:uid="{A026E923-220B-405A-8D8D-E61328BF699F}"/>
    <cellStyle name="Comma 3 3 2 4 4" xfId="2662" xr:uid="{FD351203-E270-420C-AAFF-C9562E31D22D}"/>
    <cellStyle name="Comma 3 3 2 4 4 2" xfId="4732" xr:uid="{EF3547CA-BC9D-4926-8343-84F88B5A3A1A}"/>
    <cellStyle name="Comma 3 3 2 4 5" xfId="3433" xr:uid="{5FC58C56-CB9E-427E-81C6-8D33E1A7704A}"/>
    <cellStyle name="Comma 3 3 2 5" xfId="1175" xr:uid="{B95D4ACB-91C8-4C68-9C7F-7E0D5D4679C9}"/>
    <cellStyle name="Comma 3 3 2 5 2" xfId="1591" xr:uid="{255BF330-FE34-459D-98BB-A7FC7285A2F0}"/>
    <cellStyle name="Comma 3 3 2 5 2 2" xfId="3143" xr:uid="{430157BA-3B25-4567-9F21-F53F4CECBB03}"/>
    <cellStyle name="Comma 3 3 2 5 2 2 2" xfId="5192" xr:uid="{9E5B3FDC-5091-451B-8714-61B5F22A0C12}"/>
    <cellStyle name="Comma 3 3 2 5 2 3" xfId="3926" xr:uid="{52771A8D-67EB-48D7-8D8C-02F1E66DAAB5}"/>
    <cellStyle name="Comma 3 3 2 5 3" xfId="1997" xr:uid="{8349280D-43FE-49F3-9BE3-D9AF2A4FBCBB}"/>
    <cellStyle name="Comma 3 3 2 5 3 2" xfId="4314" xr:uid="{F47E00BC-38E8-4668-9104-DCB2C06334EB}"/>
    <cellStyle name="Comma 3 3 2 5 4" xfId="2758" xr:uid="{42141D06-EF89-48D7-81F4-3C9853623AA4}"/>
    <cellStyle name="Comma 3 3 2 5 4 2" xfId="4828" xr:uid="{5404BE90-AAEC-4D5F-BD9C-273CB023E954}"/>
    <cellStyle name="Comma 3 3 2 5 5" xfId="3538" xr:uid="{FB9FE5A4-7BC5-4C03-8A39-7B0078BFEB98}"/>
    <cellStyle name="Comma 3 3 2 6" xfId="924" xr:uid="{46FF74BC-F753-4C64-A05A-60B00C61EB06}"/>
    <cellStyle name="Comma 3 3 2 6 2" xfId="1380" xr:uid="{BB688497-E201-4619-9EE4-CEB2091C1CD3}"/>
    <cellStyle name="Comma 3 3 2 6 2 2" xfId="2847" xr:uid="{1EDA38D8-3CE8-4C44-88BB-A859E8BE8D15}"/>
    <cellStyle name="Comma 3 3 2 6 2 2 2" xfId="4905" xr:uid="{85DA069F-D9A3-4BCE-B9A4-49B693DFD1F9}"/>
    <cellStyle name="Comma 3 3 2 6 2 3" xfId="3716" xr:uid="{907B6AD1-157C-45C9-9171-4030295AF2E4}"/>
    <cellStyle name="Comma 3 3 2 6 3" xfId="1787" xr:uid="{9FFF0571-4EF0-43AE-8627-9059DBDD125B}"/>
    <cellStyle name="Comma 3 3 2 6 3 2" xfId="4104" xr:uid="{49A079F7-3D5B-4B26-A254-73999832D57E}"/>
    <cellStyle name="Comma 3 3 2 6 4" xfId="2599" xr:uid="{DE4F1444-19F3-4507-96C0-F21507FC2B6F}"/>
    <cellStyle name="Comma 3 3 2 6 4 2" xfId="4670" xr:uid="{018BDAF6-E6C4-4E7C-B08A-C65F7039BFDA}"/>
    <cellStyle name="Comma 3 3 2 6 5" xfId="3328" xr:uid="{B28A0D34-8491-43BE-A924-41BDB760C0A5}"/>
    <cellStyle name="Comma 3 3 2 7" xfId="1284" xr:uid="{02A0555C-B802-48ED-ABD2-28B2BF8BC34D}"/>
    <cellStyle name="Comma 3 3 2 7 2" xfId="2945" xr:uid="{68E06F4C-104D-4072-8BDB-66617FE14BD7}"/>
    <cellStyle name="Comma 3 3 2 7 2 2" xfId="4998" xr:uid="{51B672D9-D2E4-4A45-86B3-A58BA2E45585}"/>
    <cellStyle name="Comma 3 3 2 7 3" xfId="3640" xr:uid="{6E9EC6AD-E2FC-4706-995A-2AC685A62545}"/>
    <cellStyle name="Comma 3 3 2 8" xfId="1708" xr:uid="{E4FB81BA-A4E0-4B8C-BAD1-3D651A1B41A4}"/>
    <cellStyle name="Comma 3 3 2 8 2" xfId="4028" xr:uid="{743B7AA3-A885-44E4-8B58-F7DA58DF660C}"/>
    <cellStyle name="Comma 3 3 2 9" xfId="2302" xr:uid="{E1024C0C-F293-4CDD-9AEE-C77F402CBCE3}"/>
    <cellStyle name="Comma 3 3 2 9 2" xfId="4465" xr:uid="{3D435FEA-DF66-4727-847A-28B89CA47140}"/>
    <cellStyle name="Comma 3 3 3" xfId="2301" xr:uid="{818CAB30-CF51-4915-90E2-E3CC96A08529}"/>
    <cellStyle name="Comma 3 3 4" xfId="2153" xr:uid="{8E2A83DD-0010-40E7-91B6-80A39212A95E}"/>
    <cellStyle name="Comma 3 3 4 2" xfId="5359" xr:uid="{BDB5D318-9F41-4467-B170-A1764A0EDF18}"/>
    <cellStyle name="Comma 3 3 4 3" xfId="5339" xr:uid="{5B0FB30E-5A44-47A4-A27E-EAF1881DBD8B}"/>
    <cellStyle name="Comma 4" xfId="269" xr:uid="{898F9EA4-BC9F-4683-A34C-89D9E598AEB1}"/>
    <cellStyle name="Comma 4 10" xfId="5290" xr:uid="{1BECA586-1D1B-456C-95C4-A9422C90A79B}"/>
    <cellStyle name="Comma 4 10 2" xfId="5348" xr:uid="{244B4D8A-3493-49BD-A446-FC9E0CD2D22E}"/>
    <cellStyle name="Comma 4 11" xfId="5340" xr:uid="{9164F277-772C-4F9D-ABA0-83EE86E9FCA3}"/>
    <cellStyle name="Comma 4 2" xfId="270" xr:uid="{C28E4060-5F23-4D4C-994D-259237D6EEC2}"/>
    <cellStyle name="Comma 4 2 2" xfId="271" xr:uid="{6F90F235-E493-4B96-8C84-DF20E07E9863}"/>
    <cellStyle name="Comma 4 2 3" xfId="272" xr:uid="{227CA1A9-A315-4360-B09D-B80AEEFF2511}"/>
    <cellStyle name="Comma 4 3" xfId="273" xr:uid="{6CC9CBD0-E27C-4482-A365-AB52CA5C2A14}"/>
    <cellStyle name="Comma 4 3 2" xfId="274" xr:uid="{48CFA69F-8ED7-493A-815C-6AE74971C590}"/>
    <cellStyle name="Comma 4 3 3" xfId="275" xr:uid="{B596BFBF-CC00-4FF8-AAC9-A45FF429EFC4}"/>
    <cellStyle name="Comma 4 4" xfId="276" xr:uid="{4CF940A7-A075-4DAA-A024-487469646132}"/>
    <cellStyle name="Comma 4 4 2" xfId="277" xr:uid="{F3EAB882-BBC0-4DBD-8190-FEC46D7CAD79}"/>
    <cellStyle name="Comma 4 4 2 2" xfId="2303" xr:uid="{8C16BD71-366E-4B64-9096-BC0B2864CCEF}"/>
    <cellStyle name="Comma 4 4 2 3" xfId="2154" xr:uid="{419D2EA8-AE09-4963-9D86-D9EDFBE2C4A6}"/>
    <cellStyle name="Comma 4 4 3" xfId="278" xr:uid="{985662B6-D49D-4256-91D4-E1F48AF92A24}"/>
    <cellStyle name="Comma 4 4 3 10" xfId="3253" xr:uid="{E8A9CFF0-8444-4A90-B5C4-AED0C095C8F5}"/>
    <cellStyle name="Comma 4 4 3 2" xfId="833" xr:uid="{CDFD98AF-E7CA-443D-ACA1-E33FAC560F42}"/>
    <cellStyle name="Comma 4 4 3 2 2" xfId="1101" xr:uid="{C7ADDEAC-A9ED-40B8-9024-F48300C23264}"/>
    <cellStyle name="Comma 4 4 3 2 2 2" xfId="1518" xr:uid="{98BB043E-55CD-43E1-8484-78C820785667}"/>
    <cellStyle name="Comma 4 4 3 2 2 2 2" xfId="2687" xr:uid="{D7E4E117-9C1E-43A2-AFCB-71D4E9E36D29}"/>
    <cellStyle name="Comma 4 4 3 2 2 2 2 2" xfId="4757" xr:uid="{7F898762-4DB6-41EE-89DB-EB870B207D19}"/>
    <cellStyle name="Comma 4 4 3 2 2 2 3" xfId="3853" xr:uid="{569AF175-BA64-4B11-B464-E30951159CBB}"/>
    <cellStyle name="Comma 4 4 3 2 2 3" xfId="1924" xr:uid="{01635D15-9682-4B74-B732-2C564BAD706B}"/>
    <cellStyle name="Comma 4 4 3 2 2 3 2" xfId="3070" xr:uid="{2B027C6E-62F6-458D-971E-7BC11B098028}"/>
    <cellStyle name="Comma 4 4 3 2 2 3 2 2" xfId="5119" xr:uid="{016E17F9-F518-4EF0-AB5E-02CF8B81FCEB}"/>
    <cellStyle name="Comma 4 4 3 2 2 3 3" xfId="4241" xr:uid="{73ABD80B-8769-4CBD-BDC7-8EDDA1982225}"/>
    <cellStyle name="Comma 4 4 3 2 2 4" xfId="2437" xr:uid="{5C3903FB-C3D0-4676-9CC9-6EFBB02FDEF4}"/>
    <cellStyle name="Comma 4 4 3 2 2 4 2" xfId="4538" xr:uid="{28A02857-96D7-4D4B-8CEB-4189A1B74BC3}"/>
    <cellStyle name="Comma 4 4 3 2 2 5" xfId="3465" xr:uid="{44E7436A-1913-4B0C-B096-5B93488B281F}"/>
    <cellStyle name="Comma 4 4 3 2 3" xfId="1208" xr:uid="{88252F0C-7F70-4453-AE52-3E961C108707}"/>
    <cellStyle name="Comma 4 4 3 2 3 2" xfId="1623" xr:uid="{A9CF9D43-733E-458C-8F2C-E05EF11349B3}"/>
    <cellStyle name="Comma 4 4 3 2 3 2 2" xfId="3175" xr:uid="{59216A05-9685-46FF-94C0-33335E1537FF}"/>
    <cellStyle name="Comma 4 4 3 2 3 2 2 2" xfId="5224" xr:uid="{EB88CFB2-1C5A-4FC7-9552-0203EA715A0B}"/>
    <cellStyle name="Comma 4 4 3 2 3 2 3" xfId="3958" xr:uid="{C173B707-B8EA-4C1F-8D4E-BEF22BCDF71D}"/>
    <cellStyle name="Comma 4 4 3 2 3 3" xfId="2029" xr:uid="{941C9193-7C86-499B-A125-31010AD65317}"/>
    <cellStyle name="Comma 4 4 3 2 3 3 2" xfId="4346" xr:uid="{F7F9A631-0391-4AE9-A83E-CB1D3C0DFD04}"/>
    <cellStyle name="Comma 4 4 3 2 3 4" xfId="2579" xr:uid="{1BAF565C-1EB3-4FCF-86AA-D92102E027AC}"/>
    <cellStyle name="Comma 4 4 3 2 3 4 2" xfId="4655" xr:uid="{3FFD81C2-0F3F-44D1-AEA4-FEEA346A61D1}"/>
    <cellStyle name="Comma 4 4 3 2 3 5" xfId="3570" xr:uid="{33FB7AFD-9556-45EA-B485-C662153B7485}"/>
    <cellStyle name="Comma 4 4 3 2 4" xfId="978" xr:uid="{A37C3C0B-B78D-497C-AA6D-92EE647A0F79}"/>
    <cellStyle name="Comma 4 4 3 2 4 2" xfId="1413" xr:uid="{DFBD3B28-80C4-4055-A90A-E2B1F840EAD2}"/>
    <cellStyle name="Comma 4 4 3 2 4 2 2" xfId="2862" xr:uid="{BF7B0B7B-3EA5-4FBC-9B3D-5BE859D9707D}"/>
    <cellStyle name="Comma 4 4 3 2 4 2 2 2" xfId="4918" xr:uid="{AF0463A9-6FED-48EA-9855-73CA37F17A7E}"/>
    <cellStyle name="Comma 4 4 3 2 4 2 3" xfId="3748" xr:uid="{72413C45-0BD4-404E-8518-5AC42499C3C4}"/>
    <cellStyle name="Comma 4 4 3 2 4 3" xfId="1819" xr:uid="{C3E39C8E-4981-4C9F-A6C5-0E3F577A8822}"/>
    <cellStyle name="Comma 4 4 3 2 4 3 2" xfId="4136" xr:uid="{239B2082-B604-41F2-AAC2-9A6F9604B903}"/>
    <cellStyle name="Comma 4 4 3 2 4 4" xfId="2610" xr:uid="{6C304A72-4E43-4518-855C-5766E7057997}"/>
    <cellStyle name="Comma 4 4 3 2 4 4 2" xfId="4680" xr:uid="{B2DA8533-7044-4F36-87CB-CF94896A77C7}"/>
    <cellStyle name="Comma 4 4 3 2 4 5" xfId="3360" xr:uid="{3A35FA59-B467-4435-AC70-8CFB65695DDE}"/>
    <cellStyle name="Comma 4 4 3 2 5" xfId="1339" xr:uid="{A2B34989-D70F-4F3C-9D72-4FB571DB51F1}"/>
    <cellStyle name="Comma 4 4 3 2 5 2" xfId="2947" xr:uid="{F2ACE805-5EDD-4FEA-8404-E8BB5C9F9182}"/>
    <cellStyle name="Comma 4 4 3 2 5 2 2" xfId="5000" xr:uid="{D7E67078-13F0-4FD7-86DF-AD0D77B81207}"/>
    <cellStyle name="Comma 4 4 3 2 5 3" xfId="3675" xr:uid="{99C18C87-351C-4573-9D3A-A2EFDD0409E5}"/>
    <cellStyle name="Comma 4 4 3 2 6" xfId="1746" xr:uid="{3E67E229-A4A9-40B9-BA50-259559F715A4}"/>
    <cellStyle name="Comma 4 4 3 2 6 2" xfId="4063" xr:uid="{629FA138-AF55-4F45-BD66-73BA81D12827}"/>
    <cellStyle name="Comma 4 4 3 2 7" xfId="2304" xr:uid="{BECE012F-3C2D-4CAC-B4D8-6DCEE3AA4065}"/>
    <cellStyle name="Comma 4 4 3 2 7 2" xfId="4466" xr:uid="{1AECBEAB-C345-451B-8964-1E2C0C97EA08}"/>
    <cellStyle name="Comma 4 4 3 2 8" xfId="3287" xr:uid="{6247E9EB-EB9B-4401-A301-3747955102BA}"/>
    <cellStyle name="Comma 4 4 3 3" xfId="1017" xr:uid="{6D14EB00-9F9B-4098-993A-B0FB4247ECF7}"/>
    <cellStyle name="Comma 4 4 3 3 2" xfId="1135" xr:uid="{44013628-EF9D-48C0-A3B9-41ED89B3172C}"/>
    <cellStyle name="Comma 4 4 3 3 2 2" xfId="1552" xr:uid="{81AC6E65-7177-472E-A7A7-5AA495A24B73}"/>
    <cellStyle name="Comma 4 4 3 3 2 2 2" xfId="3104" xr:uid="{93D93EAE-F4C7-45F9-83A9-EAB3B930A26E}"/>
    <cellStyle name="Comma 4 4 3 3 2 2 2 2" xfId="5153" xr:uid="{BB60261A-299B-451B-83DA-3DBF62D3B006}"/>
    <cellStyle name="Comma 4 4 3 3 2 2 3" xfId="3887" xr:uid="{F4736F65-6C4B-46B2-BF37-50484AD7E130}"/>
    <cellStyle name="Comma 4 4 3 3 2 3" xfId="1958" xr:uid="{95EA5879-CC18-4E0F-B47D-39D2A97C2B59}"/>
    <cellStyle name="Comma 4 4 3 3 2 3 2" xfId="4275" xr:uid="{EAD10506-48F5-45C9-B57B-E003BBFC8113}"/>
    <cellStyle name="Comma 4 4 3 3 2 4" xfId="2720" xr:uid="{B2C9328C-9C4C-470C-85DF-376D7FC9BC9A}"/>
    <cellStyle name="Comma 4 4 3 3 2 4 2" xfId="4790" xr:uid="{861C369B-C31C-43FE-A7FB-D4E8F0EEDC76}"/>
    <cellStyle name="Comma 4 4 3 3 2 5" xfId="3499" xr:uid="{3E8F6C08-D0C4-4441-BC73-CC8271AF818B}"/>
    <cellStyle name="Comma 4 4 3 3 3" xfId="1246" xr:uid="{D019F1BF-34F8-4EC1-A444-8B256A79F32D}"/>
    <cellStyle name="Comma 4 4 3 3 3 2" xfId="1657" xr:uid="{349BDD69-690E-44F6-B6EF-329879ADF41D}"/>
    <cellStyle name="Comma 4 4 3 3 3 2 2" xfId="3209" xr:uid="{39A32312-D255-41E2-87A3-EE6D6142EE3B}"/>
    <cellStyle name="Comma 4 4 3 3 3 2 2 2" xfId="5258" xr:uid="{3D795573-600E-4A97-9C70-BD640484CB03}"/>
    <cellStyle name="Comma 4 4 3 3 3 2 3" xfId="3992" xr:uid="{C8E2CC86-13B4-4AE2-889C-35957A949D1F}"/>
    <cellStyle name="Comma 4 4 3 3 3 3" xfId="2063" xr:uid="{ABD9A58D-0201-4CD5-8F8C-1778B6955C55}"/>
    <cellStyle name="Comma 4 4 3 3 3 3 2" xfId="4380" xr:uid="{8AD90EBE-2048-402A-BEC9-93E4B9D379BD}"/>
    <cellStyle name="Comma 4 4 3 3 3 4" xfId="2796" xr:uid="{8A6F211D-F76A-4EDE-9BEB-E8B42C605C0F}"/>
    <cellStyle name="Comma 4 4 3 3 3 4 2" xfId="4866" xr:uid="{A5BE6EC9-E091-42C0-A5AF-1C371F52E657}"/>
    <cellStyle name="Comma 4 4 3 3 3 5" xfId="3604" xr:uid="{A049B727-A4F1-45ED-9726-89658B2E8476}"/>
    <cellStyle name="Comma 4 4 3 3 4" xfId="1447" xr:uid="{4A5C19B1-728A-45DB-AC62-530361337EF9}"/>
    <cellStyle name="Comma 4 4 3 3 4 2" xfId="3000" xr:uid="{ABF86E82-E434-49FB-B16E-ED7F05047DFA}"/>
    <cellStyle name="Comma 4 4 3 3 4 2 2" xfId="5050" xr:uid="{C6369A88-D83E-4739-9858-5E58CE258469}"/>
    <cellStyle name="Comma 4 4 3 3 4 3" xfId="3782" xr:uid="{536DD715-61A5-4CA0-8C21-75917360E368}"/>
    <cellStyle name="Comma 4 4 3 3 5" xfId="1853" xr:uid="{ACF8149E-9F4C-4C31-A80E-C7A5A587124A}"/>
    <cellStyle name="Comma 4 4 3 3 5 2" xfId="4170" xr:uid="{47898530-FAB1-4A1B-B87A-85B401C262C5}"/>
    <cellStyle name="Comma 4 4 3 3 6" xfId="2639" xr:uid="{794B84E0-6044-4257-8A56-C727DDD5DCA3}"/>
    <cellStyle name="Comma 4 4 3 3 6 2" xfId="4709" xr:uid="{9ACD783D-F36C-47A9-8C16-962E9B1D59E1}"/>
    <cellStyle name="Comma 4 4 3 3 7" xfId="3394" xr:uid="{33B47848-F5F4-4F33-B9B2-2A0515D909D2}"/>
    <cellStyle name="Comma 4 4 3 4" xfId="1070" xr:uid="{055473DC-49EC-47D8-9096-6DB1B32F792D}"/>
    <cellStyle name="Comma 4 4 3 4 2" xfId="1487" xr:uid="{5180252E-B919-4870-9556-B73EBB7C34CC}"/>
    <cellStyle name="Comma 4 4 3 4 2 2" xfId="3039" xr:uid="{77FE42E2-D7E8-404D-982E-F637E57FC606}"/>
    <cellStyle name="Comma 4 4 3 4 2 2 2" xfId="5089" xr:uid="{0E84993F-8E5B-4572-A85E-DEA501D56487}"/>
    <cellStyle name="Comma 4 4 3 4 2 3" xfId="3822" xr:uid="{72CFF63E-321E-450C-9006-E15C2C64C7CF}"/>
    <cellStyle name="Comma 4 4 3 4 3" xfId="1893" xr:uid="{35CA17C9-4A0F-4BA8-AECE-381C366103FB}"/>
    <cellStyle name="Comma 4 4 3 4 3 2" xfId="4210" xr:uid="{A90358FA-E68F-46E5-A026-9D579C20292C}"/>
    <cellStyle name="Comma 4 4 3 4 4" xfId="2663" xr:uid="{EC3C04BF-FF37-44D5-916B-8A898999CA10}"/>
    <cellStyle name="Comma 4 4 3 4 4 2" xfId="4733" xr:uid="{9623B69E-1C36-4D8D-A29E-4DC8F75F6E1E}"/>
    <cellStyle name="Comma 4 4 3 4 5" xfId="3434" xr:uid="{AAFCEF76-73BF-4206-8D34-631D2839EDC9}"/>
    <cellStyle name="Comma 4 4 3 5" xfId="1176" xr:uid="{00FCC9BE-7765-4B66-A460-A3AC77660AC4}"/>
    <cellStyle name="Comma 4 4 3 5 2" xfId="1592" xr:uid="{D1345792-785C-4AEE-838E-E56970DC1F6C}"/>
    <cellStyle name="Comma 4 4 3 5 2 2" xfId="3144" xr:uid="{CAB17016-7967-4469-8B6D-AD524A613848}"/>
    <cellStyle name="Comma 4 4 3 5 2 2 2" xfId="5193" xr:uid="{F33626B6-83C5-4AE3-B610-59052F9AA0A4}"/>
    <cellStyle name="Comma 4 4 3 5 2 3" xfId="3927" xr:uid="{3A8AB89B-40B7-4152-9D43-427E805C652D}"/>
    <cellStyle name="Comma 4 4 3 5 3" xfId="1998" xr:uid="{ACA9E8B0-8036-4DD8-AC4B-B5BCC136099F}"/>
    <cellStyle name="Comma 4 4 3 5 3 2" xfId="4315" xr:uid="{5A4FE944-65C8-4268-8643-A85EC9AAEB12}"/>
    <cellStyle name="Comma 4 4 3 5 4" xfId="2759" xr:uid="{983F6CCE-B314-435F-BB5F-8708C8FB7162}"/>
    <cellStyle name="Comma 4 4 3 5 4 2" xfId="4829" xr:uid="{0F3A2DDB-BDDA-4AE7-BDDB-675D44552319}"/>
    <cellStyle name="Comma 4 4 3 5 5" xfId="3539" xr:uid="{436BAACD-CFA2-428A-9310-234EE880D57A}"/>
    <cellStyle name="Comma 4 4 3 6" xfId="925" xr:uid="{200CEC10-0709-4C9B-AF7B-7CDB573016DD}"/>
    <cellStyle name="Comma 4 4 3 6 2" xfId="1381" xr:uid="{9F216B15-77A5-4B27-AAD6-A0C1240CBA5E}"/>
    <cellStyle name="Comma 4 4 3 6 2 2" xfId="2974" xr:uid="{E3616038-6B13-416D-A2D4-9A9F4C8DD4FA}"/>
    <cellStyle name="Comma 4 4 3 6 2 2 2" xfId="5025" xr:uid="{E7BCB35B-D719-4A23-A21C-5A10EAB726AE}"/>
    <cellStyle name="Comma 4 4 3 6 2 3" xfId="3717" xr:uid="{B5FB0189-62D3-424C-8647-096071A927BF}"/>
    <cellStyle name="Comma 4 4 3 6 3" xfId="1788" xr:uid="{221C3113-030D-4612-8C87-60679425B825}"/>
    <cellStyle name="Comma 4 4 3 6 3 2" xfId="4105" xr:uid="{A0F13C8D-93D0-4717-B715-30FD7BB5923A}"/>
    <cellStyle name="Comma 4 4 3 6 4" xfId="2573" xr:uid="{8E0B347A-90F4-49BB-B738-37108F69DAA0}"/>
    <cellStyle name="Comma 4 4 3 6 4 2" xfId="4649" xr:uid="{0836FA99-5DC6-4CC0-9728-7EEFC52DCBE7}"/>
    <cellStyle name="Comma 4 4 3 6 5" xfId="3329" xr:uid="{41D99726-77C4-4E70-B69D-1F1015557D81}"/>
    <cellStyle name="Comma 4 4 3 7" xfId="1285" xr:uid="{CE2DF87C-75B7-4C79-B91E-B0427FFC7EF4}"/>
    <cellStyle name="Comma 4 4 3 7 2" xfId="3641" xr:uid="{FC49C3C0-78DB-4599-B669-88B47FB3C130}"/>
    <cellStyle name="Comma 4 4 3 8" xfId="1709" xr:uid="{52A384B3-D604-4225-8138-B4B1A64848CA}"/>
    <cellStyle name="Comma 4 4 3 8 2" xfId="4029" xr:uid="{49BD633D-8197-4CE7-8A0E-DE959D591361}"/>
    <cellStyle name="Comma 4 4 3 9" xfId="2155" xr:uid="{E425A02F-F16A-4C92-85BE-E65051D7EBB1}"/>
    <cellStyle name="Comma 4 4 4" xfId="279" xr:uid="{E6146A1D-0327-4FF7-A9F1-767437C12134}"/>
    <cellStyle name="Comma 4 4 4 10" xfId="3254" xr:uid="{A2EDF4BC-DEAA-47E0-97EA-9A82710D093E}"/>
    <cellStyle name="Comma 4 4 4 2" xfId="834" xr:uid="{1C265F52-7D22-405C-9721-98EDAEF86BE2}"/>
    <cellStyle name="Comma 4 4 4 2 2" xfId="1102" xr:uid="{79A6D75E-4C40-499F-B1AE-D5FC7210D693}"/>
    <cellStyle name="Comma 4 4 4 2 2 2" xfId="1519" xr:uid="{AF9E3956-DCC3-4B27-BAB6-DBB7D055AE6A}"/>
    <cellStyle name="Comma 4 4 4 2 2 2 2" xfId="3071" xr:uid="{861260B4-0CDE-4A89-95D2-E207A990B58A}"/>
    <cellStyle name="Comma 4 4 4 2 2 2 2 2" xfId="5120" xr:uid="{C73EF499-1C80-40A8-B398-A576823AFAE4}"/>
    <cellStyle name="Comma 4 4 4 2 2 2 3" xfId="3854" xr:uid="{E348FA1C-32E1-4B6A-A50C-B2DE1E2A838B}"/>
    <cellStyle name="Comma 4 4 4 2 2 3" xfId="1925" xr:uid="{7DFBFAB5-3F7A-48EE-8312-44479519B0C5}"/>
    <cellStyle name="Comma 4 4 4 2 2 3 2" xfId="4242" xr:uid="{0A36DE60-C43E-44AC-A357-44B1040C3158}"/>
    <cellStyle name="Comma 4 4 4 2 2 4" xfId="2688" xr:uid="{70BB535B-0623-4BB1-BD9F-63BC3266E9AF}"/>
    <cellStyle name="Comma 4 4 4 2 2 4 2" xfId="4758" xr:uid="{D5B12C13-5CCC-4341-839F-92543F1BBBEB}"/>
    <cellStyle name="Comma 4 4 4 2 2 5" xfId="3466" xr:uid="{81D43894-37BC-4228-ADB6-4E68075E3AAD}"/>
    <cellStyle name="Comma 4 4 4 2 3" xfId="1209" xr:uid="{D152C84F-1B0E-4817-B0F7-01C1C53F01DA}"/>
    <cellStyle name="Comma 4 4 4 2 3 2" xfId="1624" xr:uid="{E40CB766-0C13-4858-86ED-3F86AFC00AB7}"/>
    <cellStyle name="Comma 4 4 4 2 3 2 2" xfId="3176" xr:uid="{4105B981-CB31-42CC-A9AC-391E1FDCF9F3}"/>
    <cellStyle name="Comma 4 4 4 2 3 2 2 2" xfId="5225" xr:uid="{AC705AA2-F1BD-40D1-81D2-46253822CD32}"/>
    <cellStyle name="Comma 4 4 4 2 3 2 3" xfId="3959" xr:uid="{D6B811D8-FF18-4D27-86A9-A06914D70BA6}"/>
    <cellStyle name="Comma 4 4 4 2 3 3" xfId="2030" xr:uid="{747866DB-B824-4366-A845-FCFB2D8C4836}"/>
    <cellStyle name="Comma 4 4 4 2 3 3 2" xfId="4347" xr:uid="{A2E4142C-5DF8-4E1D-9BA2-AF719FCCD4BA}"/>
    <cellStyle name="Comma 4 4 4 2 3 4" xfId="2780" xr:uid="{EBD575F6-9627-40AE-9CE4-A31F802FDF3A}"/>
    <cellStyle name="Comma 4 4 4 2 3 4 2" xfId="4850" xr:uid="{BE558DDC-0184-46B3-8BA2-CD703950009A}"/>
    <cellStyle name="Comma 4 4 4 2 3 5" xfId="3571" xr:uid="{CB987912-C172-414F-92BF-79D70A18627A}"/>
    <cellStyle name="Comma 4 4 4 2 4" xfId="979" xr:uid="{EA3E8079-1326-4734-8D80-954F2BD8CF63}"/>
    <cellStyle name="Comma 4 4 4 2 4 2" xfId="1414" xr:uid="{279EC1D1-652A-4F2A-A455-50B36BD07887}"/>
    <cellStyle name="Comma 4 4 4 2 4 2 2" xfId="2888" xr:uid="{FC29D3B4-9DC0-4DE9-A724-292E611A9484}"/>
    <cellStyle name="Comma 4 4 4 2 4 2 2 2" xfId="4942" xr:uid="{5D86FB4B-7E47-4328-A114-FF3A259ACE0A}"/>
    <cellStyle name="Comma 4 4 4 2 4 2 3" xfId="3749" xr:uid="{A30912C6-B9C1-4FD7-90AF-33B754DC3597}"/>
    <cellStyle name="Comma 4 4 4 2 4 3" xfId="1820" xr:uid="{D49F01A9-078E-4798-8FFE-930A215AA65D}"/>
    <cellStyle name="Comma 4 4 4 2 4 3 2" xfId="4137" xr:uid="{CA9F0837-7287-46B5-82A0-BD6FAA97123A}"/>
    <cellStyle name="Comma 4 4 4 2 4 4" xfId="2611" xr:uid="{AC394CC4-2BBB-472A-B9B7-230205A6FBFD}"/>
    <cellStyle name="Comma 4 4 4 2 4 4 2" xfId="4681" xr:uid="{F94B39C4-1F96-473B-BA99-063CE3D6C83D}"/>
    <cellStyle name="Comma 4 4 4 2 4 5" xfId="3361" xr:uid="{4B2DE1EA-AC14-419F-9EB4-CDD8E00C53F5}"/>
    <cellStyle name="Comma 4 4 4 2 5" xfId="1340" xr:uid="{A3160F6A-26E4-4DE5-901E-CE87DD05D0AC}"/>
    <cellStyle name="Comma 4 4 4 2 5 2" xfId="2511" xr:uid="{B1123C3E-5E73-418F-9689-F338D3521EEB}"/>
    <cellStyle name="Comma 4 4 4 2 5 2 2" xfId="4597" xr:uid="{76C9E2BE-2524-42FD-B417-399936F58F4C}"/>
    <cellStyle name="Comma 4 4 4 2 5 3" xfId="3676" xr:uid="{DC3FACB7-8410-4620-95BD-F063E51B139D}"/>
    <cellStyle name="Comma 4 4 4 2 6" xfId="1747" xr:uid="{D870F145-0E00-4FF4-9942-F7C4D411A13C}"/>
    <cellStyle name="Comma 4 4 4 2 6 2" xfId="2850" xr:uid="{6D8D2B49-1B06-4126-8E56-94875ADD3C59}"/>
    <cellStyle name="Comma 4 4 4 2 6 2 2" xfId="4907" xr:uid="{A3EC659B-D885-4C31-98D6-5076AD92FCB1}"/>
    <cellStyle name="Comma 4 4 4 2 6 3" xfId="4064" xr:uid="{73A2F81B-9B5F-437A-B9CD-C3E5016419F6}"/>
    <cellStyle name="Comma 4 4 4 2 7" xfId="2438" xr:uid="{46B3AE50-6448-42C9-84BD-19D29513636B}"/>
    <cellStyle name="Comma 4 4 4 2 7 2" xfId="4539" xr:uid="{4636AB8D-07E1-4151-828E-98820D654055}"/>
    <cellStyle name="Comma 4 4 4 2 8" xfId="3288" xr:uid="{971699A4-D643-4319-813F-5EDC0F03FB56}"/>
    <cellStyle name="Comma 4 4 4 3" xfId="1018" xr:uid="{E623D88C-7BF0-4AA6-ACE5-6E618E1625DA}"/>
    <cellStyle name="Comma 4 4 4 3 2" xfId="1136" xr:uid="{30C90688-1521-42D8-92D5-08A45EF3135F}"/>
    <cellStyle name="Comma 4 4 4 3 2 2" xfId="1553" xr:uid="{316DB510-8049-4723-9947-4FDD0916BCC8}"/>
    <cellStyle name="Comma 4 4 4 3 2 2 2" xfId="3105" xr:uid="{17D67775-C068-4DE7-80D3-3C45AE04A9F5}"/>
    <cellStyle name="Comma 4 4 4 3 2 2 2 2" xfId="5154" xr:uid="{E35A0552-B336-4CC3-A990-DA26D5669FE1}"/>
    <cellStyle name="Comma 4 4 4 3 2 2 3" xfId="3888" xr:uid="{86FDC021-F1A7-4FD6-BDF0-51EC256F66C4}"/>
    <cellStyle name="Comma 4 4 4 3 2 3" xfId="1959" xr:uid="{49E5E1F9-0AAC-4F38-8DFD-424A09946AEF}"/>
    <cellStyle name="Comma 4 4 4 3 2 3 2" xfId="4276" xr:uid="{CEA736AC-C91D-41DF-B9F7-8DA8DD2FFEEA}"/>
    <cellStyle name="Comma 4 4 4 3 2 4" xfId="2721" xr:uid="{6AC00F37-5D51-44C0-9E25-F883E4ED1D14}"/>
    <cellStyle name="Comma 4 4 4 3 2 4 2" xfId="4791" xr:uid="{B62681B7-16E8-4AF2-B536-B7B68C333E69}"/>
    <cellStyle name="Comma 4 4 4 3 2 5" xfId="3500" xr:uid="{173D82DC-1FCF-44AA-9F22-89EED98720C4}"/>
    <cellStyle name="Comma 4 4 4 3 3" xfId="1247" xr:uid="{7CBD5AC8-DD3D-412E-B1A7-EDE32D719155}"/>
    <cellStyle name="Comma 4 4 4 3 3 2" xfId="1658" xr:uid="{F9743A06-EDC8-442A-BF39-A5AE6A8FB20C}"/>
    <cellStyle name="Comma 4 4 4 3 3 2 2" xfId="3210" xr:uid="{7915FC5A-B651-4428-8D39-C0074BE7C409}"/>
    <cellStyle name="Comma 4 4 4 3 3 2 2 2" xfId="5259" xr:uid="{366B0B21-2276-456E-A5B0-B605A168C5E1}"/>
    <cellStyle name="Comma 4 4 4 3 3 2 3" xfId="3993" xr:uid="{7271FE7A-6584-4FC2-BC03-6C871E99C8DD}"/>
    <cellStyle name="Comma 4 4 4 3 3 3" xfId="2064" xr:uid="{259AAB26-2A89-4260-925C-1BA1B7163B52}"/>
    <cellStyle name="Comma 4 4 4 3 3 3 2" xfId="4381" xr:uid="{37F6E431-3B75-425E-B516-045B40FA868E}"/>
    <cellStyle name="Comma 4 4 4 3 3 4" xfId="2797" xr:uid="{47341246-D0DD-4523-AA15-484254336CB7}"/>
    <cellStyle name="Comma 4 4 4 3 3 4 2" xfId="4867" xr:uid="{A6C037FC-6AE5-4075-9AD1-D0AD1CCC6363}"/>
    <cellStyle name="Comma 4 4 4 3 3 5" xfId="3605" xr:uid="{B52A2BCB-EF5C-4D86-BBC8-F603ED11B488}"/>
    <cellStyle name="Comma 4 4 4 3 4" xfId="1448" xr:uid="{EB6650AE-F972-4C69-8430-83C1D6E225FF}"/>
    <cellStyle name="Comma 4 4 4 3 4 2" xfId="3001" xr:uid="{22B8E202-BBC8-451F-9F0C-0FFDBF06EFE0}"/>
    <cellStyle name="Comma 4 4 4 3 4 2 2" xfId="5051" xr:uid="{1ACFEBB5-B712-4072-AAAF-DB1E09E0DC65}"/>
    <cellStyle name="Comma 4 4 4 3 4 3" xfId="3783" xr:uid="{D52E5A58-0053-44ED-8C8E-F09F55CBBEAD}"/>
    <cellStyle name="Comma 4 4 4 3 5" xfId="1854" xr:uid="{C1397C3A-9981-4802-8E40-3B8006B7C7B2}"/>
    <cellStyle name="Comma 4 4 4 3 5 2" xfId="4171" xr:uid="{6F29BD42-791E-4A93-BEAE-A534DD522B72}"/>
    <cellStyle name="Comma 4 4 4 3 6" xfId="2580" xr:uid="{5AC15AB7-30BE-4106-8DB1-67486560AD17}"/>
    <cellStyle name="Comma 4 4 4 3 6 2" xfId="4656" xr:uid="{5E19717F-EA57-48D8-979B-ECCD905DBD16}"/>
    <cellStyle name="Comma 4 4 4 3 7" xfId="3395" xr:uid="{41EA7207-EDE7-49C5-89F8-FC1A247D3F5A}"/>
    <cellStyle name="Comma 4 4 4 4" xfId="1071" xr:uid="{F54FA0B2-3E29-4DD3-B736-F5D028EAFD8A}"/>
    <cellStyle name="Comma 4 4 4 4 2" xfId="1488" xr:uid="{9DC1F3E4-B0E4-4F06-BABE-00D8D4C2FDBD}"/>
    <cellStyle name="Comma 4 4 4 4 2 2" xfId="3040" xr:uid="{002E0045-B475-47DE-8B94-CED08C1D01EA}"/>
    <cellStyle name="Comma 4 4 4 4 2 2 2" xfId="5090" xr:uid="{56D18E3B-167F-4B96-8200-F0CAEE3A5644}"/>
    <cellStyle name="Comma 4 4 4 4 2 3" xfId="3823" xr:uid="{64BD3A6B-2019-42E6-BB97-555B32F6776F}"/>
    <cellStyle name="Comma 4 4 4 4 3" xfId="1894" xr:uid="{74966C17-905B-4AA9-952C-2718E5BD3FD7}"/>
    <cellStyle name="Comma 4 4 4 4 3 2" xfId="4211" xr:uid="{88AF409A-9396-45AA-B520-F80705814C7B}"/>
    <cellStyle name="Comma 4 4 4 4 4" xfId="2664" xr:uid="{D989100F-BB7F-47DC-92F9-3A20B308DDFF}"/>
    <cellStyle name="Comma 4 4 4 4 4 2" xfId="4734" xr:uid="{C5796907-809D-46D3-9316-D3EBEE88B8DF}"/>
    <cellStyle name="Comma 4 4 4 4 5" xfId="3435" xr:uid="{3405C2E2-D35F-4F96-86C7-85F3362905ED}"/>
    <cellStyle name="Comma 4 4 4 5" xfId="1177" xr:uid="{2284F480-4955-4B74-B69D-D970AF84476A}"/>
    <cellStyle name="Comma 4 4 4 5 2" xfId="1593" xr:uid="{A024EE84-B35C-4D0A-AA6F-203A20BCCE2E}"/>
    <cellStyle name="Comma 4 4 4 5 2 2" xfId="3145" xr:uid="{084D71B8-4543-420E-985A-319E157E0A68}"/>
    <cellStyle name="Comma 4 4 4 5 2 2 2" xfId="5194" xr:uid="{E738FDA4-BF1B-4EF5-8F69-C3171B76D201}"/>
    <cellStyle name="Comma 4 4 4 5 2 3" xfId="3928" xr:uid="{674CCEF6-BE1A-4950-8F85-34C45E2B2438}"/>
    <cellStyle name="Comma 4 4 4 5 3" xfId="1999" xr:uid="{F6D30F22-A657-40C8-895B-EE5373505BD3}"/>
    <cellStyle name="Comma 4 4 4 5 3 2" xfId="4316" xr:uid="{C4438B85-E79A-47B8-AAFD-4E901C36EC77}"/>
    <cellStyle name="Comma 4 4 4 5 4" xfId="2760" xr:uid="{B2ADFE4B-4192-48C0-9195-BABE5C8A116F}"/>
    <cellStyle name="Comma 4 4 4 5 4 2" xfId="4830" xr:uid="{C702A0E1-E117-4076-A568-76A6801FA707}"/>
    <cellStyle name="Comma 4 4 4 5 5" xfId="3540" xr:uid="{37EA48FC-D2F5-4072-8967-D694A856465B}"/>
    <cellStyle name="Comma 4 4 4 6" xfId="926" xr:uid="{B0890C25-4AED-4507-AD07-E9AB6B0F4ADB}"/>
    <cellStyle name="Comma 4 4 4 6 2" xfId="1382" xr:uid="{81382BEA-F6A0-4F42-8AD9-CAE623B02280}"/>
    <cellStyle name="Comma 4 4 4 6 2 2" xfId="2852" xr:uid="{A6B41BEC-8D3B-4D92-92ED-91003014377E}"/>
    <cellStyle name="Comma 4 4 4 6 2 2 2" xfId="4909" xr:uid="{842E7340-870B-4D2F-A4D9-867BF734A03D}"/>
    <cellStyle name="Comma 4 4 4 6 2 3" xfId="3718" xr:uid="{C1D4D20E-1D82-48AD-845E-039F428D01FA}"/>
    <cellStyle name="Comma 4 4 4 6 3" xfId="1789" xr:uid="{974B1068-C622-4F20-811A-972A9230A9E5}"/>
    <cellStyle name="Comma 4 4 4 6 3 2" xfId="4106" xr:uid="{6C5E4181-B429-4B09-B251-92AD915D9976}"/>
    <cellStyle name="Comma 4 4 4 6 4" xfId="2524" xr:uid="{F024A32A-91D5-4D35-8E8B-C81F44536F58}"/>
    <cellStyle name="Comma 4 4 4 6 4 2" xfId="4605" xr:uid="{8DFEA3DC-6DD7-406F-A824-301219EEB59C}"/>
    <cellStyle name="Comma 4 4 4 6 5" xfId="3330" xr:uid="{913368CB-6886-4444-81F0-C58B6007792D}"/>
    <cellStyle name="Comma 4 4 4 7" xfId="1286" xr:uid="{8D30E6E0-B5E2-405E-91EA-CF063C84B23A}"/>
    <cellStyle name="Comma 4 4 4 7 2" xfId="2948" xr:uid="{F18807EB-D47A-4DAE-8371-B03E72FB4B6E}"/>
    <cellStyle name="Comma 4 4 4 7 2 2" xfId="5001" xr:uid="{260015D7-D5FB-4156-9940-A1F19F26E4DE}"/>
    <cellStyle name="Comma 4 4 4 7 3" xfId="3642" xr:uid="{E1BBEC43-59D1-4DE1-80AB-6319B5B9F987}"/>
    <cellStyle name="Comma 4 4 4 8" xfId="1710" xr:uid="{2BBF6E2D-2ECD-4B37-910C-2D4BEB77421E}"/>
    <cellStyle name="Comma 4 4 4 8 2" xfId="4030" xr:uid="{3513A707-F931-479C-8F54-262AA4A735F0}"/>
    <cellStyle name="Comma 4 4 4 9" xfId="2305" xr:uid="{F642A3FD-FD9D-42CC-AD5F-B886C76456CC}"/>
    <cellStyle name="Comma 4 4 4 9 2" xfId="4467" xr:uid="{A6BBB721-B3A9-465B-B20C-5CDD18E2E193}"/>
    <cellStyle name="Comma 4 4 5" xfId="280" xr:uid="{05E24242-4249-4F7D-BFB0-3DA10280F374}"/>
    <cellStyle name="Comma 4 4 6" xfId="5291" xr:uid="{0510618D-BCF8-403D-862C-C25E662258E5}"/>
    <cellStyle name="Comma 4 4 7" xfId="5342" xr:uid="{575C486B-C014-48BE-8CEB-C6F8A5A34DEE}"/>
    <cellStyle name="Comma 4 5" xfId="281" xr:uid="{6A6BA032-7FB0-4B5C-B072-37349F295EC8}"/>
    <cellStyle name="Comma 4 5 2" xfId="282" xr:uid="{783A174C-56A6-4172-8DC4-251C16C7C14D}"/>
    <cellStyle name="Comma 4 5 3" xfId="283" xr:uid="{A4980A83-C7B3-49C9-93BF-33B7D1A0A76D}"/>
    <cellStyle name="Comma 4 5 4" xfId="927" xr:uid="{08EBF383-3194-44C6-A4B9-812E8820F4F5}"/>
    <cellStyle name="Comma 4 5 5" xfId="889" xr:uid="{5BD17001-070E-4C38-9ABA-50B95977D9E8}"/>
    <cellStyle name="Comma 4 6" xfId="284" xr:uid="{0E6406E6-FDC8-4FB5-84C0-EC2E80009903}"/>
    <cellStyle name="Comma 4 7" xfId="285" xr:uid="{8916BC3A-02E0-4718-8CC4-E7DC93727FB6}"/>
    <cellStyle name="Comma 4 7 10" xfId="3255" xr:uid="{FC544251-373A-45BB-A517-4F1C84E94759}"/>
    <cellStyle name="Comma 4 7 2" xfId="835" xr:uid="{D7359AFE-DE0D-47BC-BA37-F4A4AE4CF7C8}"/>
    <cellStyle name="Comma 4 7 2 2" xfId="1103" xr:uid="{B9C96C34-A881-4BEB-8B02-30B0B6CE481F}"/>
    <cellStyle name="Comma 4 7 2 2 2" xfId="1520" xr:uid="{8C49B38A-E200-4D21-BEAB-1240F0F2AB94}"/>
    <cellStyle name="Comma 4 7 2 2 2 2" xfId="2689" xr:uid="{7611B197-53F2-4725-9F2C-60D2A041B9A0}"/>
    <cellStyle name="Comma 4 7 2 2 2 2 2" xfId="4759" xr:uid="{99BB5B72-9F87-4BE9-BDAE-E2D03564F4E6}"/>
    <cellStyle name="Comma 4 7 2 2 2 3" xfId="3855" xr:uid="{27A8F7CC-C5DE-45A1-B189-ADCA04E79895}"/>
    <cellStyle name="Comma 4 7 2 2 3" xfId="1926" xr:uid="{DB06EB8E-3A06-47B2-9CB3-B490D903400B}"/>
    <cellStyle name="Comma 4 7 2 2 3 2" xfId="3072" xr:uid="{8D5CF707-25AD-4F48-AD9A-C60566FE23CC}"/>
    <cellStyle name="Comma 4 7 2 2 3 2 2" xfId="5121" xr:uid="{17D43A75-7281-4CBB-B2AC-0632CA172414}"/>
    <cellStyle name="Comma 4 7 2 2 3 3" xfId="4243" xr:uid="{51F65EE9-3FE2-4A7E-9148-CD8D16F44EA2}"/>
    <cellStyle name="Comma 4 7 2 2 4" xfId="2439" xr:uid="{0D8D254B-8F5B-4FB6-A05A-48492A400B37}"/>
    <cellStyle name="Comma 4 7 2 2 4 2" xfId="4540" xr:uid="{77C9FD49-A9C7-472C-8ACD-C3BF452455CB}"/>
    <cellStyle name="Comma 4 7 2 2 5" xfId="3467" xr:uid="{C0699A0E-9E56-4C9E-A4F0-3A9E661AFB9D}"/>
    <cellStyle name="Comma 4 7 2 3" xfId="1210" xr:uid="{23D28E78-E743-4198-A517-64719BA5BB4D}"/>
    <cellStyle name="Comma 4 7 2 3 2" xfId="1625" xr:uid="{AAC98878-F460-41D4-80E2-4A99B529B4D8}"/>
    <cellStyle name="Comma 4 7 2 3 2 2" xfId="3177" xr:uid="{C3315F60-8A71-451A-B478-290A7AFD7D8B}"/>
    <cellStyle name="Comma 4 7 2 3 2 2 2" xfId="5226" xr:uid="{5AAEF531-2603-49B5-8E93-97DCC77425ED}"/>
    <cellStyle name="Comma 4 7 2 3 2 3" xfId="3960" xr:uid="{CBDB2DA4-1B75-4BB5-864D-E7C1F5B0C5E6}"/>
    <cellStyle name="Comma 4 7 2 3 3" xfId="2031" xr:uid="{9C8F4580-0B80-4F48-A12B-F5591EC84C9B}"/>
    <cellStyle name="Comma 4 7 2 3 3 2" xfId="4348" xr:uid="{9C7B3241-A4F3-4D47-93B0-8486E8C302B5}"/>
    <cellStyle name="Comma 4 7 2 3 4" xfId="2581" xr:uid="{F4B3C182-80A4-4B8B-8260-621BEAF3E904}"/>
    <cellStyle name="Comma 4 7 2 3 4 2" xfId="4657" xr:uid="{5658E92F-76A8-4ED2-BEA1-FBAE4F41B150}"/>
    <cellStyle name="Comma 4 7 2 3 5" xfId="3572" xr:uid="{BA4A29BB-A3A0-42F9-A64A-546156555527}"/>
    <cellStyle name="Comma 4 7 2 4" xfId="980" xr:uid="{A1EF33C3-FF55-46F5-A655-CCFD9A2A8B5C}"/>
    <cellStyle name="Comma 4 7 2 4 2" xfId="1415" xr:uid="{5DACEBCF-ED81-43FF-875A-2BD7D6E0E2C9}"/>
    <cellStyle name="Comma 4 7 2 4 2 2" xfId="2877" xr:uid="{DEDAB07C-B513-4C87-9A14-AEED35FCA37E}"/>
    <cellStyle name="Comma 4 7 2 4 2 2 2" xfId="4931" xr:uid="{76EC41BB-3F12-465E-BC6D-13FD4B370FF5}"/>
    <cellStyle name="Comma 4 7 2 4 2 3" xfId="3750" xr:uid="{9B7BA550-7564-452F-A048-ECE4215D84AC}"/>
    <cellStyle name="Comma 4 7 2 4 3" xfId="1821" xr:uid="{DEF17D4B-CC2B-4513-A382-1F899BDB6930}"/>
    <cellStyle name="Comma 4 7 2 4 3 2" xfId="4138" xr:uid="{20E69120-A3C3-42E7-908B-DF85662D3505}"/>
    <cellStyle name="Comma 4 7 2 4 4" xfId="2612" xr:uid="{1360852C-2ED5-4277-B540-A093F964F688}"/>
    <cellStyle name="Comma 4 7 2 4 4 2" xfId="4682" xr:uid="{A25E590E-98D7-48CB-8E53-52DC78867B39}"/>
    <cellStyle name="Comma 4 7 2 4 5" xfId="3362" xr:uid="{A1BE7B0B-DB29-481D-B2BE-4F503E30170D}"/>
    <cellStyle name="Comma 4 7 2 5" xfId="1341" xr:uid="{C6507C22-90E8-4872-89F8-FB1100A8BCF9}"/>
    <cellStyle name="Comma 4 7 2 5 2" xfId="2950" xr:uid="{57341C48-0043-4DC5-826E-328D76E8436B}"/>
    <cellStyle name="Comma 4 7 2 5 2 2" xfId="5003" xr:uid="{17977B69-0E31-48D7-BB6E-2476C76E9827}"/>
    <cellStyle name="Comma 4 7 2 5 3" xfId="3677" xr:uid="{AE461DC1-8659-4848-BFD6-A94B52A7AD1E}"/>
    <cellStyle name="Comma 4 7 2 6" xfId="1748" xr:uid="{94FC45AD-326D-4961-B8AE-8A65811301EC}"/>
    <cellStyle name="Comma 4 7 2 6 2" xfId="4065" xr:uid="{8A88A528-8EB4-4CA5-802A-84912F4360AC}"/>
    <cellStyle name="Comma 4 7 2 7" xfId="2306" xr:uid="{618D8ADF-BFFC-4ACC-B2FA-6F4CB55EDE91}"/>
    <cellStyle name="Comma 4 7 2 7 2" xfId="4468" xr:uid="{C85E0778-4642-4253-8B1F-2AA99DAE91D9}"/>
    <cellStyle name="Comma 4 7 2 8" xfId="3289" xr:uid="{C6DA8555-BAD1-4FEB-8DD8-9D5C2A4677C6}"/>
    <cellStyle name="Comma 4 7 3" xfId="1019" xr:uid="{593D406E-5CE8-4902-8CD4-393A8038CA86}"/>
    <cellStyle name="Comma 4 7 3 2" xfId="1137" xr:uid="{828C62DB-5BF6-44B4-95AD-5AB319D7D17A}"/>
    <cellStyle name="Comma 4 7 3 2 2" xfId="1554" xr:uid="{AB9C30D4-D6DD-4292-86A9-7BA432610DD8}"/>
    <cellStyle name="Comma 4 7 3 2 2 2" xfId="3106" xr:uid="{EAAEBB99-587E-41AD-B5B4-B300C713F4FB}"/>
    <cellStyle name="Comma 4 7 3 2 2 2 2" xfId="5155" xr:uid="{4E1E01C7-D459-4E09-AA9C-B485F8BCC72A}"/>
    <cellStyle name="Comma 4 7 3 2 2 3" xfId="3889" xr:uid="{6C23E524-50B0-4DED-8084-4A448D571216}"/>
    <cellStyle name="Comma 4 7 3 2 3" xfId="1960" xr:uid="{32786E11-3235-48E6-B600-9043D4B18026}"/>
    <cellStyle name="Comma 4 7 3 2 3 2" xfId="4277" xr:uid="{4CEF9A80-EC0D-4679-A4CB-3BF791EB3903}"/>
    <cellStyle name="Comma 4 7 3 2 4" xfId="2722" xr:uid="{ECACBCCC-5A70-4390-BBB3-5433A2D50C4E}"/>
    <cellStyle name="Comma 4 7 3 2 4 2" xfId="4792" xr:uid="{57B82C15-C5C4-449F-A0BA-B3403C1EAD97}"/>
    <cellStyle name="Comma 4 7 3 2 5" xfId="3501" xr:uid="{0DDC975C-0B0F-4DBD-9F21-9BA5D3C4716F}"/>
    <cellStyle name="Comma 4 7 3 3" xfId="1248" xr:uid="{0D6F210E-B6ED-4773-AE33-19EA2F5018C3}"/>
    <cellStyle name="Comma 4 7 3 3 2" xfId="1659" xr:uid="{E3CD4A10-7E7B-4F91-B2F4-66C1C4FB0DB3}"/>
    <cellStyle name="Comma 4 7 3 3 2 2" xfId="3211" xr:uid="{05573C8D-9334-4F86-8ECD-0FE4AE8BA0D3}"/>
    <cellStyle name="Comma 4 7 3 3 2 2 2" xfId="5260" xr:uid="{B4E7E45D-676F-4E3A-925E-E6C5D099C78A}"/>
    <cellStyle name="Comma 4 7 3 3 2 3" xfId="3994" xr:uid="{E36854C4-600E-4283-8158-9A51106609B9}"/>
    <cellStyle name="Comma 4 7 3 3 3" xfId="2065" xr:uid="{54C298DC-D9E6-4AF4-A31A-C3F9A0D17E8B}"/>
    <cellStyle name="Comma 4 7 3 3 3 2" xfId="4382" xr:uid="{0AFA7BD0-9EB4-432B-9214-C7A8A084A9AB}"/>
    <cellStyle name="Comma 4 7 3 3 4" xfId="2798" xr:uid="{C47DA417-E287-4F9F-81C1-30F4DE113FB9}"/>
    <cellStyle name="Comma 4 7 3 3 4 2" xfId="4868" xr:uid="{D5E553AE-A04B-4E25-9B2C-39D0CE9BC964}"/>
    <cellStyle name="Comma 4 7 3 3 5" xfId="3606" xr:uid="{E3F91B59-26F2-4AE9-A54A-C1AAA1B45395}"/>
    <cellStyle name="Comma 4 7 3 4" xfId="1449" xr:uid="{EDC810E1-880F-4709-B538-2A702196A0D0}"/>
    <cellStyle name="Comma 4 7 3 4 2" xfId="3002" xr:uid="{1E63F96A-CF73-45AF-97D2-15FE1A534BBC}"/>
    <cellStyle name="Comma 4 7 3 4 2 2" xfId="5052" xr:uid="{A1C02B5F-0297-4340-BC81-3CE30C4DEF2A}"/>
    <cellStyle name="Comma 4 7 3 4 3" xfId="3784" xr:uid="{1D59F524-FED5-4516-B74E-244F623451A2}"/>
    <cellStyle name="Comma 4 7 3 5" xfId="1855" xr:uid="{22DC5A92-5669-4B26-BCA0-E1365FF8A708}"/>
    <cellStyle name="Comma 4 7 3 5 2" xfId="4172" xr:uid="{C73BB4C7-3AA9-446F-B590-D14F637FD7E8}"/>
    <cellStyle name="Comma 4 7 3 6" xfId="2640" xr:uid="{A9097120-D276-4929-A0A7-79D5955918CC}"/>
    <cellStyle name="Comma 4 7 3 6 2" xfId="4710" xr:uid="{BEA16E7A-4DA8-412C-9EB6-1E57D99A583E}"/>
    <cellStyle name="Comma 4 7 3 7" xfId="3396" xr:uid="{43914642-ABEE-4D53-9435-60223C02A727}"/>
    <cellStyle name="Comma 4 7 4" xfId="1072" xr:uid="{19D76BFC-8550-4528-AC97-501B33E47235}"/>
    <cellStyle name="Comma 4 7 4 2" xfId="1489" xr:uid="{51E71819-C725-4B82-AB8E-D9A2BF1AE0B3}"/>
    <cellStyle name="Comma 4 7 4 2 2" xfId="3041" xr:uid="{A2B8BBD4-A9D1-472D-BCF1-977E67F40FE2}"/>
    <cellStyle name="Comma 4 7 4 2 2 2" xfId="5091" xr:uid="{3E0F8572-9657-4CB2-A4CB-751D5722DF77}"/>
    <cellStyle name="Comma 4 7 4 2 3" xfId="3824" xr:uid="{E69ECBF6-F638-40ED-B064-D67B96C22B0F}"/>
    <cellStyle name="Comma 4 7 4 3" xfId="1895" xr:uid="{2806551C-2AC4-450F-BB38-A213983E3649}"/>
    <cellStyle name="Comma 4 7 4 3 2" xfId="4212" xr:uid="{53B40F62-0967-447C-B0B3-839ACF5A15DA}"/>
    <cellStyle name="Comma 4 7 4 4" xfId="2665" xr:uid="{B270EF2F-D155-490A-8BCD-14698E50AA4B}"/>
    <cellStyle name="Comma 4 7 4 4 2" xfId="4735" xr:uid="{E19259B3-3B47-4C22-8CDA-C5B7833FA55D}"/>
    <cellStyle name="Comma 4 7 4 5" xfId="3436" xr:uid="{E2F2E15E-CD40-4823-8589-76564C23DE1B}"/>
    <cellStyle name="Comma 4 7 5" xfId="1178" xr:uid="{DDF45CF0-6BF6-42BB-9CE6-08185DCC0243}"/>
    <cellStyle name="Comma 4 7 5 2" xfId="1594" xr:uid="{16B89FDD-4938-45CB-9591-C3A3D9450E1F}"/>
    <cellStyle name="Comma 4 7 5 2 2" xfId="3146" xr:uid="{4BB0BA03-D6EE-4075-B5D0-7D080AC0F4FB}"/>
    <cellStyle name="Comma 4 7 5 2 2 2" xfId="5195" xr:uid="{71DE89B7-1044-4214-BFF2-A709B19AAC4F}"/>
    <cellStyle name="Comma 4 7 5 2 3" xfId="3929" xr:uid="{7B519578-77E5-4861-8F19-F4E79F2BFEB1}"/>
    <cellStyle name="Comma 4 7 5 3" xfId="2000" xr:uid="{51FCAA98-375F-4454-A80A-E073A351D940}"/>
    <cellStyle name="Comma 4 7 5 3 2" xfId="4317" xr:uid="{1089D1D2-6D41-4F43-949C-9174042CC6AF}"/>
    <cellStyle name="Comma 4 7 5 4" xfId="2761" xr:uid="{9F434261-2F18-45C1-BD59-06208E23B57D}"/>
    <cellStyle name="Comma 4 7 5 4 2" xfId="4831" xr:uid="{43132242-804A-4E4A-ADBC-27DB5EC02CC3}"/>
    <cellStyle name="Comma 4 7 5 5" xfId="3541" xr:uid="{7E2FE84D-60A8-4082-B7EA-CF4DEE8C0E88}"/>
    <cellStyle name="Comma 4 7 6" xfId="928" xr:uid="{6CE6B2A6-65AC-4477-A45A-D4499C11A394}"/>
    <cellStyle name="Comma 4 7 6 2" xfId="1383" xr:uid="{CABE9891-FF7C-4380-9696-2B91EE502A2E}"/>
    <cellStyle name="Comma 4 7 6 2 2" xfId="2970" xr:uid="{8813A872-8274-4492-8AFB-DA94F71515B8}"/>
    <cellStyle name="Comma 4 7 6 2 2 2" xfId="5021" xr:uid="{3E5583B1-5F9D-4EFC-A007-BCE49C8A42D1}"/>
    <cellStyle name="Comma 4 7 6 2 3" xfId="3719" xr:uid="{3177D8AE-FA25-4EC7-888A-B11977D70CA7}"/>
    <cellStyle name="Comma 4 7 6 3" xfId="1790" xr:uid="{D8C5FF5D-2777-4A28-957A-D80465C48FD5}"/>
    <cellStyle name="Comma 4 7 6 3 2" xfId="4107" xr:uid="{9906FF84-F9A5-4C52-855F-D22739BB3614}"/>
    <cellStyle name="Comma 4 7 6 4" xfId="2489" xr:uid="{86CDBE8E-4FFD-4383-A935-4C8F52F94CC5}"/>
    <cellStyle name="Comma 4 7 6 4 2" xfId="4581" xr:uid="{3A0D0510-3106-47C3-8050-2375F4752220}"/>
    <cellStyle name="Comma 4 7 6 5" xfId="3331" xr:uid="{030DCD63-70D0-4DF7-AC77-798496075151}"/>
    <cellStyle name="Comma 4 7 7" xfId="1287" xr:uid="{6FAA8531-3EF8-44DF-8258-9A3A75AC2C45}"/>
    <cellStyle name="Comma 4 7 7 2" xfId="3643" xr:uid="{BC5B15D0-6AA7-4856-9238-6B0DD5DCB427}"/>
    <cellStyle name="Comma 4 7 8" xfId="1711" xr:uid="{D0D88255-E54C-4095-9465-2533591E9BE4}"/>
    <cellStyle name="Comma 4 7 8 2" xfId="4031" xr:uid="{23F7AF22-92FF-49BB-A110-4CC0A3AED683}"/>
    <cellStyle name="Comma 4 7 9" xfId="2156" xr:uid="{1E8AC514-07E7-4605-9D35-D2E06F1DC9C7}"/>
    <cellStyle name="Comma 4 8" xfId="286" xr:uid="{D9B6ABC8-C129-4A68-8EC0-46EC9C6CF3C2}"/>
    <cellStyle name="Comma 4 8 2" xfId="2307" xr:uid="{96196B35-1697-4C47-9C12-4379AF2E22C8}"/>
    <cellStyle name="Comma 4 8 3" xfId="2157" xr:uid="{A7776B2E-7F45-4FF1-9AF7-2460B5828EED}"/>
    <cellStyle name="Comma 4 9" xfId="2207" xr:uid="{BB0BCE64-36D1-4636-805E-64E74851516A}"/>
    <cellStyle name="Comma 4 9 2" xfId="2237" xr:uid="{9CFCC177-89FC-4C6E-97CD-7589975570AE}"/>
    <cellStyle name="Comma 4 9 2 2" xfId="2429" xr:uid="{48834C6C-CE9A-4267-8F7A-6737EC1D59C4}"/>
    <cellStyle name="Comma 4 9 2 2 2" xfId="4530" xr:uid="{29AAEBFC-C4E4-401F-83C8-DC8FEC70485E}"/>
    <cellStyle name="Comma 4 9 2 3" xfId="2563" xr:uid="{83DE87A3-26CF-420F-85C6-D6035D30B21F}"/>
    <cellStyle name="Comma 4 9 2 3 2" xfId="4642" xr:uid="{569A478E-F457-40F8-A0C0-BDA8F6FB4F27}"/>
    <cellStyle name="Comma 4 9 2 4" xfId="2928" xr:uid="{4487E88B-3CDE-4E28-8E7C-1B5ACA3536EF}"/>
    <cellStyle name="Comma 4 9 2 4 2" xfId="4982" xr:uid="{E3B368AD-AE3E-4434-A47F-6F9427F82181}"/>
    <cellStyle name="Comma 4 9 2 5" xfId="4458" xr:uid="{1A8498E2-98F1-4DB2-B3EC-75D2C691DFEF}"/>
    <cellStyle name="Comma 4 9 3" xfId="2308" xr:uid="{5C6069B1-81B6-4979-B0AE-62AFF2C14B38}"/>
    <cellStyle name="Comma 4 9 4" xfId="2401" xr:uid="{86C74215-9669-4D22-B288-DAFFFA849673}"/>
    <cellStyle name="Comma 4 9 4 2" xfId="4502" xr:uid="{261D75A7-E491-4DA0-BDF3-8713B7800773}"/>
    <cellStyle name="Comma 4 9 5" xfId="2534" xr:uid="{6F54E161-4F69-499E-AAFF-2C5B20922C5E}"/>
    <cellStyle name="Comma 4 9 5 2" xfId="4614" xr:uid="{C13E9178-3234-45F4-B05B-4CFFADD37F39}"/>
    <cellStyle name="Comma 4 9 6" xfId="2900" xr:uid="{B662F113-7BDF-44F2-B3AE-D1637913E06B}"/>
    <cellStyle name="Comma 4 9 6 2" xfId="4954" xr:uid="{24412945-0B4C-4D00-9923-1EEB9AADC2A4}"/>
    <cellStyle name="Comma 4 9 7" xfId="4430" xr:uid="{967F01FF-E72A-46CC-95FC-521E4078A359}"/>
    <cellStyle name="Comma 5" xfId="287" xr:uid="{BA17E06D-AFAF-41E3-A194-61BCA2A4C686}"/>
    <cellStyle name="Comma 5 2" xfId="288" xr:uid="{8574FD00-C2A0-48B0-B3CD-EAB1D416AA4E}"/>
    <cellStyle name="Comma 5 2 2" xfId="289" xr:uid="{91F7D60D-8D7E-47C1-A076-0DDA70839F19}"/>
    <cellStyle name="Comma 5 2 2 2" xfId="290" xr:uid="{5620437E-52AB-4CA4-9B45-E946A424303F}"/>
    <cellStyle name="Comma 5 2 3" xfId="291" xr:uid="{7E9E3B7F-5C79-4D90-822F-A79354AF6875}"/>
    <cellStyle name="Comma 5 2 3 2" xfId="292" xr:uid="{0F383DCD-FE3B-4DEA-8D8F-B96D66259B8C}"/>
    <cellStyle name="Comma 5 2 3 3" xfId="293" xr:uid="{3B32C814-06E2-4659-9467-6A27B4A02FB7}"/>
    <cellStyle name="Comma 5 2 3 3 2" xfId="294" xr:uid="{52945CC2-B078-4A04-905F-0D92072AB777}"/>
    <cellStyle name="Comma 5 2 3 4" xfId="295" xr:uid="{698F23B6-E07D-4588-B8C8-90F989D69E13}"/>
    <cellStyle name="Comma 5 2 3 5" xfId="296" xr:uid="{3872F962-95BA-4F4D-A2E8-90FDF4BD0DB5}"/>
    <cellStyle name="Comma 5 2 3 6" xfId="297" xr:uid="{96EC3A81-266B-4351-959A-5BB3AB315F59}"/>
    <cellStyle name="Comma 5 2 3 6 2" xfId="2491" xr:uid="{128316C8-D20C-4525-AD5D-E7A37664D83F}"/>
    <cellStyle name="Comma 5 2 3 6 3" xfId="2309" xr:uid="{35ED9374-FCAB-4CB8-97EA-2C91CDD7419F}"/>
    <cellStyle name="Comma 5 2 3 7" xfId="2310" xr:uid="{88475A22-0EA5-4C5F-82AF-CCBED4F8BF7F}"/>
    <cellStyle name="Comma 5 2 3 8" xfId="5294" xr:uid="{B66A2845-05C4-4EDD-ABC1-75AF3D87B293}"/>
    <cellStyle name="Comma 5 2 4" xfId="298" xr:uid="{FE9667ED-2059-4E41-A953-8D3DC342913C}"/>
    <cellStyle name="Comma 5 2 4 2" xfId="299" xr:uid="{FC1B33B8-0FE0-4448-95F5-15F380369CC0}"/>
    <cellStyle name="Comma 5 2 4 2 2" xfId="2311" xr:uid="{567DE941-B5F5-47B9-8EFD-0A78773DA293}"/>
    <cellStyle name="Comma 5 2 4 2 3" xfId="2158" xr:uid="{06C25A26-5E4E-46A6-A587-9CE5C1759329}"/>
    <cellStyle name="Comma 5 2 4 3" xfId="300" xr:uid="{D1CFA343-A643-4F30-9BC2-0BA48243B348}"/>
    <cellStyle name="Comma 5 2 4 4" xfId="301" xr:uid="{E6B848AE-2EF8-4E00-8451-CDE2CE276BDC}"/>
    <cellStyle name="Comma 5 2 4 4 2" xfId="2312" xr:uid="{380E5B54-8319-4585-881C-56F83D85494D}"/>
    <cellStyle name="Comma 5 2 4 4 3" xfId="2159" xr:uid="{908131C4-864E-41B3-990E-DCF8A7F5D440}"/>
    <cellStyle name="Comma 5 2 5" xfId="302" xr:uid="{AA93F2F1-EDBA-4790-A504-2B3DB9B990D9}"/>
    <cellStyle name="Comma 5 2 5 2" xfId="2586" xr:uid="{E826AFF2-B20A-4080-8F02-B7ACF67A7993}"/>
    <cellStyle name="Comma 5 2 5 3" xfId="2313" xr:uid="{488FAC45-5749-4B24-9B95-66EDD9C85DC5}"/>
    <cellStyle name="Comma 5 2 6" xfId="5293" xr:uid="{5E0215B9-A421-4AD4-BDCC-0D2EF11F44B7}"/>
    <cellStyle name="Comma 5 3" xfId="303" xr:uid="{0CDE4588-682E-4F75-81EC-7E805900EBF4}"/>
    <cellStyle name="Comma 5 3 2" xfId="304" xr:uid="{7FBBF905-CFCB-4DBE-9BEE-8BB938CD00D1}"/>
    <cellStyle name="Comma 5 3 2 2" xfId="305" xr:uid="{5993A523-5B50-49D9-AE71-0177F77BCE77}"/>
    <cellStyle name="Comma 5 3 2 2 2" xfId="929" xr:uid="{B90CCADF-A575-41F4-8907-AC51E2949E2C}"/>
    <cellStyle name="Comma 5 3 2 2 2 2" xfId="2473" xr:uid="{232BD9E9-A50E-4342-AB9F-D6131226BD0C}"/>
    <cellStyle name="Comma 5 3 2 2 2 3" xfId="2160" xr:uid="{43EF3F6D-63C3-4020-959F-702EADAB2366}"/>
    <cellStyle name="Comma 5 3 2 2 3" xfId="891" xr:uid="{1EBA4678-8366-467F-AAE4-7A05F85D5305}"/>
    <cellStyle name="Comma 5 3 2 2 3 2" xfId="2593" xr:uid="{163109FC-39F4-4DD7-99E9-F9EF0AAC9947}"/>
    <cellStyle name="Comma 5 3 2 2 3 3" xfId="2314" xr:uid="{F0A4D651-63B7-4F0D-A73B-9EA371BF8930}"/>
    <cellStyle name="Comma 5 3 2 3" xfId="306" xr:uid="{A4776F4A-4391-405B-8AE5-47578BC2C0C3}"/>
    <cellStyle name="Comma 5 3 2 4" xfId="307" xr:uid="{E35A584C-8AB2-4FC5-9B56-9500699A75A3}"/>
    <cellStyle name="Comma 5 3 2 4 2" xfId="836" xr:uid="{5C68305B-3BE3-45E7-AEB0-5D5E66B93A7A}"/>
    <cellStyle name="Comma 5 3 2 4 2 2" xfId="2083" xr:uid="{4077D77C-3AFB-40B2-AE00-7D9AF83CBAD8}"/>
    <cellStyle name="Comma 5 3 2 4 3" xfId="5296" xr:uid="{961F84D3-141B-461E-A8B9-5B045413259B}"/>
    <cellStyle name="Comma 5 3 2 5" xfId="2315" xr:uid="{9D10AA7A-85FA-4902-8016-5AF8B4452590}"/>
    <cellStyle name="Comma 5 3 2 6" xfId="5295" xr:uid="{97429164-67E5-4533-94C1-550751E67869}"/>
    <cellStyle name="Comma 5 4" xfId="308" xr:uid="{CFB0555D-9D83-41DA-97AC-E55BA192C7F7}"/>
    <cellStyle name="Comma 5 4 2" xfId="309" xr:uid="{31428AF6-E47E-4446-A725-FB81BCC3FCB8}"/>
    <cellStyle name="Comma 5 4 2 2" xfId="837" xr:uid="{E5E84261-C491-420A-B366-26FEDB3BCCC3}"/>
    <cellStyle name="Comma 5 4 2 2 2" xfId="1073" xr:uid="{61E85AF1-059B-4B01-8BAB-4984F3D63A60}"/>
    <cellStyle name="Comma 5 4 2 2 2 2" xfId="1490" xr:uid="{05517714-6CA4-49F8-B7AF-700DEA660C78}"/>
    <cellStyle name="Comma 5 4 2 2 2 2 2" xfId="3042" xr:uid="{D2359FA0-454A-42AF-A951-09D52BD37C4C}"/>
    <cellStyle name="Comma 5 4 2 2 2 2 2 2" xfId="5092" xr:uid="{A0B72670-73AA-4D3A-8485-5DACFFB9BDB5}"/>
    <cellStyle name="Comma 5 4 2 2 2 2 3" xfId="3825" xr:uid="{EAB30E6B-90B9-4F3B-8639-F508A14B1A79}"/>
    <cellStyle name="Comma 5 4 2 2 2 3" xfId="1896" xr:uid="{14665A9D-DC07-430D-908F-3C939FF99C60}"/>
    <cellStyle name="Comma 5 4 2 2 2 3 2" xfId="4213" xr:uid="{5EF77D14-D417-4794-9CBC-EB961B9F0091}"/>
    <cellStyle name="Comma 5 4 2 2 2 4" xfId="2666" xr:uid="{DE60D54D-6F69-405C-8392-29849BD565D5}"/>
    <cellStyle name="Comma 5 4 2 2 2 4 2" xfId="4736" xr:uid="{35356DC0-DD2E-4EFA-8BFC-F7625590AAF3}"/>
    <cellStyle name="Comma 5 4 2 2 2 5" xfId="3437" xr:uid="{A2B92E36-1F60-4083-B4A3-DF72508ACF06}"/>
    <cellStyle name="Comma 5 4 2 2 3" xfId="1179" xr:uid="{CA9F0B19-F447-4648-B223-5D702B474666}"/>
    <cellStyle name="Comma 5 4 2 2 3 2" xfId="1595" xr:uid="{6EA8EB09-B098-4C6C-9638-75D661B0A958}"/>
    <cellStyle name="Comma 5 4 2 2 3 2 2" xfId="3147" xr:uid="{18DDA595-4540-4858-BB9E-378AE8AED5B0}"/>
    <cellStyle name="Comma 5 4 2 2 3 2 2 2" xfId="5196" xr:uid="{3BC21618-1582-4645-8F2D-4BC95F6F62F5}"/>
    <cellStyle name="Comma 5 4 2 2 3 2 3" xfId="3930" xr:uid="{EFF061D0-96E4-4648-9765-590C54FD6689}"/>
    <cellStyle name="Comma 5 4 2 2 3 3" xfId="2001" xr:uid="{CCE06B37-0D75-4FD6-8F65-D2560FEA899A}"/>
    <cellStyle name="Comma 5 4 2 2 3 3 2" xfId="4318" xr:uid="{DD3878C9-7739-4B05-86BF-7A022AC1ECA7}"/>
    <cellStyle name="Comma 5 4 2 2 3 4" xfId="2762" xr:uid="{5259A8E7-B50E-4B1A-9987-415C7741DA8A}"/>
    <cellStyle name="Comma 5 4 2 2 3 4 2" xfId="4832" xr:uid="{9E5B6043-10D2-478C-9AFC-66AA147CA62B}"/>
    <cellStyle name="Comma 5 4 2 2 3 5" xfId="3542" xr:uid="{54D515C8-8882-4746-9218-5143446FFE8F}"/>
    <cellStyle name="Comma 5 4 2 2 4" xfId="930" xr:uid="{F78D4B28-BB02-4B1C-A05B-704FFA74529D}"/>
    <cellStyle name="Comma 5 4 2 2 4 2" xfId="1384" xr:uid="{3A28E7F3-B2A5-4177-8F39-0204A0CA7442}"/>
    <cellStyle name="Comma 5 4 2 2 4 2 2" xfId="2895" xr:uid="{59627621-43C4-43A4-947C-CFE5DA9F40D9}"/>
    <cellStyle name="Comma 5 4 2 2 4 2 2 2" xfId="4949" xr:uid="{3609EF87-BF99-4B67-85E0-7FDA0C435074}"/>
    <cellStyle name="Comma 5 4 2 2 4 2 3" xfId="3720" xr:uid="{FAE7DBAE-BC88-459E-86AA-91523F2B81DC}"/>
    <cellStyle name="Comma 5 4 2 2 4 3" xfId="1791" xr:uid="{71E899D7-84A4-455A-8643-79F0C14CFAC1}"/>
    <cellStyle name="Comma 5 4 2 2 4 3 2" xfId="4108" xr:uid="{B8BD4F24-F3B4-4631-BBE5-31B9B4734C1E}"/>
    <cellStyle name="Comma 5 4 2 2 4 4" xfId="2600" xr:uid="{1145C799-0667-4D4C-8453-A8B5EC17DC7F}"/>
    <cellStyle name="Comma 5 4 2 2 4 4 2" xfId="4671" xr:uid="{3A3E7B28-9115-448A-A1A8-5AAD3DD37C75}"/>
    <cellStyle name="Comma 5 4 2 2 4 5" xfId="3332" xr:uid="{ABEC10BD-8745-46A1-98D4-AF3EA3EC59A9}"/>
    <cellStyle name="Comma 5 4 2 2 5" xfId="1342" xr:uid="{DDEF7739-EBF8-4384-8945-D548664D61FD}"/>
    <cellStyle name="Comma 5 4 2 2 5 2" xfId="2467" xr:uid="{088BF84E-A21D-46C8-9E4E-3DA345D021FD}"/>
    <cellStyle name="Comma 5 4 2 2 5 2 2" xfId="4563" xr:uid="{19A5B6EC-E29E-4FBD-833C-4B2E76BB1067}"/>
    <cellStyle name="Comma 5 4 2 2 5 3" xfId="3678" xr:uid="{4F6D3D4D-9114-4C3F-9263-A4DAEA28AC71}"/>
    <cellStyle name="Comma 5 4 2 2 6" xfId="1749" xr:uid="{48569661-9E4A-40F9-8929-1D26769B0D78}"/>
    <cellStyle name="Comma 5 4 2 2 6 2" xfId="2868" xr:uid="{FF630B30-B583-4127-8911-82C58269AF29}"/>
    <cellStyle name="Comma 5 4 2 2 6 2 2" xfId="4924" xr:uid="{B11BA126-7EED-479C-BC8E-C51BCBAF4D0F}"/>
    <cellStyle name="Comma 5 4 2 2 6 3" xfId="4066" xr:uid="{671674C7-0C3A-4B90-A23F-1C148A4690FE}"/>
    <cellStyle name="Comma 5 4 2 2 7" xfId="2161" xr:uid="{E439EA89-B62C-45CC-927B-F2A9BCD117F5}"/>
    <cellStyle name="Comma 5 4 2 2 8" xfId="3290" xr:uid="{2DF8694C-0157-4822-B4C4-12A48A946FB8}"/>
    <cellStyle name="Comma 5 4 2 3" xfId="981" xr:uid="{8C4FC746-3E82-49C7-9882-B1A67BB535B6}"/>
    <cellStyle name="Comma 5 4 2 3 2" xfId="1104" xr:uid="{053AB8BF-DC7F-436F-BF3B-0130650132FD}"/>
    <cellStyle name="Comma 5 4 2 3 2 2" xfId="1521" xr:uid="{FD42D57F-E16D-4C5A-9F1B-C5379ACBDF35}"/>
    <cellStyle name="Comma 5 4 2 3 2 2 2" xfId="2690" xr:uid="{2DA325EC-C215-42A6-AB31-71E882A1B934}"/>
    <cellStyle name="Comma 5 4 2 3 2 2 2 2" xfId="4760" xr:uid="{EE9236DF-4298-4C37-AF78-2AEF4E770DCE}"/>
    <cellStyle name="Comma 5 4 2 3 2 2 3" xfId="3856" xr:uid="{371F58DB-58AA-46FE-B7B7-45AB1BDF044A}"/>
    <cellStyle name="Comma 5 4 2 3 2 3" xfId="1927" xr:uid="{9C196E42-B96E-4C71-8656-84C1E097C23C}"/>
    <cellStyle name="Comma 5 4 2 3 2 3 2" xfId="3073" xr:uid="{EB099BEB-DEE9-4830-B379-BB60807FB411}"/>
    <cellStyle name="Comma 5 4 2 3 2 3 2 2" xfId="5122" xr:uid="{F7FB8D12-33A7-4FAE-83DA-BC7200A8B833}"/>
    <cellStyle name="Comma 5 4 2 3 2 3 3" xfId="4244" xr:uid="{9A1337C3-2C07-408A-85BD-292314674066}"/>
    <cellStyle name="Comma 5 4 2 3 2 4" xfId="2440" xr:uid="{8333BEFD-A6DB-42A1-9FFE-4F7B8E83B1ED}"/>
    <cellStyle name="Comma 5 4 2 3 2 4 2" xfId="4541" xr:uid="{CB5BAD79-AE3B-4820-9176-0D9FE843F6E0}"/>
    <cellStyle name="Comma 5 4 2 3 2 5" xfId="3468" xr:uid="{5DE37E60-1397-41D2-A774-908E863148CD}"/>
    <cellStyle name="Comma 5 4 2 3 3" xfId="1211" xr:uid="{3BE85994-2567-4BAC-B2D3-15941A58F92A}"/>
    <cellStyle name="Comma 5 4 2 3 3 2" xfId="1626" xr:uid="{FC372FA4-E1AD-4632-BB3F-15832639A29A}"/>
    <cellStyle name="Comma 5 4 2 3 3 2 2" xfId="3178" xr:uid="{74BA138D-C904-4758-B5BB-56FF30C6893F}"/>
    <cellStyle name="Comma 5 4 2 3 3 2 2 2" xfId="5227" xr:uid="{843252DA-73CC-49FE-ABF9-31AD9872637A}"/>
    <cellStyle name="Comma 5 4 2 3 3 2 3" xfId="3961" xr:uid="{E254F320-5A86-4D5B-BE25-CC65C5ACC8A2}"/>
    <cellStyle name="Comma 5 4 2 3 3 3" xfId="2032" xr:uid="{F29FF1CC-6378-46F2-B988-55E0ADE7D96E}"/>
    <cellStyle name="Comma 5 4 2 3 3 3 2" xfId="4349" xr:uid="{7CC8D773-B923-459B-BFDC-B28CFE41DAD0}"/>
    <cellStyle name="Comma 5 4 2 3 3 4" xfId="2582" xr:uid="{7B58CB58-162F-4ED0-8074-19DECCA580F1}"/>
    <cellStyle name="Comma 5 4 2 3 3 4 2" xfId="4658" xr:uid="{CB162E6D-3D22-4FC0-901B-E9A7B636EB5E}"/>
    <cellStyle name="Comma 5 4 2 3 3 5" xfId="3573" xr:uid="{0635EE0F-5178-46C5-8C93-3225D1652A96}"/>
    <cellStyle name="Comma 5 4 2 3 4" xfId="1416" xr:uid="{FD4EA422-CAF1-47E7-B156-BCF3D47B7B32}"/>
    <cellStyle name="Comma 5 4 2 3 4 2" xfId="2951" xr:uid="{A755B9AD-3A9D-4F18-9464-7E1A1B7C99FF}"/>
    <cellStyle name="Comma 5 4 2 3 4 2 2" xfId="5004" xr:uid="{7627189C-AB42-4732-827B-34F76740C8D1}"/>
    <cellStyle name="Comma 5 4 2 3 4 3" xfId="3751" xr:uid="{5D1B4DD6-CD47-4F9E-8C75-3B4CAB17E9C9}"/>
    <cellStyle name="Comma 5 4 2 3 5" xfId="1822" xr:uid="{F5E4BA72-95B2-4CCD-9515-D75CC52120CD}"/>
    <cellStyle name="Comma 5 4 2 3 5 2" xfId="4139" xr:uid="{554599EB-549E-4457-A9F8-FA9CBAA57FB0}"/>
    <cellStyle name="Comma 5 4 2 3 6" xfId="2316" xr:uid="{84268EF3-B9E7-4E88-BD22-01E1A4E9BFF1}"/>
    <cellStyle name="Comma 5 4 2 3 6 2" xfId="4469" xr:uid="{46390D50-2F49-46CF-B756-AFE3A1E302F5}"/>
    <cellStyle name="Comma 5 4 2 3 7" xfId="3363" xr:uid="{8716216B-6BF5-40DC-B161-D685B0A48515}"/>
    <cellStyle name="Comma 5 4 2 4" xfId="1020" xr:uid="{1224108B-35C7-481F-97BB-B26B28E4338A}"/>
    <cellStyle name="Comma 5 4 2 4 2" xfId="1138" xr:uid="{E4FA3950-5934-4FD6-9A50-9F87C5B12590}"/>
    <cellStyle name="Comma 5 4 2 4 2 2" xfId="1555" xr:uid="{5ED671FE-C703-439F-971D-180766D1718B}"/>
    <cellStyle name="Comma 5 4 2 4 2 2 2" xfId="3107" xr:uid="{A058DF26-C407-46AD-8797-8C137217B9D6}"/>
    <cellStyle name="Comma 5 4 2 4 2 2 2 2" xfId="5156" xr:uid="{5665FA5A-320B-42E8-B1FC-C24A3EBCF01A}"/>
    <cellStyle name="Comma 5 4 2 4 2 2 3" xfId="3890" xr:uid="{3889A3B1-6B44-4B71-9796-F4EB4D33DF50}"/>
    <cellStyle name="Comma 5 4 2 4 2 3" xfId="1961" xr:uid="{85762190-8038-45C4-98E1-1CC75D49D705}"/>
    <cellStyle name="Comma 5 4 2 4 2 3 2" xfId="4278" xr:uid="{6B6D1661-8D0A-4168-B077-907135A0248E}"/>
    <cellStyle name="Comma 5 4 2 4 2 4" xfId="2723" xr:uid="{28D20B89-193E-4BDD-AB1F-15D7068D95F7}"/>
    <cellStyle name="Comma 5 4 2 4 2 4 2" xfId="4793" xr:uid="{E895DFC6-E6CE-4EEB-8E6C-C0338848620A}"/>
    <cellStyle name="Comma 5 4 2 4 2 5" xfId="3502" xr:uid="{D96A2054-BE80-4100-B4BA-794AF097BB27}"/>
    <cellStyle name="Comma 5 4 2 4 3" xfId="1249" xr:uid="{502F9FE7-DCF2-49D5-A6EE-6747C6B229B4}"/>
    <cellStyle name="Comma 5 4 2 4 3 2" xfId="1660" xr:uid="{146D5486-8B10-4AD8-91C9-72D108E93485}"/>
    <cellStyle name="Comma 5 4 2 4 3 2 2" xfId="3212" xr:uid="{412D2AE3-21D5-4C18-8F49-AC30D1631FAB}"/>
    <cellStyle name="Comma 5 4 2 4 3 2 2 2" xfId="5261" xr:uid="{38939A2B-C0DD-410C-9A28-AC3B40C27F1B}"/>
    <cellStyle name="Comma 5 4 2 4 3 2 3" xfId="3995" xr:uid="{FD6F842D-9201-41DA-838E-556E104A5437}"/>
    <cellStyle name="Comma 5 4 2 4 3 3" xfId="2066" xr:uid="{EBE2CCEA-D0BF-436C-AE23-BD86AD74DAA7}"/>
    <cellStyle name="Comma 5 4 2 4 3 3 2" xfId="4383" xr:uid="{63CD8CB5-E55E-4DEC-95E4-3ABD6AA2CE17}"/>
    <cellStyle name="Comma 5 4 2 4 3 4" xfId="2799" xr:uid="{141CDD67-FAA1-4263-B97D-E1BFB496600E}"/>
    <cellStyle name="Comma 5 4 2 4 3 4 2" xfId="4869" xr:uid="{81C1F826-FB3E-43AB-A75E-F08579E30DFB}"/>
    <cellStyle name="Comma 5 4 2 4 3 5" xfId="3607" xr:uid="{5704142B-61E8-48A7-9097-946F955CD7FD}"/>
    <cellStyle name="Comma 5 4 2 4 4" xfId="1450" xr:uid="{99F4CECC-A56E-4F5B-A0C5-60D0041ED8CD}"/>
    <cellStyle name="Comma 5 4 2 4 4 2" xfId="3003" xr:uid="{8849B0ED-F864-4F41-BB26-11714B4FCC92}"/>
    <cellStyle name="Comma 5 4 2 4 4 2 2" xfId="5053" xr:uid="{7EC70B06-75E8-4F4A-BB25-0F31B3ECE374}"/>
    <cellStyle name="Comma 5 4 2 4 4 3" xfId="3785" xr:uid="{EDE81816-926A-4FC8-B056-AB0DA19F9BB6}"/>
    <cellStyle name="Comma 5 4 2 4 5" xfId="1856" xr:uid="{6C0E0059-3AF1-4DA2-BC75-94CC853BFE2B}"/>
    <cellStyle name="Comma 5 4 2 4 5 2" xfId="4173" xr:uid="{AAF727C9-9D00-4126-B3DB-44D962426EF7}"/>
    <cellStyle name="Comma 5 4 2 4 6" xfId="2641" xr:uid="{AD8A87BB-6E14-4B0B-9811-65339CFC9DD2}"/>
    <cellStyle name="Comma 5 4 2 4 6 2" xfId="4711" xr:uid="{A04861D9-C592-4D05-A09E-261288A20318}"/>
    <cellStyle name="Comma 5 4 2 4 7" xfId="3397" xr:uid="{8A311A4A-53B4-49F9-839A-4EDB8CB516C0}"/>
    <cellStyle name="Comma 5 4 2 5" xfId="892" xr:uid="{8AB2BCE3-54A0-4006-AFA4-652BF8859D3C}"/>
    <cellStyle name="Comma 5 4 2 6" xfId="1288" xr:uid="{543337D3-509F-4665-A8A2-0D88BDE20858}"/>
    <cellStyle name="Comma 5 4 2 6 2" xfId="3644" xr:uid="{1C041C08-5B4E-41DA-AF12-B8A0F2A46B80}"/>
    <cellStyle name="Comma 5 4 2 7" xfId="1712" xr:uid="{9707F588-E263-4BCB-BA1C-1D0443A88ABB}"/>
    <cellStyle name="Comma 5 4 2 7 2" xfId="4032" xr:uid="{9619D495-E816-449B-8A68-8E0DCD6CD46C}"/>
    <cellStyle name="Comma 5 4 2 8" xfId="3256" xr:uid="{B0C68533-8462-4B7F-84BB-40EB0CD2685C}"/>
    <cellStyle name="Comma 5 4 3" xfId="310" xr:uid="{9B31200F-2545-4E09-900F-8E935F8A6A71}"/>
    <cellStyle name="Comma 5 4 4" xfId="311" xr:uid="{969B74C4-1545-4843-ADBE-064874273CB1}"/>
    <cellStyle name="Comma 5 4 4 10" xfId="3257" xr:uid="{33782A4E-8BEA-409B-A859-6E56D2C9FFC3}"/>
    <cellStyle name="Comma 5 4 4 2" xfId="838" xr:uid="{E6C70BE7-F09A-4D35-966B-97F8B0C8C2B2}"/>
    <cellStyle name="Comma 5 4 4 2 2" xfId="1105" xr:uid="{AC2E9A10-EE6C-4F0A-9321-57FB602758D2}"/>
    <cellStyle name="Comma 5 4 4 2 2 2" xfId="1522" xr:uid="{476567AB-7935-4355-AC1C-934E7569D9C5}"/>
    <cellStyle name="Comma 5 4 4 2 2 2 2" xfId="2691" xr:uid="{C2754A30-C968-4164-9996-4838FBC93585}"/>
    <cellStyle name="Comma 5 4 4 2 2 2 2 2" xfId="4761" xr:uid="{071A6BA6-8371-45CF-B590-D36D3CC5A85A}"/>
    <cellStyle name="Comma 5 4 4 2 2 2 3" xfId="3857" xr:uid="{B483BE9B-8150-46D3-B218-79D258BD463F}"/>
    <cellStyle name="Comma 5 4 4 2 2 3" xfId="1928" xr:uid="{5B0E2B32-0A12-4DF8-8B3A-139C26B4DB8E}"/>
    <cellStyle name="Comma 5 4 4 2 2 3 2" xfId="3074" xr:uid="{ED7D76CE-7220-4127-BEEF-AE5129FF8821}"/>
    <cellStyle name="Comma 5 4 4 2 2 3 2 2" xfId="5123" xr:uid="{596E0400-8013-446C-BC98-9BC03A82AE0A}"/>
    <cellStyle name="Comma 5 4 4 2 2 3 3" xfId="4245" xr:uid="{EC986CD5-F1F8-4131-A669-15C67D02E2A1}"/>
    <cellStyle name="Comma 5 4 4 2 2 4" xfId="2441" xr:uid="{FC81356F-6129-4A38-9D88-78B7F8DE4E8F}"/>
    <cellStyle name="Comma 5 4 4 2 2 4 2" xfId="4542" xr:uid="{72637048-F7A6-417E-B8D2-11F29D04B756}"/>
    <cellStyle name="Comma 5 4 4 2 2 5" xfId="3469" xr:uid="{9B3F1058-64C5-4791-BE0B-E98548F2E9F7}"/>
    <cellStyle name="Comma 5 4 4 2 3" xfId="1212" xr:uid="{800A7F08-8153-40C0-9056-5D765D69B615}"/>
    <cellStyle name="Comma 5 4 4 2 3 2" xfId="1627" xr:uid="{303355D9-5D1B-4F72-AC5A-B44E8650F841}"/>
    <cellStyle name="Comma 5 4 4 2 3 2 2" xfId="3179" xr:uid="{93CCF6A6-822B-4312-B4D8-144D58083893}"/>
    <cellStyle name="Comma 5 4 4 2 3 2 2 2" xfId="5228" xr:uid="{26EAB139-7EF9-4E91-88F2-DCF3F5A0393D}"/>
    <cellStyle name="Comma 5 4 4 2 3 2 3" xfId="3962" xr:uid="{C1B44B8A-23DA-4312-97BB-EB055B54930D}"/>
    <cellStyle name="Comma 5 4 4 2 3 3" xfId="2033" xr:uid="{5B29604E-61E6-4191-AAAC-C43FE1F3CDFB}"/>
    <cellStyle name="Comma 5 4 4 2 3 3 2" xfId="4350" xr:uid="{ECEE80EF-729E-458F-8F04-C987755F0B13}"/>
    <cellStyle name="Comma 5 4 4 2 3 4" xfId="2583" xr:uid="{CCABBAD5-1FC4-416A-92BA-F95653B58EA8}"/>
    <cellStyle name="Comma 5 4 4 2 3 4 2" xfId="4659" xr:uid="{CCA1153F-2DFE-4E90-8BF7-E3437B239B4B}"/>
    <cellStyle name="Comma 5 4 4 2 3 5" xfId="3574" xr:uid="{9A2B55AB-4672-4D96-B279-1F81C8A6A9C3}"/>
    <cellStyle name="Comma 5 4 4 2 4" xfId="982" xr:uid="{788F39B9-8A09-49F5-BCC0-E82215EB8442}"/>
    <cellStyle name="Comma 5 4 4 2 4 2" xfId="1417" xr:uid="{73C0E12C-B93A-426F-BBA6-72C04E664A9A}"/>
    <cellStyle name="Comma 5 4 4 2 4 2 2" xfId="2959" xr:uid="{619FA73C-8D0F-46AA-AA6D-304FFB582B40}"/>
    <cellStyle name="Comma 5 4 4 2 4 2 2 2" xfId="5011" xr:uid="{791F24CA-3CBD-4310-AC3E-A0F3EEE18FC5}"/>
    <cellStyle name="Comma 5 4 4 2 4 2 3" xfId="3752" xr:uid="{206E8811-0B9B-4D53-8834-D7A888B9EFF6}"/>
    <cellStyle name="Comma 5 4 4 2 4 3" xfId="1823" xr:uid="{6D43D213-AF0F-41CD-81E1-25D7DDFBA5BB}"/>
    <cellStyle name="Comma 5 4 4 2 4 3 2" xfId="4140" xr:uid="{8DEBF16F-B426-4B2F-A236-3226EABD2E3C}"/>
    <cellStyle name="Comma 5 4 4 2 4 4" xfId="2613" xr:uid="{6E332681-B7C6-4F5A-8DB1-A54CD156CAB5}"/>
    <cellStyle name="Comma 5 4 4 2 4 4 2" xfId="4683" xr:uid="{D6D849A1-C093-432E-BE64-745255E36E97}"/>
    <cellStyle name="Comma 5 4 4 2 4 5" xfId="3364" xr:uid="{776B1DDD-7CC6-4065-AC7C-F514E363ECE9}"/>
    <cellStyle name="Comma 5 4 4 2 5" xfId="1343" xr:uid="{058B93CB-2588-4AFF-B177-E60A9EEF769A}"/>
    <cellStyle name="Comma 5 4 4 2 5 2" xfId="2952" xr:uid="{CE669508-BD30-4BC0-BDBC-95E706D944F6}"/>
    <cellStyle name="Comma 5 4 4 2 5 2 2" xfId="5005" xr:uid="{6AC3751C-C5FE-4063-BD87-649D622C7074}"/>
    <cellStyle name="Comma 5 4 4 2 5 3" xfId="3679" xr:uid="{AD81A89B-1A60-4DD7-A843-5AE5CA092E87}"/>
    <cellStyle name="Comma 5 4 4 2 6" xfId="1750" xr:uid="{40D67B84-3163-4927-ABBF-1F55BE425E41}"/>
    <cellStyle name="Comma 5 4 4 2 6 2" xfId="4067" xr:uid="{291E08DA-402A-4CEB-A652-60C28AF524D4}"/>
    <cellStyle name="Comma 5 4 4 2 7" xfId="2317" xr:uid="{320CD037-1A18-452C-AEEE-77B740713FC0}"/>
    <cellStyle name="Comma 5 4 4 2 7 2" xfId="4470" xr:uid="{473CB070-EAB7-4F1E-A277-889D8FB24A1D}"/>
    <cellStyle name="Comma 5 4 4 2 8" xfId="3291" xr:uid="{555F752C-FB8F-4544-96A5-03D848E1A112}"/>
    <cellStyle name="Comma 5 4 4 3" xfId="1021" xr:uid="{AEFB1D43-64EF-4374-8269-90A21CA7B2A3}"/>
    <cellStyle name="Comma 5 4 4 3 2" xfId="1139" xr:uid="{8538CCBA-F954-4AEF-8532-508D26518CE9}"/>
    <cellStyle name="Comma 5 4 4 3 2 2" xfId="1556" xr:uid="{FABB73F8-11BC-4364-B4B1-5F974B87A5B7}"/>
    <cellStyle name="Comma 5 4 4 3 2 2 2" xfId="3108" xr:uid="{83050618-1651-401D-88C7-5580CB8D4DD7}"/>
    <cellStyle name="Comma 5 4 4 3 2 2 2 2" xfId="5157" xr:uid="{DB66DAEC-0854-4AE6-9CE2-BF066818A9CA}"/>
    <cellStyle name="Comma 5 4 4 3 2 2 3" xfId="3891" xr:uid="{C08A62A7-D23B-42DE-93A6-836E5142C896}"/>
    <cellStyle name="Comma 5 4 4 3 2 3" xfId="1962" xr:uid="{DB3F06AC-C5D7-4E43-AAC5-1836E390E0C0}"/>
    <cellStyle name="Comma 5 4 4 3 2 3 2" xfId="4279" xr:uid="{5562E441-221D-4F15-986E-779B05941029}"/>
    <cellStyle name="Comma 5 4 4 3 2 4" xfId="2724" xr:uid="{49BB958B-A7B2-4696-A036-8B00AA6A37F3}"/>
    <cellStyle name="Comma 5 4 4 3 2 4 2" xfId="4794" xr:uid="{2177ACA9-AC49-423F-A2E0-32286408FF66}"/>
    <cellStyle name="Comma 5 4 4 3 2 5" xfId="3503" xr:uid="{3AB5724A-4FD2-4D8B-95EC-EA50129F5766}"/>
    <cellStyle name="Comma 5 4 4 3 3" xfId="1250" xr:uid="{61A93B3E-6B28-44DE-ACD0-671FECF098E0}"/>
    <cellStyle name="Comma 5 4 4 3 3 2" xfId="1661" xr:uid="{BEABCECC-BEF1-4C2B-B222-80F133ABD3D4}"/>
    <cellStyle name="Comma 5 4 4 3 3 2 2" xfId="3213" xr:uid="{C31E6B0E-4AC3-4AC6-AB55-8F3520FE0680}"/>
    <cellStyle name="Comma 5 4 4 3 3 2 2 2" xfId="5262" xr:uid="{6484AA0F-9218-4760-97F3-8A997B188F33}"/>
    <cellStyle name="Comma 5 4 4 3 3 2 3" xfId="3996" xr:uid="{68B3200F-5885-4A08-BAAE-248D254F0014}"/>
    <cellStyle name="Comma 5 4 4 3 3 3" xfId="2067" xr:uid="{6E893ABE-1DE6-4653-898D-4F6DD2BB8F8A}"/>
    <cellStyle name="Comma 5 4 4 3 3 3 2" xfId="4384" xr:uid="{AD2CFA59-96AE-4729-BDD1-EC635D2CEC9B}"/>
    <cellStyle name="Comma 5 4 4 3 3 4" xfId="2800" xr:uid="{47B5B452-8789-4538-9579-03376AC4D0DF}"/>
    <cellStyle name="Comma 5 4 4 3 3 4 2" xfId="4870" xr:uid="{C59A17F8-F63F-4601-AF0A-245AC1C30BE7}"/>
    <cellStyle name="Comma 5 4 4 3 3 5" xfId="3608" xr:uid="{3DD0B32B-349C-4F97-A81D-60EE5A8B85A1}"/>
    <cellStyle name="Comma 5 4 4 3 4" xfId="1451" xr:uid="{E873A171-B83D-4E2E-8584-86F6B5E59444}"/>
    <cellStyle name="Comma 5 4 4 3 4 2" xfId="3004" xr:uid="{99030300-47A8-4F32-B8E2-6FBE14A05D45}"/>
    <cellStyle name="Comma 5 4 4 3 4 2 2" xfId="5054" xr:uid="{0A7275F9-0852-4063-BD4A-74DADBED933C}"/>
    <cellStyle name="Comma 5 4 4 3 4 3" xfId="3786" xr:uid="{675E0E39-FEBA-46CE-877E-66B9D41AA5CB}"/>
    <cellStyle name="Comma 5 4 4 3 5" xfId="1857" xr:uid="{67F159B0-1534-4EB8-B1BA-BB18E752E6DA}"/>
    <cellStyle name="Comma 5 4 4 3 5 2" xfId="4174" xr:uid="{524B3A32-24B2-43A3-99D4-A423CB9B8BE9}"/>
    <cellStyle name="Comma 5 4 4 3 6" xfId="2642" xr:uid="{A403034E-D4B0-4B20-A1FC-D38C88487E55}"/>
    <cellStyle name="Comma 5 4 4 3 6 2" xfId="4712" xr:uid="{8B437ADD-6988-4488-88EC-1B737A3E74B3}"/>
    <cellStyle name="Comma 5 4 4 3 7" xfId="3398" xr:uid="{389053E3-E32B-44DE-9AE0-FEEAA6BB1B1A}"/>
    <cellStyle name="Comma 5 4 4 4" xfId="1074" xr:uid="{445F0836-8D4D-4426-B678-84A4E87B0A6A}"/>
    <cellStyle name="Comma 5 4 4 4 2" xfId="1491" xr:uid="{0FC805F1-AA48-44AA-982C-A7193481BA91}"/>
    <cellStyle name="Comma 5 4 4 4 2 2" xfId="3043" xr:uid="{C8F0760E-92DA-4760-89C5-25A9A8525BFE}"/>
    <cellStyle name="Comma 5 4 4 4 2 2 2" xfId="5093" xr:uid="{3AB460BE-3C86-4E28-AFC1-516E4B028206}"/>
    <cellStyle name="Comma 5 4 4 4 2 3" xfId="3826" xr:uid="{78CE7958-B991-492B-95BF-E5DF9C48EB51}"/>
    <cellStyle name="Comma 5 4 4 4 3" xfId="1897" xr:uid="{55578B63-828B-4CDE-A0DE-536F71D290FB}"/>
    <cellStyle name="Comma 5 4 4 4 3 2" xfId="4214" xr:uid="{65AD6545-8A16-4D72-972B-22A7ED57403D}"/>
    <cellStyle name="Comma 5 4 4 4 4" xfId="2667" xr:uid="{8C1A8EC1-C7BD-4C22-9F45-14A287A2A40D}"/>
    <cellStyle name="Comma 5 4 4 4 4 2" xfId="4737" xr:uid="{29BE9D18-814A-40E7-A0E5-9B937573625E}"/>
    <cellStyle name="Comma 5 4 4 4 5" xfId="3438" xr:uid="{2E8580C4-9289-4D4F-B27E-BEFF86AD00B7}"/>
    <cellStyle name="Comma 5 4 4 5" xfId="1180" xr:uid="{454902B9-424B-42E6-AF3F-BC08CDEDF483}"/>
    <cellStyle name="Comma 5 4 4 5 2" xfId="1596" xr:uid="{917C9767-98FF-46E5-A03B-F9F328BCA0CE}"/>
    <cellStyle name="Comma 5 4 4 5 2 2" xfId="3148" xr:uid="{E84D2470-1245-4504-BA26-EB0D697B3306}"/>
    <cellStyle name="Comma 5 4 4 5 2 2 2" xfId="5197" xr:uid="{9F85EA2F-F3CC-486F-8033-D74ED27900E2}"/>
    <cellStyle name="Comma 5 4 4 5 2 3" xfId="3931" xr:uid="{7139AD7A-D1B8-4E9E-82EC-E39C88940666}"/>
    <cellStyle name="Comma 5 4 4 5 3" xfId="2002" xr:uid="{47CFA10F-4F48-47B6-8779-3DD4EE096489}"/>
    <cellStyle name="Comma 5 4 4 5 3 2" xfId="4319" xr:uid="{5F0A881E-C9BF-4110-8C88-7BFF16A38566}"/>
    <cellStyle name="Comma 5 4 4 5 4" xfId="2763" xr:uid="{26BB378F-40B3-4FB5-B066-BF50D33D63BD}"/>
    <cellStyle name="Comma 5 4 4 5 4 2" xfId="4833" xr:uid="{4E6A9892-DF3C-4B83-8A2C-6E27258F5FAB}"/>
    <cellStyle name="Comma 5 4 4 5 5" xfId="3543" xr:uid="{6A3524F5-BC76-4EF0-844E-FBCA0FED75C5}"/>
    <cellStyle name="Comma 5 4 4 6" xfId="931" xr:uid="{0794A636-CEEA-4779-9B1C-B53E3A1F9465}"/>
    <cellStyle name="Comma 5 4 4 6 2" xfId="1385" xr:uid="{5C978AA3-0E93-4343-BE19-2A9E0FC26448}"/>
    <cellStyle name="Comma 5 4 4 6 2 2" xfId="2976" xr:uid="{B02E9B97-3976-4FCA-B9F6-BEB2BB5E913D}"/>
    <cellStyle name="Comma 5 4 4 6 2 2 2" xfId="5026" xr:uid="{744C856C-4E3B-4AA8-9EFE-F3207FE97CB6}"/>
    <cellStyle name="Comma 5 4 4 6 2 3" xfId="3721" xr:uid="{E8F2FE5A-163D-4B16-83A8-2355F9685176}"/>
    <cellStyle name="Comma 5 4 4 6 3" xfId="1792" xr:uid="{C5194199-5B84-40DD-A4AA-0FF0017470BD}"/>
    <cellStyle name="Comma 5 4 4 6 3 2" xfId="4109" xr:uid="{9F5647D6-915A-4B72-A06E-DBABA1BE2990}"/>
    <cellStyle name="Comma 5 4 4 6 4" xfId="2474" xr:uid="{E7764F94-5B5C-4AE0-ACF6-0E148FE6C408}"/>
    <cellStyle name="Comma 5 4 4 6 4 2" xfId="4568" xr:uid="{5A02503F-A9CB-41C6-9ACB-2FB63ADA83BA}"/>
    <cellStyle name="Comma 5 4 4 6 5" xfId="3333" xr:uid="{6EF62975-5D57-4A08-811F-A6E02D782762}"/>
    <cellStyle name="Comma 5 4 4 7" xfId="1289" xr:uid="{2645FCF9-9663-480D-AD3C-1940DF8300EC}"/>
    <cellStyle name="Comma 5 4 4 7 2" xfId="3645" xr:uid="{A11921F3-17E2-43C7-B28F-4B7C93B7FEAD}"/>
    <cellStyle name="Comma 5 4 4 8" xfId="1713" xr:uid="{6BAE8F4E-5DCD-4B04-AAED-9F38435B056C}"/>
    <cellStyle name="Comma 5 4 4 8 2" xfId="4033" xr:uid="{BA74B6CC-B869-4289-A59E-6B6BBE28434D}"/>
    <cellStyle name="Comma 5 4 4 9" xfId="2162" xr:uid="{9881BC57-BA87-453F-AD89-899B29094777}"/>
    <cellStyle name="Comma 5 4 5" xfId="312" xr:uid="{3D41B2F5-EFB8-4353-B46D-A814DA6759F7}"/>
    <cellStyle name="Comma 5 4 6" xfId="313" xr:uid="{085555C6-444F-4F1F-95C7-92BB0E4710CF}"/>
    <cellStyle name="Comma 5 4 6 2" xfId="839" xr:uid="{CD862604-A4D4-4B88-89B2-0AC34B58D3C6}"/>
    <cellStyle name="Comma 5 4 6 2 2" xfId="2084" xr:uid="{A30BC190-D101-466E-B5F5-2C2E7246C66E}"/>
    <cellStyle name="Comma 5 4 6 3" xfId="5298" xr:uid="{5E202B67-BB30-4B91-A964-D73F018951DA}"/>
    <cellStyle name="Comma 5 4 7" xfId="2318" xr:uid="{A9CF7B56-4A5F-468F-ADE9-2B2BCE3A902C}"/>
    <cellStyle name="Comma 5 4 8" xfId="5297" xr:uid="{0BDB054B-DF41-4AC3-ABA0-393A1A127249}"/>
    <cellStyle name="Comma 5 5" xfId="314" xr:uid="{CC1F6E6F-D61E-4408-B907-8BC75DE136E5}"/>
    <cellStyle name="Comma 5 6" xfId="315" xr:uid="{C2731965-6AE4-42E1-8AEF-A9BF3BD07640}"/>
    <cellStyle name="Comma 5 6 2" xfId="2587" xr:uid="{7D9A5189-7AE2-49EC-BB34-F7E3F030FDD8}"/>
    <cellStyle name="Comma 5 6 3" xfId="2319" xr:uid="{692BF881-EFBB-40D9-A980-3F5B67D0CC34}"/>
    <cellStyle name="Comma 5 7" xfId="871" xr:uid="{A0134C2D-700D-4FF0-91D8-683E489B01F2}"/>
    <cellStyle name="Comma 5 7 2" xfId="5353" xr:uid="{2ED0D298-F231-4EFD-94D0-33B5A1E6966C}"/>
    <cellStyle name="Comma 5 7 3" xfId="5292" xr:uid="{FE379537-78E6-47FA-8B64-25C47148925B}"/>
    <cellStyle name="Comma 6" xfId="316" xr:uid="{51623E1B-DB75-4518-B49B-7BDD8D7BB808}"/>
    <cellStyle name="Comma 6 2" xfId="317" xr:uid="{DE62C553-6D04-4A7B-8ED1-3861798BC8B7}"/>
    <cellStyle name="Comma 6 2 2" xfId="318" xr:uid="{1EE67F1F-EDAE-4804-9531-9D6FE5959D94}"/>
    <cellStyle name="Comma 6 2 3" xfId="319" xr:uid="{92472EC6-1B7D-415B-B468-A65E64E3739A}"/>
    <cellStyle name="Comma 6 3" xfId="320" xr:uid="{9558B2C4-0170-4D7F-9F78-A60B2F13C6DF}"/>
    <cellStyle name="Comma 6 4" xfId="872" xr:uid="{F7071911-D60F-481F-9197-09BB8507ABD8}"/>
    <cellStyle name="Comma 7" xfId="321" xr:uid="{3FB5B5EC-A2FE-40A1-91AB-007D7CA97041}"/>
    <cellStyle name="Comma 7 2" xfId="322" xr:uid="{A87123B1-1811-41BF-A2C5-900326E62A03}"/>
    <cellStyle name="Comma 7 3" xfId="323" xr:uid="{F5A37E5C-368A-423A-9A9B-135D4B904AD1}"/>
    <cellStyle name="Comma 7 3 2" xfId="324" xr:uid="{86ADCE47-7983-45BB-9AC1-44672C913911}"/>
    <cellStyle name="Comma 7 3 2 2" xfId="932" xr:uid="{E474542A-7077-4BE9-A067-56BA02D0F03E}"/>
    <cellStyle name="Comma 7 3 2 3" xfId="893" xr:uid="{B93D8A15-DD9A-48BB-BD08-99D5371E7FB1}"/>
    <cellStyle name="Comma 7 3 3" xfId="325" xr:uid="{C3559CAC-E48A-41C2-A8F4-7F36F870CB9A}"/>
    <cellStyle name="Comma 7 3 3 10" xfId="3258" xr:uid="{9741650A-AF19-440B-BBBC-BE0972822DF8}"/>
    <cellStyle name="Comma 7 3 3 2" xfId="840" xr:uid="{0A549C0C-DAA4-49AF-89B3-AADA3DF3ED6C}"/>
    <cellStyle name="Comma 7 3 3 2 2" xfId="1106" xr:uid="{F1960FEB-11B3-43EB-90CA-62779BAD9056}"/>
    <cellStyle name="Comma 7 3 3 2 2 2" xfId="1523" xr:uid="{A1BA75DB-A0D7-4844-B969-FC31D4A13F25}"/>
    <cellStyle name="Comma 7 3 3 2 2 2 2" xfId="2692" xr:uid="{5FC58FC7-9280-4E10-A904-2D40BA1424E6}"/>
    <cellStyle name="Comma 7 3 3 2 2 2 2 2" xfId="4762" xr:uid="{60B2C503-EFAF-4DAA-87BE-A15F0DB2C196}"/>
    <cellStyle name="Comma 7 3 3 2 2 2 3" xfId="3858" xr:uid="{A0D116F4-6DAC-44A9-8856-660217156DFA}"/>
    <cellStyle name="Comma 7 3 3 2 2 3" xfId="1929" xr:uid="{A181ED24-D452-4F49-B611-97FF6401B957}"/>
    <cellStyle name="Comma 7 3 3 2 2 3 2" xfId="3075" xr:uid="{3E25984A-CE4D-4634-ADF1-3840802CC31B}"/>
    <cellStyle name="Comma 7 3 3 2 2 3 2 2" xfId="5124" xr:uid="{0EFB0D35-DAD8-4591-8503-D576E2E6EFFD}"/>
    <cellStyle name="Comma 7 3 3 2 2 3 3" xfId="4246" xr:uid="{C9E4F08D-7CFE-42BD-AB57-09C8012697E2}"/>
    <cellStyle name="Comma 7 3 3 2 2 4" xfId="2442" xr:uid="{7C9F2985-C967-449F-BA28-0EAE74F8FB51}"/>
    <cellStyle name="Comma 7 3 3 2 2 4 2" xfId="4543" xr:uid="{EE9B9809-DBE1-456E-ACB7-BCE2626F75F6}"/>
    <cellStyle name="Comma 7 3 3 2 2 5" xfId="3470" xr:uid="{75A390F2-6CFD-474F-AB9B-B4D75B1FAE27}"/>
    <cellStyle name="Comma 7 3 3 2 3" xfId="1213" xr:uid="{D2C00E0E-F3BE-4C44-AEDC-FC92BF5FDA1C}"/>
    <cellStyle name="Comma 7 3 3 2 3 2" xfId="1628" xr:uid="{10F14765-5BD5-47BD-9975-87D168DF5E36}"/>
    <cellStyle name="Comma 7 3 3 2 3 2 2" xfId="3180" xr:uid="{D83BEBB1-4B42-4074-845C-F66862F99884}"/>
    <cellStyle name="Comma 7 3 3 2 3 2 2 2" xfId="5229" xr:uid="{75EECDE4-AAC9-4274-9A2F-B0785CB4F3A4}"/>
    <cellStyle name="Comma 7 3 3 2 3 2 3" xfId="3963" xr:uid="{7C748402-1B90-45F5-9EA7-036D334EEEA9}"/>
    <cellStyle name="Comma 7 3 3 2 3 3" xfId="2034" xr:uid="{71A4E7FF-0F2E-40F3-BAA6-4E8B8D2501D4}"/>
    <cellStyle name="Comma 7 3 3 2 3 3 2" xfId="4351" xr:uid="{6EA84A95-063E-43D4-8E80-A9838FE7D440}"/>
    <cellStyle name="Comma 7 3 3 2 3 4" xfId="2584" xr:uid="{B567E2D5-6690-4E42-8CCD-C9F40EAF3EAD}"/>
    <cellStyle name="Comma 7 3 3 2 3 4 2" xfId="4660" xr:uid="{4B163147-0D08-4FAF-95BA-CFCFA0B11BD4}"/>
    <cellStyle name="Comma 7 3 3 2 3 5" xfId="3575" xr:uid="{E8975D5C-83D0-4C68-A535-56515935EE34}"/>
    <cellStyle name="Comma 7 3 3 2 4" xfId="983" xr:uid="{CC4DC21A-7BF4-4FDD-A77B-C405805EC14C}"/>
    <cellStyle name="Comma 7 3 3 2 4 2" xfId="1418" xr:uid="{14DA4BBD-DED7-4C40-A5C2-F882BEA35FC6}"/>
    <cellStyle name="Comma 7 3 3 2 4 2 2" xfId="2860" xr:uid="{D813BAFE-42E0-452F-9630-CF769CDC842A}"/>
    <cellStyle name="Comma 7 3 3 2 4 2 2 2" xfId="4916" xr:uid="{700B85A1-AB35-4D93-9B9B-CBC04532AD70}"/>
    <cellStyle name="Comma 7 3 3 2 4 2 3" xfId="3753" xr:uid="{63A63C3A-F60E-45CC-A260-B64FD770D5A0}"/>
    <cellStyle name="Comma 7 3 3 2 4 3" xfId="1824" xr:uid="{916B3E2A-4670-4B9A-B683-986FAF5632F8}"/>
    <cellStyle name="Comma 7 3 3 2 4 3 2" xfId="4141" xr:uid="{F90A0D61-0B07-4AF0-AE09-39F69D4514E5}"/>
    <cellStyle name="Comma 7 3 3 2 4 4" xfId="2614" xr:uid="{422D2483-18A2-4DC4-8970-63F661DCFE7A}"/>
    <cellStyle name="Comma 7 3 3 2 4 4 2" xfId="4684" xr:uid="{7374A7ED-031D-41CA-A932-713701309548}"/>
    <cellStyle name="Comma 7 3 3 2 4 5" xfId="3365" xr:uid="{84552E8C-C57B-46F7-A085-9C979892375B}"/>
    <cellStyle name="Comma 7 3 3 2 5" xfId="1344" xr:uid="{5D13CD84-F922-46AB-A6DB-42B710625F28}"/>
    <cellStyle name="Comma 7 3 3 2 5 2" xfId="2953" xr:uid="{6B6CD7AB-1562-494B-ACFB-04AB4C29FB61}"/>
    <cellStyle name="Comma 7 3 3 2 5 2 2" xfId="5006" xr:uid="{A811E9EB-B49F-4FF6-8FF3-2245D4EDE326}"/>
    <cellStyle name="Comma 7 3 3 2 5 3" xfId="3680" xr:uid="{69519E67-E5E3-4B9D-AF31-1FE37DBAA3B3}"/>
    <cellStyle name="Comma 7 3 3 2 6" xfId="1751" xr:uid="{D204A2B4-FEF1-473F-BA89-4D548BB4CAC4}"/>
    <cellStyle name="Comma 7 3 3 2 6 2" xfId="4068" xr:uid="{F633FA05-7EA3-45BC-9987-2FE05199231F}"/>
    <cellStyle name="Comma 7 3 3 2 7" xfId="2320" xr:uid="{4BE0F8B9-1E0D-48CB-A83C-CA8733EC4FDF}"/>
    <cellStyle name="Comma 7 3 3 2 7 2" xfId="4471" xr:uid="{3F133C2C-2AF9-4FB9-AB77-DAC9E196F225}"/>
    <cellStyle name="Comma 7 3 3 2 8" xfId="3292" xr:uid="{AEA58E7D-1DD9-4449-8E9E-9A5D1AD25B12}"/>
    <cellStyle name="Comma 7 3 3 3" xfId="1022" xr:uid="{FEA9D23B-6A3D-4DC2-993A-E07EA1D86957}"/>
    <cellStyle name="Comma 7 3 3 3 2" xfId="1140" xr:uid="{F269D5F5-E08F-43BC-83E2-6EA35D29A7D1}"/>
    <cellStyle name="Comma 7 3 3 3 2 2" xfId="1557" xr:uid="{CB65BF64-D269-4CBC-A82E-EBF23A414CE0}"/>
    <cellStyle name="Comma 7 3 3 3 2 2 2" xfId="3109" xr:uid="{AF2844FF-5B55-436A-A3E6-BB8E8E3A1D6F}"/>
    <cellStyle name="Comma 7 3 3 3 2 2 2 2" xfId="5158" xr:uid="{A24E5AD9-E335-4C03-ACC8-7FB1AC50981F}"/>
    <cellStyle name="Comma 7 3 3 3 2 2 3" xfId="3892" xr:uid="{306926AE-CD6D-4D19-9258-483814C2B180}"/>
    <cellStyle name="Comma 7 3 3 3 2 3" xfId="1963" xr:uid="{49B32C05-02F4-4110-8C59-6477727B73F1}"/>
    <cellStyle name="Comma 7 3 3 3 2 3 2" xfId="4280" xr:uid="{7B5E4C4D-8260-4774-9FDB-A647D8990A5B}"/>
    <cellStyle name="Comma 7 3 3 3 2 4" xfId="2725" xr:uid="{ACDE51D1-9918-45AE-ACCA-7CD37AB307A3}"/>
    <cellStyle name="Comma 7 3 3 3 2 4 2" xfId="4795" xr:uid="{84D2DC80-9A4A-4B53-AF58-2B4F3899B835}"/>
    <cellStyle name="Comma 7 3 3 3 2 5" xfId="3504" xr:uid="{153BC9DF-7F70-4882-B7F1-5F836DBC8BE6}"/>
    <cellStyle name="Comma 7 3 3 3 3" xfId="1251" xr:uid="{440207B8-F0F1-4EE5-B704-AA53971EC169}"/>
    <cellStyle name="Comma 7 3 3 3 3 2" xfId="1662" xr:uid="{44E13942-364A-4004-9D19-FB4673E5C574}"/>
    <cellStyle name="Comma 7 3 3 3 3 2 2" xfId="3214" xr:uid="{75244CB7-F8FC-40FF-B7FA-07A86C1E2093}"/>
    <cellStyle name="Comma 7 3 3 3 3 2 2 2" xfId="5263" xr:uid="{EBB1F47E-293B-4239-9D8F-C29FA86D6902}"/>
    <cellStyle name="Comma 7 3 3 3 3 2 3" xfId="3997" xr:uid="{6EFBAE6A-627F-4E84-8A99-D8BA530C14B2}"/>
    <cellStyle name="Comma 7 3 3 3 3 3" xfId="2068" xr:uid="{73054A5A-FFBF-4D43-9D6A-532577313676}"/>
    <cellStyle name="Comma 7 3 3 3 3 3 2" xfId="4385" xr:uid="{2F27503D-17F2-45A2-81FB-EAEC03F4EA6F}"/>
    <cellStyle name="Comma 7 3 3 3 3 4" xfId="2801" xr:uid="{C9A40138-872D-4B8B-BEF7-BB052D2E09FB}"/>
    <cellStyle name="Comma 7 3 3 3 3 4 2" xfId="4871" xr:uid="{361A97C1-D20D-42D2-9F6F-187CB6649AE6}"/>
    <cellStyle name="Comma 7 3 3 3 3 5" xfId="3609" xr:uid="{FAA6B735-6801-4CB8-B381-99D0BC4CE0A7}"/>
    <cellStyle name="Comma 7 3 3 3 4" xfId="1452" xr:uid="{B2100792-B502-4156-8747-2ABED8481345}"/>
    <cellStyle name="Comma 7 3 3 3 4 2" xfId="3005" xr:uid="{8148BF73-4C14-495B-8096-26238C8EDB3A}"/>
    <cellStyle name="Comma 7 3 3 3 4 2 2" xfId="5055" xr:uid="{A1E20C24-43DB-4647-A0C5-80D351B5649E}"/>
    <cellStyle name="Comma 7 3 3 3 4 3" xfId="3787" xr:uid="{CCF86E47-0BE8-45BD-9E71-80778512159C}"/>
    <cellStyle name="Comma 7 3 3 3 5" xfId="1858" xr:uid="{B505C880-143C-4B71-9C65-DB7981490606}"/>
    <cellStyle name="Comma 7 3 3 3 5 2" xfId="4175" xr:uid="{96513B31-BFD1-4732-A1E6-88EBA9B11645}"/>
    <cellStyle name="Comma 7 3 3 3 6" xfId="2643" xr:uid="{80B87220-E8CD-49EA-8BFA-1647CACD4E85}"/>
    <cellStyle name="Comma 7 3 3 3 6 2" xfId="4713" xr:uid="{82E71622-03B5-4402-BBC5-EDFABC54810F}"/>
    <cellStyle name="Comma 7 3 3 3 7" xfId="3399" xr:uid="{E568BC53-0062-44D6-8B4A-20675C6B9D8C}"/>
    <cellStyle name="Comma 7 3 3 4" xfId="1075" xr:uid="{BB43552D-FEF3-42C0-883B-0917A2163B31}"/>
    <cellStyle name="Comma 7 3 3 4 2" xfId="1492" xr:uid="{3314FB93-257E-4549-A88D-6C3009895B17}"/>
    <cellStyle name="Comma 7 3 3 4 2 2" xfId="3044" xr:uid="{084E4A8E-6E0E-4BB1-AB0C-32502B7C2935}"/>
    <cellStyle name="Comma 7 3 3 4 2 2 2" xfId="5094" xr:uid="{07F383C3-E88B-4311-93D7-8D88384AAF68}"/>
    <cellStyle name="Comma 7 3 3 4 2 3" xfId="3827" xr:uid="{35F404C5-C794-4F9F-9048-8929827C11B7}"/>
    <cellStyle name="Comma 7 3 3 4 3" xfId="1898" xr:uid="{B47AB322-7373-4F8C-9FA6-9FF9D64BB3D2}"/>
    <cellStyle name="Comma 7 3 3 4 3 2" xfId="4215" xr:uid="{A1EF3F4D-2386-47E9-9F72-E86E8EE63B9F}"/>
    <cellStyle name="Comma 7 3 3 4 4" xfId="2668" xr:uid="{E3EC1D83-64D2-438F-9877-0D53603E69DB}"/>
    <cellStyle name="Comma 7 3 3 4 4 2" xfId="4738" xr:uid="{FC15AD0F-AF06-47A9-B474-84500B0C67B8}"/>
    <cellStyle name="Comma 7 3 3 4 5" xfId="3439" xr:uid="{652EDAF1-BEB8-44DE-8A9F-91C153271210}"/>
    <cellStyle name="Comma 7 3 3 5" xfId="1181" xr:uid="{05FC37FF-3828-4B9C-A473-D4D3B30B5A2B}"/>
    <cellStyle name="Comma 7 3 3 5 2" xfId="1597" xr:uid="{433F6AB7-436B-4B50-965B-C1577750EF47}"/>
    <cellStyle name="Comma 7 3 3 5 2 2" xfId="3149" xr:uid="{AF6A5B8B-1E27-4249-B6AD-3A10A56EC8ED}"/>
    <cellStyle name="Comma 7 3 3 5 2 2 2" xfId="5198" xr:uid="{811E7FC3-FC00-4145-8BEA-B08C1C86D4E2}"/>
    <cellStyle name="Comma 7 3 3 5 2 3" xfId="3932" xr:uid="{119FF261-B9A9-48B9-B6D0-58B2CCB9D790}"/>
    <cellStyle name="Comma 7 3 3 5 3" xfId="2003" xr:uid="{3E799B6F-04CC-448D-8393-39110C24950A}"/>
    <cellStyle name="Comma 7 3 3 5 3 2" xfId="4320" xr:uid="{81ADF9F0-4E56-46FC-B6C1-62623B200E2A}"/>
    <cellStyle name="Comma 7 3 3 5 4" xfId="2764" xr:uid="{B957F865-7D65-4541-A2AF-28583DDCDDF0}"/>
    <cellStyle name="Comma 7 3 3 5 4 2" xfId="4834" xr:uid="{40D2E92B-3CC4-4C6A-9327-587D31D33395}"/>
    <cellStyle name="Comma 7 3 3 5 5" xfId="3544" xr:uid="{C2AE5C93-DF96-4D44-AFEC-DEFC7C2689DB}"/>
    <cellStyle name="Comma 7 3 3 6" xfId="933" xr:uid="{E079F77B-002C-476F-987F-2CE183C466E6}"/>
    <cellStyle name="Comma 7 3 3 6 2" xfId="1386" xr:uid="{B1B9A306-AB4E-486B-9CA7-F6F7AEB0AE45}"/>
    <cellStyle name="Comma 7 3 3 6 2 2" xfId="2977" xr:uid="{F3BCFC3D-E840-444B-81F4-C78D10BD313C}"/>
    <cellStyle name="Comma 7 3 3 6 2 2 2" xfId="5027" xr:uid="{23A0F72F-76CB-4924-A8F6-871DE9FB31F2}"/>
    <cellStyle name="Comma 7 3 3 6 2 3" xfId="3722" xr:uid="{16BC8768-1D96-4E41-9881-FC0E29CD0DD1}"/>
    <cellStyle name="Comma 7 3 3 6 3" xfId="1793" xr:uid="{B70A03F5-D1B1-4DE5-B871-D3B875A902B3}"/>
    <cellStyle name="Comma 7 3 3 6 3 2" xfId="4110" xr:uid="{F4313E6F-3CD9-4664-852B-B93F4AC476A1}"/>
    <cellStyle name="Comma 7 3 3 6 4" xfId="2475" xr:uid="{08FC8270-59FA-4C53-A08E-309042A1C0FF}"/>
    <cellStyle name="Comma 7 3 3 6 4 2" xfId="4569" xr:uid="{3B10C910-B220-4DF0-8336-A6D2DB1A64B3}"/>
    <cellStyle name="Comma 7 3 3 6 5" xfId="3334" xr:uid="{6CAC3ECB-A037-474B-8D33-D36BD3553A98}"/>
    <cellStyle name="Comma 7 3 3 7" xfId="1290" xr:uid="{FED3E4AE-7948-4AFE-B3EE-CD977DEED1D2}"/>
    <cellStyle name="Comma 7 3 3 7 2" xfId="3646" xr:uid="{A1EAD631-712A-41A7-92DF-F955BF56312D}"/>
    <cellStyle name="Comma 7 3 3 8" xfId="1714" xr:uid="{3DBB359F-AFF6-473C-BE45-F47D98A0A5E0}"/>
    <cellStyle name="Comma 7 3 3 8 2" xfId="4034" xr:uid="{958EC349-5C54-490D-A8B9-BF8EBB0221C2}"/>
    <cellStyle name="Comma 7 3 3 9" xfId="2163" xr:uid="{F5593858-B2C7-43B5-99E7-18390234466F}"/>
    <cellStyle name="Comma 7 3 4" xfId="326" xr:uid="{8DFF9D4C-C347-48D8-A97F-0734500E87FB}"/>
    <cellStyle name="Comma 7 3 5" xfId="2208" xr:uid="{DC5FC490-9B54-4137-AEC9-F70DB4710A79}"/>
    <cellStyle name="Comma 7 3 5 2" xfId="2238" xr:uid="{B1021D01-2A4C-45FC-8E54-178C7CF01784}"/>
    <cellStyle name="Comma 7 3 5 2 2" xfId="2430" xr:uid="{8C9CB24B-643A-49F1-B2F4-5584735E791F}"/>
    <cellStyle name="Comma 7 3 5 2 2 2" xfId="4531" xr:uid="{0D8F51E2-4C55-406E-B27D-059C28D7E704}"/>
    <cellStyle name="Comma 7 3 5 2 3" xfId="2564" xr:uid="{4C85E5E7-515D-4B12-B4F9-1491C321B49F}"/>
    <cellStyle name="Comma 7 3 5 2 3 2" xfId="4643" xr:uid="{93BE4BEC-5483-4A91-8BDA-DB83ADA82E0D}"/>
    <cellStyle name="Comma 7 3 5 2 4" xfId="2929" xr:uid="{C4ABC217-C14E-4AD6-8C1D-7F6D613426F3}"/>
    <cellStyle name="Comma 7 3 5 2 4 2" xfId="4983" xr:uid="{B7F575C4-76BA-4A4E-B5F3-69EA44343BAC}"/>
    <cellStyle name="Comma 7 3 5 2 5" xfId="4459" xr:uid="{5BE51A01-26BE-41F9-B8C7-9FEDC2FD1784}"/>
    <cellStyle name="Comma 7 3 5 3" xfId="2321" xr:uid="{F1B04996-03F1-498E-ACCE-423F893749C7}"/>
    <cellStyle name="Comma 7 3 5 4" xfId="2402" xr:uid="{8EEE0018-E22F-4FE7-B302-78AE81FF367F}"/>
    <cellStyle name="Comma 7 3 5 4 2" xfId="4503" xr:uid="{49E3F08E-A37E-49BD-9A8D-AF30E25E01B0}"/>
    <cellStyle name="Comma 7 3 5 5" xfId="2535" xr:uid="{1A38B987-D066-44F9-A0EB-1FE7891CEC98}"/>
    <cellStyle name="Comma 7 3 5 5 2" xfId="4615" xr:uid="{623C7B08-74A4-4AE2-B3D8-D6B8425DF48C}"/>
    <cellStyle name="Comma 7 3 5 6" xfId="2901" xr:uid="{910C80D1-404E-4C71-9913-D1C5DCC45351}"/>
    <cellStyle name="Comma 7 3 5 6 2" xfId="4955" xr:uid="{FA4C86A1-0758-42F3-A9FE-FF83834DEA6C}"/>
    <cellStyle name="Comma 7 3 5 7" xfId="4431" xr:uid="{182255CF-8B98-4839-93BE-1C25B2C1D42A}"/>
    <cellStyle name="Comma 7 3 6" xfId="5300" xr:uid="{5784709D-906E-43D2-BA9C-5297448A6FAA}"/>
    <cellStyle name="Comma 7 3 6 2" xfId="5349" xr:uid="{7821FA00-B1F8-4382-9B53-DF5A41CED4D9}"/>
    <cellStyle name="Comma 7 3 7" xfId="5343" xr:uid="{F38569A2-1584-4DFD-AB4F-88CC65DF4584}"/>
    <cellStyle name="Comma 7 4" xfId="327" xr:uid="{8EC156DF-8BB2-4784-995D-62C26B3FBC4A}"/>
    <cellStyle name="Comma 7 5" xfId="328" xr:uid="{569AC1F4-3C3B-4EF7-8490-EAF8FF788D9D}"/>
    <cellStyle name="Comma 7 5 2" xfId="841" xr:uid="{FAD93BDD-C63B-454A-829F-420AA0A77292}"/>
    <cellStyle name="Comma 7 5 2 2" xfId="2085" xr:uid="{5B6B714C-D89C-4121-8FF9-4DEDBF102586}"/>
    <cellStyle name="Comma 7 5 3" xfId="5301" xr:uid="{CE1321C0-2730-4163-BCAB-C83FEB732ED7}"/>
    <cellStyle name="Comma 7 6" xfId="5299" xr:uid="{AF4D979E-ABE0-4C86-A5C4-834D19427BC1}"/>
    <cellStyle name="Comma 8" xfId="329" xr:uid="{05CBC586-FDA4-4624-8FD5-68D9422AD297}"/>
    <cellStyle name="Comma 8 2" xfId="330" xr:uid="{EC5F08F4-C6BA-4AF9-9633-908C935B6F93}"/>
    <cellStyle name="Comma 8 2 2" xfId="2323" xr:uid="{C48F101C-1A47-4ACB-88BC-6BB7EB840505}"/>
    <cellStyle name="Comma 8 2 3" xfId="2164" xr:uid="{4CE58E1E-871B-43F7-A3DF-25EB30CA2CB6}"/>
    <cellStyle name="Comma 8 3" xfId="934" xr:uid="{7C3A7C2B-C4DD-4355-83A3-1E98896EBE8F}"/>
    <cellStyle name="Comma 8 3 2" xfId="2484" xr:uid="{42691A67-6F25-4C97-B9BA-25ACC2A1FA37}"/>
    <cellStyle name="Comma 8 3 3" xfId="2165" xr:uid="{4DC31A61-53EE-4758-8DEF-17FFD24BEB05}"/>
    <cellStyle name="Comma 8 4" xfId="894" xr:uid="{3CDE5E45-23BF-4590-A730-0DF4E704174C}"/>
    <cellStyle name="Comma 8 4 2" xfId="2515" xr:uid="{39CD4ABA-8217-4DB2-9B36-43C999C42BFA}"/>
    <cellStyle name="Comma 8 4 3" xfId="2322" xr:uid="{D38EE999-F9D8-4C9A-984C-384EE636560F}"/>
    <cellStyle name="Comma 9" xfId="331" xr:uid="{4ABCBC9D-553D-4B0E-A325-E5C709211AC5}"/>
    <cellStyle name="Comma 9 2" xfId="332" xr:uid="{6D8CFF33-5BA2-428B-B197-4254E26B6BCD}"/>
    <cellStyle name="Comma 9 3" xfId="935" xr:uid="{2968030A-4A56-44BB-A04D-06AE67DF4336}"/>
    <cellStyle name="Comma 9 4" xfId="895" xr:uid="{B80FF8EC-131F-4D30-89EF-AD5BDDE0FD4F}"/>
    <cellStyle name="Currency 2" xfId="333" xr:uid="{B68468BC-F51A-457E-AA14-BCCF1F7F49C7}"/>
    <cellStyle name="Currency 2 2" xfId="334" xr:uid="{E9130E46-1958-4088-9BD5-F057EC3BB620}"/>
    <cellStyle name="Currency 2 2 2" xfId="335" xr:uid="{E55DF4AE-C88C-45DD-B6DD-EB2E23BFEF54}"/>
    <cellStyle name="Currency 2 2 2 2" xfId="336" xr:uid="{AB2BEED8-EC62-45AD-B268-5BA2DF2A8D97}"/>
    <cellStyle name="Currency 2 2 3" xfId="337" xr:uid="{666AADCE-B241-40D0-86F3-1294E5AD2451}"/>
    <cellStyle name="Currency 2 2 3 2" xfId="338" xr:uid="{7A7D8168-0ACA-4E83-8D30-3906A234BBBD}"/>
    <cellStyle name="Currency 2 2 4" xfId="339" xr:uid="{4DAFD756-40AA-45D4-9991-9D037EBFA1F4}"/>
    <cellStyle name="Currency 2 3" xfId="340" xr:uid="{34535B5D-E527-48C8-9852-DD0875BC86FB}"/>
    <cellStyle name="Currency 2 3 2" xfId="341" xr:uid="{ADEF082D-41CD-4165-832D-3FDC5FEAF798}"/>
    <cellStyle name="Currency 2 3 2 2" xfId="342" xr:uid="{4B0CC3A4-3B9D-46E4-BB7D-8ACB5584739D}"/>
    <cellStyle name="Currency 2 3 3" xfId="343" xr:uid="{64832594-9052-4328-86DD-3EF920E10C5F}"/>
    <cellStyle name="Currency 2 3 3 2" xfId="344" xr:uid="{03415CF8-D391-43CA-ACDC-8070BC3AF227}"/>
    <cellStyle name="Currency 2 3 4" xfId="345" xr:uid="{C2FCA161-6CEA-4674-8669-FBE7937F7304}"/>
    <cellStyle name="Currency 2 4" xfId="346" xr:uid="{5AA28D4E-34CF-4BBE-88AF-2F383C440D8F}"/>
    <cellStyle name="Currency 2 5" xfId="347" xr:uid="{0DBAC9D4-08FD-43E8-93EB-5FA2F427D840}"/>
    <cellStyle name="Currency 2 6" xfId="348" xr:uid="{7B08C110-B1C9-4939-8EB8-2DB02B82A34F}"/>
    <cellStyle name="Currency 2 6 2" xfId="842" xr:uid="{39472F37-EE67-4BC5-BAB0-C10976EC8A59}"/>
    <cellStyle name="Currency 2 6 2 2" xfId="1141" xr:uid="{6B4A9B95-2D15-4D9C-A522-418AA4CC973E}"/>
    <cellStyle name="Currency 2 6 2 2 2" xfId="1558" xr:uid="{078D8926-DD8F-4F4C-AD56-57E6E9BF59CA}"/>
    <cellStyle name="Currency 2 6 2 2 2 2" xfId="3110" xr:uid="{4F72D06E-F5ED-4D69-92B6-313711FBF9EC}"/>
    <cellStyle name="Currency 2 6 2 2 2 2 2" xfId="5159" xr:uid="{5E414CE9-B65E-4F98-98FD-5CCF001C76E9}"/>
    <cellStyle name="Currency 2 6 2 2 2 3" xfId="3893" xr:uid="{0F366D1E-2538-491B-B2AF-BF8BA85BD489}"/>
    <cellStyle name="Currency 2 6 2 2 3" xfId="1964" xr:uid="{A0C808E5-BF61-496E-81A2-E010EE445ED0}"/>
    <cellStyle name="Currency 2 6 2 2 3 2" xfId="4281" xr:uid="{758CE2FB-B253-4F8E-A5F0-FA624A7B6B92}"/>
    <cellStyle name="Currency 2 6 2 2 4" xfId="2726" xr:uid="{8281BA24-92C1-4EF2-99A5-B737EA359413}"/>
    <cellStyle name="Currency 2 6 2 2 4 2" xfId="4796" xr:uid="{453C427A-4BEA-48C9-802F-6A1AA7903A78}"/>
    <cellStyle name="Currency 2 6 2 2 5" xfId="3505" xr:uid="{F099F42D-CFD2-4C8F-AC5D-44E7C92EC8BF}"/>
    <cellStyle name="Currency 2 6 2 3" xfId="1252" xr:uid="{83ACEED5-CD2B-4F3A-BBE4-FFFC9FB99FEB}"/>
    <cellStyle name="Currency 2 6 2 3 2" xfId="1663" xr:uid="{9C243DB0-CE16-4D26-87B5-838AA6F7DB1A}"/>
    <cellStyle name="Currency 2 6 2 3 2 2" xfId="3215" xr:uid="{CF266D99-4046-4512-9B4E-881F87C4B5E5}"/>
    <cellStyle name="Currency 2 6 2 3 2 2 2" xfId="5264" xr:uid="{EE6F0C7E-A23E-403F-92F1-B20A15AD6C89}"/>
    <cellStyle name="Currency 2 6 2 3 2 3" xfId="3998" xr:uid="{5B5A68EE-EDE8-48E2-B0A6-8A578E606572}"/>
    <cellStyle name="Currency 2 6 2 3 3" xfId="2069" xr:uid="{C5570F59-B857-403C-9495-F958DA53350A}"/>
    <cellStyle name="Currency 2 6 2 3 3 2" xfId="4386" xr:uid="{89AF15D0-B655-4D6F-8D8B-85D18B59C6C3}"/>
    <cellStyle name="Currency 2 6 2 3 4" xfId="2802" xr:uid="{5BE9D0B5-2C1E-4FEA-80AB-41935F9C61DD}"/>
    <cellStyle name="Currency 2 6 2 3 4 2" xfId="4872" xr:uid="{E41C730D-0F7E-4538-8918-6DE79AC03208}"/>
    <cellStyle name="Currency 2 6 2 3 5" xfId="3610" xr:uid="{A7F4ED00-A0F6-4FE2-9086-42B8BA71E109}"/>
    <cellStyle name="Currency 2 6 2 4" xfId="1023" xr:uid="{FC65B01F-64ED-45C2-B0F6-5BD97914597F}"/>
    <cellStyle name="Currency 2 6 2 4 2" xfId="1453" xr:uid="{F733EE5C-A656-4782-83DF-1BAE60E90B08}"/>
    <cellStyle name="Currency 2 6 2 4 2 2" xfId="3006" xr:uid="{617A4990-D25E-48E4-AD64-9FC54EF79752}"/>
    <cellStyle name="Currency 2 6 2 4 2 2 2" xfId="5056" xr:uid="{DFA62AE1-A704-4A8B-AA81-96B10045B9C3}"/>
    <cellStyle name="Currency 2 6 2 4 2 3" xfId="3788" xr:uid="{F23D8279-E83A-452E-8C64-2F218FB87F95}"/>
    <cellStyle name="Currency 2 6 2 4 3" xfId="1859" xr:uid="{C835F89B-DC2E-45DE-AB5F-7B776B8D2D94}"/>
    <cellStyle name="Currency 2 6 2 4 3 2" xfId="4176" xr:uid="{50BA52D4-DF9E-4AB3-AC37-B37DA233EDD8}"/>
    <cellStyle name="Currency 2 6 2 4 4" xfId="2644" xr:uid="{F9E6E7EE-ADBB-4E8C-BE7A-0BA0D43351BA}"/>
    <cellStyle name="Currency 2 6 2 4 4 2" xfId="4714" xr:uid="{BF43A3E4-3A59-4535-B2FA-A005AF4879C5}"/>
    <cellStyle name="Currency 2 6 2 4 5" xfId="3400" xr:uid="{2B96C658-6B89-4E15-979D-DF180829AB00}"/>
    <cellStyle name="Currency 2 6 2 5" xfId="1345" xr:uid="{72D93FE4-ED8B-4DC7-B6E1-48DF26FD8674}"/>
    <cellStyle name="Currency 2 6 2 5 2" xfId="2590" xr:uid="{B9D31442-B24E-4592-A835-9E92E34CA15B}"/>
    <cellStyle name="Currency 2 6 2 5 2 2" xfId="4662" xr:uid="{A23774B1-9DB0-4883-9959-B4B3B80FBBFB}"/>
    <cellStyle name="Currency 2 6 2 5 3" xfId="3681" xr:uid="{6525BDDA-7327-4150-8DD7-99D1FA60FCEE}"/>
    <cellStyle name="Currency 2 6 2 6" xfId="1752" xr:uid="{B056DEDC-4902-47F8-9A94-06660F815FC7}"/>
    <cellStyle name="Currency 2 6 2 6 2" xfId="2885" xr:uid="{FDF859BA-A348-4A49-85A1-D85F9BFA949B}"/>
    <cellStyle name="Currency 2 6 2 6 2 2" xfId="4939" xr:uid="{69DEC553-411B-48ED-A25A-32623F57D54F}"/>
    <cellStyle name="Currency 2 6 2 6 3" xfId="4069" xr:uid="{1000B7B3-5D33-4C62-816A-76A828F9F2B4}"/>
    <cellStyle name="Currency 2 6 2 7" xfId="2443" xr:uid="{AA0EF296-B2A9-4C6B-A1B4-348F71531676}"/>
    <cellStyle name="Currency 2 6 2 7 2" xfId="4544" xr:uid="{B14A4CCA-9D6B-40A8-8A75-74708589D3AF}"/>
    <cellStyle name="Currency 2 6 2 8" xfId="3293" xr:uid="{EC410948-7F2A-46C7-BAEB-A8AB932D1DBF}"/>
    <cellStyle name="Currency 2 6 3" xfId="1107" xr:uid="{2F04EC84-BA4B-4189-911C-0E38AA880CE8}"/>
    <cellStyle name="Currency 2 6 3 2" xfId="1524" xr:uid="{D47D1B11-FD52-4B54-8F46-8FAF087FD60E}"/>
    <cellStyle name="Currency 2 6 3 2 2" xfId="3076" xr:uid="{0EFA3194-E2D2-490E-91C1-82AC37BD3245}"/>
    <cellStyle name="Currency 2 6 3 2 2 2" xfId="5125" xr:uid="{41C7F6C6-5B43-45D5-BC40-38DB07F3C807}"/>
    <cellStyle name="Currency 2 6 3 2 3" xfId="3859" xr:uid="{D43E40D3-0B57-43F1-9959-E21952571030}"/>
    <cellStyle name="Currency 2 6 3 3" xfId="1930" xr:uid="{4FD71F7E-DEA8-411E-9B09-210C948666C9}"/>
    <cellStyle name="Currency 2 6 3 3 2" xfId="4247" xr:uid="{D5832F4B-D0C6-40A6-B813-F921FCB41A77}"/>
    <cellStyle name="Currency 2 6 3 4" xfId="2585" xr:uid="{3E32CF11-1E19-4025-B23B-1FF84FFC00C4}"/>
    <cellStyle name="Currency 2 6 3 4 2" xfId="4661" xr:uid="{16F544E0-53D1-4DDD-B193-33408160E5B2}"/>
    <cellStyle name="Currency 2 6 3 5" xfId="3471" xr:uid="{66747881-EE48-4E1A-9AF4-FCF34E3D13EC}"/>
    <cellStyle name="Currency 2 6 4" xfId="1214" xr:uid="{D61B3A4F-D422-462D-8D1E-901587A23409}"/>
    <cellStyle name="Currency 2 6 4 2" xfId="1629" xr:uid="{A967CA5D-3A3C-47C6-AD42-C5CFEE9426F1}"/>
    <cellStyle name="Currency 2 6 4 2 2" xfId="3181" xr:uid="{C0CA76DF-B95D-4635-B2E4-239C44600502}"/>
    <cellStyle name="Currency 2 6 4 2 2 2" xfId="5230" xr:uid="{C69D73A3-F157-4B10-8EF7-78505DC0209B}"/>
    <cellStyle name="Currency 2 6 4 2 3" xfId="3964" xr:uid="{EA817B46-FFCC-4213-AD68-DAF5F867AC70}"/>
    <cellStyle name="Currency 2 6 4 3" xfId="2035" xr:uid="{D658E0B3-79A9-4A79-AEF1-758E1EFC05BC}"/>
    <cellStyle name="Currency 2 6 4 3 2" xfId="4352" xr:uid="{4A962C68-B3F4-4ABC-A168-C3ED748E0E03}"/>
    <cellStyle name="Currency 2 6 4 4" xfId="2781" xr:uid="{5F6E8091-9E8E-49D5-A82F-67F19C53662A}"/>
    <cellStyle name="Currency 2 6 4 4 2" xfId="4851" xr:uid="{A708B41D-7B3A-4A26-A75C-24FAC9C50645}"/>
    <cellStyle name="Currency 2 6 4 5" xfId="3576" xr:uid="{64F050EB-6B0F-41B1-8872-139DA609648F}"/>
    <cellStyle name="Currency 2 6 5" xfId="984" xr:uid="{4816A2EF-A793-4089-BF8F-EB09FEA604CE}"/>
    <cellStyle name="Currency 2 6 5 2" xfId="1419" xr:uid="{840D60F3-775E-461A-B92A-1721DD00D262}"/>
    <cellStyle name="Currency 2 6 5 2 2" xfId="2930" xr:uid="{786C273E-AB3D-4E3C-98D3-01AFE4C8EE60}"/>
    <cellStyle name="Currency 2 6 5 2 2 2" xfId="4984" xr:uid="{8CA376FA-9EA2-4CA6-BCBA-EA8D0AA8BA1E}"/>
    <cellStyle name="Currency 2 6 5 2 3" xfId="3754" xr:uid="{9BC46DBD-716D-447B-9169-9425D2D93125}"/>
    <cellStyle name="Currency 2 6 5 3" xfId="1825" xr:uid="{1546BBB1-2E0E-45A5-B788-EA7CF7D8A540}"/>
    <cellStyle name="Currency 2 6 5 3 2" xfId="4142" xr:uid="{02F4EE74-6113-4D6B-9E39-C757167B06C0}"/>
    <cellStyle name="Currency 2 6 5 4" xfId="2615" xr:uid="{D4692634-7028-4E12-8E72-D5560B3DA396}"/>
    <cellStyle name="Currency 2 6 5 4 2" xfId="4685" xr:uid="{8C2D928C-74FE-442B-90BE-4FA8820DB63A}"/>
    <cellStyle name="Currency 2 6 5 5" xfId="3366" xr:uid="{FA8BA46B-83FA-44B9-AE5C-D5674204E2D1}"/>
    <cellStyle name="Currency 2 6 6" xfId="1291" xr:uid="{16AB2A28-5359-4CFF-AF3B-7CFB76786A17}"/>
    <cellStyle name="Currency 2 6 6 2" xfId="2957" xr:uid="{1BEC6576-60BA-4D80-854D-DE1D2FCF9F13}"/>
    <cellStyle name="Currency 2 6 6 2 2" xfId="5010" xr:uid="{84F9D7C7-4AE2-4E06-AF0D-A0C972696575}"/>
    <cellStyle name="Currency 2 6 6 3" xfId="3647" xr:uid="{FD8D01CF-7CA5-4947-8E17-97A4AA4395F4}"/>
    <cellStyle name="Currency 2 6 7" xfId="1715" xr:uid="{2CDFD9D2-8A24-47D3-B8F3-037457F1DE90}"/>
    <cellStyle name="Currency 2 6 7 2" xfId="4035" xr:uid="{62E07835-3EA4-44DA-997B-FF6BC5E86645}"/>
    <cellStyle name="Currency 2 6 8" xfId="2324" xr:uid="{28980443-42BB-475F-A48F-F8E3E2E7B4D9}"/>
    <cellStyle name="Currency 2 6 8 2" xfId="4472" xr:uid="{CA3767E1-8845-4030-A27A-B87AE19A65A4}"/>
    <cellStyle name="Currency 2 6 9" xfId="3259" xr:uid="{2BF9BD23-7DAA-46AE-A012-6EA507FE4A08}"/>
    <cellStyle name="Currency 3" xfId="349" xr:uid="{9A982826-D3FE-4DAF-AB87-FCAE6062056C}"/>
    <cellStyle name="Currency 3 2" xfId="350" xr:uid="{FC70EEBE-3432-4D84-BCEE-7F3E531CFCDA}"/>
    <cellStyle name="Currency 3 2 2" xfId="351" xr:uid="{C6F55284-5E86-4CE2-8764-0A8FAB4A0073}"/>
    <cellStyle name="Currency 3 2 2 2" xfId="352" xr:uid="{904269F4-0CF0-4EDE-BF50-BBDE567D6690}"/>
    <cellStyle name="Currency 3 2 3" xfId="353" xr:uid="{2B14730A-F182-4B6E-AE56-CCFCA6F2CABF}"/>
    <cellStyle name="Currency 3 2 3 2" xfId="354" xr:uid="{5A8875E3-8CFF-4214-88C5-46D504AC1B2B}"/>
    <cellStyle name="Currency 3 2 4" xfId="355" xr:uid="{A948F187-D011-4431-8FC6-BE47A5FDFE13}"/>
    <cellStyle name="Currency 3 3" xfId="356" xr:uid="{ED5CC423-5FC3-430D-BD95-776F06CDC155}"/>
    <cellStyle name="Currency 3 3 2" xfId="357" xr:uid="{B992541D-912A-45DD-B9B6-566FFF5F301B}"/>
    <cellStyle name="Currency 3 3 3" xfId="2325" xr:uid="{EC0AF90C-C142-4840-AB03-8072F308B271}"/>
    <cellStyle name="Currency 4" xfId="358" xr:uid="{D0D47342-7326-4E50-8CAB-7E94C46591EE}"/>
    <cellStyle name="Currency 4 2" xfId="873" xr:uid="{7B5C71EE-144E-4D1E-A5EF-E324D9FC1B94}"/>
    <cellStyle name="Currency 4 3" xfId="5283" xr:uid="{BF2DE1B2-73E2-47DF-B386-AF1A043DD5BF}"/>
    <cellStyle name="Currency 5" xfId="359" xr:uid="{9C3A06A9-967E-422E-BB0D-776B490610DE}"/>
    <cellStyle name="Currency 6" xfId="360" xr:uid="{65051727-5ECC-44FF-970E-065A5BBD58AF}"/>
    <cellStyle name="Explanatory Text 2" xfId="361" xr:uid="{3217C291-DA2D-4F0B-963B-A12422901C3F}"/>
    <cellStyle name="Explanatory Text 2 2" xfId="362" xr:uid="{7A68B1F1-96A8-4773-A086-217F6AF11278}"/>
    <cellStyle name="Explanatory Text 2 3" xfId="363" xr:uid="{91E5C180-6A70-4501-A012-84DA6500C47D}"/>
    <cellStyle name="Explanatory Text 3" xfId="364" xr:uid="{8FE91795-D644-4212-96B9-21F2D7A7CCAB}"/>
    <cellStyle name="Explanatory Text 4" xfId="365" xr:uid="{80B29B4E-D030-4F0C-9BCA-1BFF87DDCE84}"/>
    <cellStyle name="Good 2" xfId="366" xr:uid="{36CA4BDE-CBD4-4769-9973-FA40FEDD6B8D}"/>
    <cellStyle name="Good 2 2" xfId="367" xr:uid="{369B2B7C-B165-457B-95A1-FEE23AA7D5F1}"/>
    <cellStyle name="Good 2 3" xfId="368" xr:uid="{E007DEF5-89D2-43D2-92D6-188D79DA3413}"/>
    <cellStyle name="Good 2 4" xfId="369" xr:uid="{FD62DF4D-64F3-40CD-B718-22B5D2528157}"/>
    <cellStyle name="Good 2 5" xfId="370" xr:uid="{7C02723C-060A-4071-8C8E-77E96E54A3D9}"/>
    <cellStyle name="Good 2 6" xfId="2326" xr:uid="{40C83AA2-0F06-47CE-9AE1-F819ADD3B914}"/>
    <cellStyle name="Good 3" xfId="371" xr:uid="{3660AC5B-A0E2-4E46-9081-CA4E103C8372}"/>
    <cellStyle name="Good 4" xfId="372" xr:uid="{C5062CC1-BA2F-46E8-B616-623E9EEC852E}"/>
    <cellStyle name="Heading 1 2" xfId="373" xr:uid="{FFEDC8B8-D9E1-45B0-871E-6E9B8090D0B2}"/>
    <cellStyle name="Heading 1 2 2" xfId="374" xr:uid="{5166E2AE-0E19-4BE2-8044-EE2F676F434D}"/>
    <cellStyle name="Heading 1 2 3" xfId="375" xr:uid="{DF508CDC-1267-490A-88FE-0AB59FF0C369}"/>
    <cellStyle name="Heading 1 2 4" xfId="376" xr:uid="{186BFDBB-F259-4154-8C7A-634602F81EB3}"/>
    <cellStyle name="Heading 1 2 5" xfId="377" xr:uid="{AA3DF2A1-B6DD-4DA9-8C02-1F4D80065FFE}"/>
    <cellStyle name="Heading 1 2 6" xfId="2327" xr:uid="{BD71DC3A-7C95-4D32-B3B9-9346383AA16C}"/>
    <cellStyle name="Heading 1 3" xfId="378" xr:uid="{5B888EFA-3705-4043-B6B2-08D3EC2F7E25}"/>
    <cellStyle name="Heading 1 4" xfId="379" xr:uid="{FDDF613D-22DD-4490-92AE-A30C21E9DA71}"/>
    <cellStyle name="Heading 2 2" xfId="380" xr:uid="{8B973FCF-2A42-4716-A8C4-DF729AE8A590}"/>
    <cellStyle name="Heading 2 2 2" xfId="381" xr:uid="{18EA045C-8E8C-4CA0-8D2C-6429D7003960}"/>
    <cellStyle name="Heading 2 2 3" xfId="382" xr:uid="{EEC8F5D7-48BB-4054-9E33-5991742763CF}"/>
    <cellStyle name="Heading 2 2 4" xfId="383" xr:uid="{BD12243B-4A76-48C7-AEB3-81001149F5DE}"/>
    <cellStyle name="Heading 2 2 5" xfId="384" xr:uid="{9ADA43CC-158E-48CD-97C8-CBD39730C12B}"/>
    <cellStyle name="Heading 2 2 6" xfId="2328" xr:uid="{3DA76FF4-F175-462D-B2EA-15428E331DCE}"/>
    <cellStyle name="Heading 2 3" xfId="385" xr:uid="{2A6D3355-50BB-49A7-BC50-28111257E28A}"/>
    <cellStyle name="Heading 2 4" xfId="386" xr:uid="{338A4CA5-D5B3-4891-9399-6F0C2682AB0C}"/>
    <cellStyle name="Heading 3 2" xfId="387" xr:uid="{C931949A-CB04-418D-BF49-2CB21A7E62CB}"/>
    <cellStyle name="Heading 3 2 2" xfId="388" xr:uid="{3105811D-3871-403F-8873-FCB1E1DB9DE4}"/>
    <cellStyle name="Heading 3 2 3" xfId="389" xr:uid="{B4ADD1EC-B64D-41D7-8529-10E68E8A7EAC}"/>
    <cellStyle name="Heading 3 2 4" xfId="390" xr:uid="{77B2CFD0-71E9-48AA-B66F-749854DC65A6}"/>
    <cellStyle name="Heading 3 2 5" xfId="391" xr:uid="{E008CD72-AA1A-4158-BDBB-D3DB23BE0B9C}"/>
    <cellStyle name="Heading 3 2 6" xfId="2329" xr:uid="{43D0A709-73EC-420E-8EB0-15C78DE34E78}"/>
    <cellStyle name="Heading 3 3" xfId="392" xr:uid="{76738DFA-FF29-4CC3-96CD-9F825F62E7E0}"/>
    <cellStyle name="Heading 3 4" xfId="393" xr:uid="{A8C51B73-0378-4B0C-9781-FE03F43AC6F5}"/>
    <cellStyle name="Heading 4 2" xfId="394" xr:uid="{7F785085-AD44-4223-9BE9-3E04F66CF6BE}"/>
    <cellStyle name="Heading 4 2 2" xfId="395" xr:uid="{8D27FD0A-671E-4427-8EC9-10264168032D}"/>
    <cellStyle name="Heading 4 2 3" xfId="396" xr:uid="{2A2E7352-D9C4-4188-9F05-7217BAF93350}"/>
    <cellStyle name="Heading 4 2 4" xfId="397" xr:uid="{A95A2B80-FA2F-4D75-BFFB-62941087E131}"/>
    <cellStyle name="Heading 4 2 5" xfId="398" xr:uid="{A0480393-1868-4F03-AE3F-5FFC951C5259}"/>
    <cellStyle name="Heading 4 2 6" xfId="2330" xr:uid="{B11D69D1-1760-4B5C-BA99-2CDC4034BBCA}"/>
    <cellStyle name="Heading 4 3" xfId="399" xr:uid="{BD963047-A7E4-4474-9B5D-28994D4A53FE}"/>
    <cellStyle name="Heading 4 4" xfId="400" xr:uid="{F5455B45-BC85-4165-AB24-CEBB798D24DB}"/>
    <cellStyle name="Hyperlink" xfId="2" builtinId="8"/>
    <cellStyle name="Hyperlink 17" xfId="874" xr:uid="{D29178F1-845D-4682-BB78-51B9CEDF59C2}"/>
    <cellStyle name="Hyperlink 2" xfId="15" xr:uid="{00000000-0005-0000-0000-000002000000}"/>
    <cellStyle name="Hyperlink 2 2" xfId="875" xr:uid="{6FD4E3F7-C6C0-4AB8-A8B1-2E5600DF856C}"/>
    <cellStyle name="Hyperlink 2 2 2" xfId="2536" xr:uid="{83A2C7AD-C0FF-43BC-9204-55598485AC04}"/>
    <cellStyle name="Hyperlink 2 2 3" xfId="2331" xr:uid="{754957BD-B492-44FA-BF16-E855AEBBED60}"/>
    <cellStyle name="Hyperlink 3" xfId="401" xr:uid="{2544BAAE-CFFB-468E-B356-B05C1B32DFD2}"/>
    <cellStyle name="Input 2" xfId="402" xr:uid="{31199428-B4EB-4AA6-9FC2-ED18808CD263}"/>
    <cellStyle name="Input 2 2" xfId="403" xr:uid="{67050F65-F734-4CB5-8481-7FA7A1C27C8C}"/>
    <cellStyle name="Input 2 3" xfId="404" xr:uid="{4397D325-598E-4D16-A643-D11F6AC07F63}"/>
    <cellStyle name="Input 2 4" xfId="405" xr:uid="{B74DAFB0-FCCB-44CB-9497-F299C2001343}"/>
    <cellStyle name="Input 2 5" xfId="406" xr:uid="{B2313AB2-9927-4B0F-8BB1-143165F3F829}"/>
    <cellStyle name="Input 2 6" xfId="2332" xr:uid="{83A790CA-B07F-4B71-B71C-41547426ECBC}"/>
    <cellStyle name="Input 3" xfId="407" xr:uid="{1243B529-DD33-4D09-998A-0905C2AC9BB0}"/>
    <cellStyle name="Input 4" xfId="408" xr:uid="{FB0BE1D0-EEA1-494F-9299-3F3CF93E7251}"/>
    <cellStyle name="Linked Cell 2" xfId="409" xr:uid="{E73D2CD3-4D28-48B0-B9AC-CDF03A27159F}"/>
    <cellStyle name="Linked Cell 2 2" xfId="410" xr:uid="{8C980DC9-A651-4202-9FAD-6F8DED5751EA}"/>
    <cellStyle name="Linked Cell 2 3" xfId="411" xr:uid="{E7D089FA-296C-4780-B101-B9DAF887CDF6}"/>
    <cellStyle name="Linked Cell 2 4" xfId="412" xr:uid="{CFD7963C-6D83-4AE4-A482-0304E4CCB0F6}"/>
    <cellStyle name="Linked Cell 2 5" xfId="413" xr:uid="{252076A0-2287-48B4-BE37-3324F37566FC}"/>
    <cellStyle name="Linked Cell 2 6" xfId="2333" xr:uid="{3B388104-DBD5-4E0E-A580-9E6E431F14F7}"/>
    <cellStyle name="Linked Cell 3" xfId="414" xr:uid="{383DA7C2-F4A9-4CD5-BDD2-E3D4B93D23B5}"/>
    <cellStyle name="Linked Cell 4" xfId="415" xr:uid="{8356C62C-3F31-470F-9CAF-FB5EA053CE90}"/>
    <cellStyle name="Neutral 2" xfId="416" xr:uid="{D5EA1F9E-1426-4F69-BDB6-D91444148A79}"/>
    <cellStyle name="Neutral 2 2" xfId="417" xr:uid="{9AEA2E83-9348-42ED-9EC0-62DD48E422A1}"/>
    <cellStyle name="Neutral 2 2 2" xfId="2334" xr:uid="{BF454C01-AE74-4B84-859B-2E57BC9E35EE}"/>
    <cellStyle name="Neutral 2 2 3" xfId="2166" xr:uid="{682F178F-723F-4BD4-A10F-66A64560630C}"/>
    <cellStyle name="Neutral 2 3" xfId="418" xr:uid="{595EE51F-5046-40B3-A1A2-998AECA46C3C}"/>
    <cellStyle name="Neutral 2 3 2" xfId="2335" xr:uid="{26BDC2A2-18DA-45C2-8D51-3CC9F6B3F444}"/>
    <cellStyle name="Neutral 2 3 3" xfId="2167" xr:uid="{560CA341-B295-4592-B7A6-625870847396}"/>
    <cellStyle name="Neutral 2 4" xfId="419" xr:uid="{91A07A6A-C42C-4C8A-8040-0BEF9BBC62C3}"/>
    <cellStyle name="Neutral 2 4 2" xfId="2336" xr:uid="{A2017396-1C1C-4C5A-B4D3-8E668D7F9B59}"/>
    <cellStyle name="Neutral 2 4 3" xfId="2168" xr:uid="{FBB0C9D6-45C8-4B91-96C3-036A05A02DC7}"/>
    <cellStyle name="Neutral 2 5" xfId="420" xr:uid="{8F682B2F-6389-405F-B16B-E9147DF30CA5}"/>
    <cellStyle name="Neutral 2 5 2" xfId="2337" xr:uid="{2350900E-1D95-4F0B-B63B-C15E1D5D305D}"/>
    <cellStyle name="Neutral 2 5 3" xfId="2169" xr:uid="{060C1238-8F7A-4A93-B9BC-B95C7BFB279C}"/>
    <cellStyle name="Neutral 2 6" xfId="897" xr:uid="{B9B9A1ED-6EA0-4238-835D-FC697A68C4AF}"/>
    <cellStyle name="Neutral 2 6 2" xfId="2338" xr:uid="{570D7F80-33C6-4097-8947-E61EC4E583C5}"/>
    <cellStyle name="Neutral 2 6 3" xfId="2517" xr:uid="{F9725374-04A3-47AD-AFE3-0BC9514D630F}"/>
    <cellStyle name="Neutral 2 6 4" xfId="2209" xr:uid="{321F50F5-511B-4F36-ACF5-BC22E74E2B07}"/>
    <cellStyle name="Neutral 2 6 5" xfId="5358" xr:uid="{8DE2B534-FD3E-4CDF-8252-846843F8A10A}"/>
    <cellStyle name="Neutral 3" xfId="421" xr:uid="{7ED4ADE5-6154-4F14-A37C-EF8BC061E44D}"/>
    <cellStyle name="Neutral 3 2" xfId="2339" xr:uid="{353A5B54-7ABD-4DB1-AD2D-75F1EF1BE029}"/>
    <cellStyle name="Neutral 3 3" xfId="2170" xr:uid="{79865534-4CA8-49A2-8F1D-0CE5D797EE24}"/>
    <cellStyle name="Neutral 4" xfId="422" xr:uid="{AADE39C5-1B5B-4978-9A75-896CBCC2FD1F}"/>
    <cellStyle name="Neutral 4 2" xfId="2340" xr:uid="{4D178EC4-039D-4F81-9F72-2D3E07D49AB3}"/>
    <cellStyle name="Neutral 4 3" xfId="2171" xr:uid="{6FD28F01-9568-49F7-9DED-F08790F89440}"/>
    <cellStyle name="Normal" xfId="0" builtinId="0"/>
    <cellStyle name="Normal 10" xfId="423" xr:uid="{66F8E322-1EEC-4A92-83F7-D8338F549EC7}"/>
    <cellStyle name="Normal 10 2" xfId="424" xr:uid="{F5960B26-01FB-4A04-876D-84D3DE7356D1}"/>
    <cellStyle name="Normal 10 2 2" xfId="425" xr:uid="{1EC8897A-E29D-48BB-AC50-2DE55C0B4E3B}"/>
    <cellStyle name="Normal 10 2 3" xfId="426" xr:uid="{2CA837C5-ED73-4A1F-9BBD-1ECD4BE4FCC2}"/>
    <cellStyle name="Normal 10 3" xfId="427" xr:uid="{4EC08958-AC3E-477C-B6EC-1AC9978750A5}"/>
    <cellStyle name="Normal 10 3 10" xfId="2172" xr:uid="{BEC936F3-7DB1-4D04-8AFC-21D5046382B8}"/>
    <cellStyle name="Normal 10 3 10 2" xfId="4417" xr:uid="{FE8B7562-D6A9-4354-9CBE-26FC6F3A9823}"/>
    <cellStyle name="Normal 10 3 11" xfId="3260" xr:uid="{31899ADE-4728-4FA3-B05B-1DD40FF5599C}"/>
    <cellStyle name="Normal 10 3 2" xfId="428" xr:uid="{6C9E29C6-7CDD-49BA-A51D-1A69CA25BF59}"/>
    <cellStyle name="Normal 10 3 3" xfId="843" xr:uid="{28B72EC6-2FA8-4ED8-B282-D612C7A34E6E}"/>
    <cellStyle name="Normal 10 3 3 2" xfId="1108" xr:uid="{5B052600-98FC-4689-9B02-D0CF76187FC8}"/>
    <cellStyle name="Normal 10 3 3 2 2" xfId="1525" xr:uid="{F3EEE3DC-2C2D-47E2-A793-CF89545B4412}"/>
    <cellStyle name="Normal 10 3 3 2 2 2" xfId="2693" xr:uid="{0E857E38-EE35-4983-AB54-1A02A096E9DF}"/>
    <cellStyle name="Normal 10 3 3 2 2 2 2" xfId="4763" xr:uid="{24DF6AE3-AFD8-4FA3-9675-797B16892700}"/>
    <cellStyle name="Normal 10 3 3 2 2 3" xfId="3860" xr:uid="{CD4D368C-D3C4-4343-8BA9-E0FD77D2CCC8}"/>
    <cellStyle name="Normal 10 3 3 2 3" xfId="1931" xr:uid="{B12D0116-A063-4B0D-878E-ACA4D07D9755}"/>
    <cellStyle name="Normal 10 3 3 2 3 2" xfId="3077" xr:uid="{DE18042C-27B7-400D-BCA8-6F3CEFBB2C48}"/>
    <cellStyle name="Normal 10 3 3 2 3 2 2" xfId="5126" xr:uid="{CACA4AD4-734E-4874-BC63-4C914431D3E7}"/>
    <cellStyle name="Normal 10 3 3 2 3 3" xfId="4248" xr:uid="{8DC6E4B0-E332-4427-9193-2B5B7CAB7732}"/>
    <cellStyle name="Normal 10 3 3 2 4" xfId="2416" xr:uid="{51AE67D8-DB0B-4F92-82E2-54D4DD1D84E2}"/>
    <cellStyle name="Normal 10 3 3 2 4 2" xfId="4517" xr:uid="{2AE2A19D-5517-420F-B17E-FBFA97164619}"/>
    <cellStyle name="Normal 10 3 3 2 5" xfId="3472" xr:uid="{1EF30CDB-9B5E-43F0-9BFF-559932229A27}"/>
    <cellStyle name="Normal 10 3 3 3" xfId="1215" xr:uid="{A376BE26-CE37-4246-B327-97D06C342192}"/>
    <cellStyle name="Normal 10 3 3 3 2" xfId="1630" xr:uid="{BA4BCA97-593F-4DC9-A61D-3A19A5347758}"/>
    <cellStyle name="Normal 10 3 3 3 2 2" xfId="3182" xr:uid="{58F338FF-93D8-4905-BAB1-DF16D118192A}"/>
    <cellStyle name="Normal 10 3 3 3 2 2 2" xfId="5231" xr:uid="{0356F586-1BCC-4FAE-8790-2BDB48B5A4AA}"/>
    <cellStyle name="Normal 10 3 3 3 2 3" xfId="3965" xr:uid="{85C26B81-C73B-4622-AB8D-0C760B459C7E}"/>
    <cellStyle name="Normal 10 3 3 3 3" xfId="2036" xr:uid="{5BAD81E8-6764-49F0-9553-85AA44C53D6C}"/>
    <cellStyle name="Normal 10 3 3 3 3 2" xfId="4353" xr:uid="{890AEEB8-E2BA-4EC2-BF3C-59F0FC7C8F7D}"/>
    <cellStyle name="Normal 10 3 3 3 4" xfId="2550" xr:uid="{39AD67DB-C64B-4D4D-BB8F-D1FF148CD7E9}"/>
    <cellStyle name="Normal 10 3 3 3 4 2" xfId="4629" xr:uid="{A36343F6-4AF7-4147-8EBD-D6D99E0EFB9E}"/>
    <cellStyle name="Normal 10 3 3 3 5" xfId="3577" xr:uid="{5CB78930-BD25-4A11-895A-AFDE9F31C43B}"/>
    <cellStyle name="Normal 10 3 3 4" xfId="985" xr:uid="{58DB6131-966A-4D2D-BE08-DEB8CB2C4217}"/>
    <cellStyle name="Normal 10 3 3 4 2" xfId="1420" xr:uid="{C4AC566F-A2D8-4FFE-98C4-88B13A537CBF}"/>
    <cellStyle name="Normal 10 3 3 4 2 2" xfId="2956" xr:uid="{C5818874-FAC1-4757-BBDA-1F2FC2BABF11}"/>
    <cellStyle name="Normal 10 3 3 4 2 2 2" xfId="5009" xr:uid="{4FAB92E7-5E5C-4ED6-AD92-867CA8B3DB9E}"/>
    <cellStyle name="Normal 10 3 3 4 2 3" xfId="3755" xr:uid="{E4C264F8-199C-4F1B-A181-18245BF640B5}"/>
    <cellStyle name="Normal 10 3 3 4 3" xfId="1826" xr:uid="{CA314675-F868-4B1B-A1FC-D302D33F2BA9}"/>
    <cellStyle name="Normal 10 3 3 4 3 2" xfId="4143" xr:uid="{9A95306A-2061-4857-A7BE-F42A65C73E36}"/>
    <cellStyle name="Normal 10 3 3 4 4" xfId="2616" xr:uid="{DD296B46-ED06-4A35-B003-DB0C0DF9176A}"/>
    <cellStyle name="Normal 10 3 3 4 4 2" xfId="4686" xr:uid="{76C3C993-B4FF-4936-8BCA-0B1C98DC1E84}"/>
    <cellStyle name="Normal 10 3 3 4 5" xfId="3367" xr:uid="{4522020D-287F-43E7-BD4D-D974DB53F2E6}"/>
    <cellStyle name="Normal 10 3 3 5" xfId="1346" xr:uid="{BC908B49-4046-4450-9F3E-0D3D702A99E2}"/>
    <cellStyle name="Normal 10 3 3 5 2" xfId="2915" xr:uid="{D56F4ECC-4886-4E53-9A46-665FFE56C302}"/>
    <cellStyle name="Normal 10 3 3 5 2 2" xfId="4969" xr:uid="{E5158EF9-82C2-4A19-A8D8-9FEA2CB8ED64}"/>
    <cellStyle name="Normal 10 3 3 5 3" xfId="3682" xr:uid="{7D8E9BB6-B8C8-4FB0-BD0F-32B1C6A11968}"/>
    <cellStyle name="Normal 10 3 3 6" xfId="1753" xr:uid="{68849260-1A28-419C-BBFA-BE8A71A73C12}"/>
    <cellStyle name="Normal 10 3 3 6 2" xfId="4070" xr:uid="{C11AFE3B-C69E-4C84-979F-69FF429A5B89}"/>
    <cellStyle name="Normal 10 3 3 7" xfId="2224" xr:uid="{F94FA1A7-8A30-47AC-A5CF-19A7CA75DAE6}"/>
    <cellStyle name="Normal 10 3 3 7 2" xfId="4445" xr:uid="{197C15A2-B5E5-4634-AA5B-72D4CBD726BA}"/>
    <cellStyle name="Normal 10 3 3 8" xfId="3294" xr:uid="{AE653DB1-F861-4056-9FDE-C9B46D075858}"/>
    <cellStyle name="Normal 10 3 4" xfId="1024" xr:uid="{361D0493-95F0-4D06-A6B7-5F508C81135F}"/>
    <cellStyle name="Normal 10 3 4 2" xfId="1142" xr:uid="{623AC304-EEA0-4556-951B-97E151332543}"/>
    <cellStyle name="Normal 10 3 4 2 2" xfId="1559" xr:uid="{AC3ABCBD-CD52-4297-BA51-F028587C68EA}"/>
    <cellStyle name="Normal 10 3 4 2 2 2" xfId="3111" xr:uid="{28D6ADC5-615A-4849-9464-EEED61B40BB9}"/>
    <cellStyle name="Normal 10 3 4 2 2 2 2" xfId="5160" xr:uid="{A6583D9B-67CF-4AFF-BEEB-2E66CBBC54F4}"/>
    <cellStyle name="Normal 10 3 4 2 2 3" xfId="3894" xr:uid="{6C0CE38B-5ACC-40C9-AFED-9EF5559CACAD}"/>
    <cellStyle name="Normal 10 3 4 2 3" xfId="1965" xr:uid="{027F73AA-9B3F-44CD-B7B2-BF6444A45E0E}"/>
    <cellStyle name="Normal 10 3 4 2 3 2" xfId="4282" xr:uid="{FE627F6D-FDF0-41AD-A64A-2EDEDC2BBFC5}"/>
    <cellStyle name="Normal 10 3 4 2 4" xfId="2727" xr:uid="{0F6D3C80-3B26-44B2-91FA-53B5500522E0}"/>
    <cellStyle name="Normal 10 3 4 2 4 2" xfId="4797" xr:uid="{4C557AC8-45BC-4726-8893-1B70005BFCA1}"/>
    <cellStyle name="Normal 10 3 4 2 5" xfId="3506" xr:uid="{B1C3701F-7094-4504-B690-6FAA1781FDAC}"/>
    <cellStyle name="Normal 10 3 4 3" xfId="1253" xr:uid="{6B199E98-6857-4992-A1FB-CA92541FD81F}"/>
    <cellStyle name="Normal 10 3 4 3 2" xfId="1664" xr:uid="{6549FFD0-646B-41B3-BAD5-A38AA29F9484}"/>
    <cellStyle name="Normal 10 3 4 3 2 2" xfId="3216" xr:uid="{AE967672-D5A0-47E3-9282-6163A6425920}"/>
    <cellStyle name="Normal 10 3 4 3 2 2 2" xfId="5265" xr:uid="{06ACDD01-7323-4DCC-831E-E2D3313F8B7D}"/>
    <cellStyle name="Normal 10 3 4 3 2 3" xfId="3999" xr:uid="{38181A27-8F42-4B8D-81E9-1A3399F1FAA8}"/>
    <cellStyle name="Normal 10 3 4 3 3" xfId="2070" xr:uid="{A769C002-B166-43C7-947E-D71D7E0340B7}"/>
    <cellStyle name="Normal 10 3 4 3 3 2" xfId="4387" xr:uid="{83716536-C280-4B09-8D79-BE508BDE2ACF}"/>
    <cellStyle name="Normal 10 3 4 3 4" xfId="2803" xr:uid="{37E3462B-1A2D-42A3-9465-79A9BF342882}"/>
    <cellStyle name="Normal 10 3 4 3 4 2" xfId="4873" xr:uid="{53F0CF8B-64A5-4593-BD54-AB1764448D2F}"/>
    <cellStyle name="Normal 10 3 4 3 5" xfId="3611" xr:uid="{D52698FA-ED9B-4E4C-B5B3-48117B4A3667}"/>
    <cellStyle name="Normal 10 3 4 4" xfId="1454" xr:uid="{B96C70C3-9EF5-4215-9F2F-F5799C48915D}"/>
    <cellStyle name="Normal 10 3 4 4 2" xfId="2645" xr:uid="{575BC861-9934-4696-B9E0-3B78E1D6928C}"/>
    <cellStyle name="Normal 10 3 4 4 2 2" xfId="4715" xr:uid="{AF117730-8981-4827-9063-323BE003BCE5}"/>
    <cellStyle name="Normal 10 3 4 4 3" xfId="3789" xr:uid="{E38C6D46-793D-4F31-BF27-D429A8A2515E}"/>
    <cellStyle name="Normal 10 3 4 5" xfId="1860" xr:uid="{F8573B1A-ECF0-4BF6-8422-625A262EFB03}"/>
    <cellStyle name="Normal 10 3 4 5 2" xfId="3007" xr:uid="{DD74D20E-8C3F-4AFD-9541-536354DA9FB5}"/>
    <cellStyle name="Normal 10 3 4 5 2 2" xfId="5057" xr:uid="{B0346096-2AFB-45BC-9733-1A23E6FE8EA5}"/>
    <cellStyle name="Normal 10 3 4 5 3" xfId="4177" xr:uid="{0686FFD4-2DB3-4651-8FB6-4541E38D1EEE}"/>
    <cellStyle name="Normal 10 3 4 6" xfId="2388" xr:uid="{00E319FC-ED2C-4A41-B334-3E3601C80512}"/>
    <cellStyle name="Normal 10 3 4 6 2" xfId="4489" xr:uid="{B86CF086-97F4-403B-B0B6-A0729E406698}"/>
    <cellStyle name="Normal 10 3 4 7" xfId="3401" xr:uid="{98256F00-E87D-491F-B53B-F816DDA19532}"/>
    <cellStyle name="Normal 10 3 5" xfId="1054" xr:uid="{A6119258-E626-4281-806F-A44C450D09A4}"/>
    <cellStyle name="Normal 10 3 5 2" xfId="1471" xr:uid="{2C4190F0-D505-4154-8819-C49C046F1E48}"/>
    <cellStyle name="Normal 10 3 5 2 2" xfId="3023" xr:uid="{39670A90-7DB4-4A9A-AE83-9197827A3494}"/>
    <cellStyle name="Normal 10 3 5 2 2 2" xfId="5073" xr:uid="{1608F9AD-B512-4584-8C39-02FC7A11376C}"/>
    <cellStyle name="Normal 10 3 5 2 3" xfId="3806" xr:uid="{0C64F1FF-DE3E-4CBE-9E21-B668D1D83E9F}"/>
    <cellStyle name="Normal 10 3 5 3" xfId="1877" xr:uid="{6D097EC7-E8C4-4182-B51D-AF046C493914}"/>
    <cellStyle name="Normal 10 3 5 3 2" xfId="4194" xr:uid="{6D91D045-F865-4D64-AF27-67253D05895C}"/>
    <cellStyle name="Normal 10 3 5 4" xfId="2492" xr:uid="{A2479546-70E3-4BFC-986D-B46C56A69C33}"/>
    <cellStyle name="Normal 10 3 5 4 2" xfId="4583" xr:uid="{DC875842-9E9C-475F-9891-9AFCCF09E2B4}"/>
    <cellStyle name="Normal 10 3 5 5" xfId="3418" xr:uid="{ECF2E07F-431E-45D7-853E-577975A6BD52}"/>
    <cellStyle name="Normal 10 3 6" xfId="1159" xr:uid="{7D67C54C-9BE4-4034-8818-6777E269E060}"/>
    <cellStyle name="Normal 10 3 6 2" xfId="1576" xr:uid="{6DFDDF8F-6EBC-4902-8170-68BE056767D2}"/>
    <cellStyle name="Normal 10 3 6 2 2" xfId="3128" xr:uid="{66CBA03C-5F15-4910-9125-3BA16921E962}"/>
    <cellStyle name="Normal 10 3 6 2 2 2" xfId="5177" xr:uid="{5194A8F5-98AC-4D6A-BF78-5EB6F76BE774}"/>
    <cellStyle name="Normal 10 3 6 2 3" xfId="3911" xr:uid="{AC464ED0-9F22-48FE-A282-DCC10CB0D2E5}"/>
    <cellStyle name="Normal 10 3 6 3" xfId="1982" xr:uid="{F8FF790F-3693-4A6E-B548-F10177E6374A}"/>
    <cellStyle name="Normal 10 3 6 3 2" xfId="4299" xr:uid="{0E43CB7F-5A6D-4898-A777-254A50BB5697}"/>
    <cellStyle name="Normal 10 3 6 4" xfId="2744" xr:uid="{18A8A468-F497-4303-9D5C-FA3F80D78EE4}"/>
    <cellStyle name="Normal 10 3 6 4 2" xfId="4814" xr:uid="{5AE15C4C-116A-46C7-BDE9-FCA5D1CA3686}"/>
    <cellStyle name="Normal 10 3 6 5" xfId="3523" xr:uid="{BECAE15D-996A-46D4-A0D3-F106360C0A2B}"/>
    <cellStyle name="Normal 10 3 7" xfId="898" xr:uid="{F25401E8-49A5-4229-ABE0-75BB8884A4B8}"/>
    <cellStyle name="Normal 10 3 7 2" xfId="1365" xr:uid="{B505F08E-4078-4489-8861-89AF3511DF66}"/>
    <cellStyle name="Normal 10 3 7 2 2" xfId="2863" xr:uid="{C76158B6-AD23-4FD1-B64C-C341CAB5651D}"/>
    <cellStyle name="Normal 10 3 7 2 2 2" xfId="4919" xr:uid="{E4832E91-DBF4-4A89-A307-0709F93E2864}"/>
    <cellStyle name="Normal 10 3 7 2 3" xfId="3701" xr:uid="{6ED7441A-9C32-42A5-9214-0393E884C653}"/>
    <cellStyle name="Normal 10 3 7 3" xfId="1772" xr:uid="{284601DE-06A8-40D7-A395-C41571E6A001}"/>
    <cellStyle name="Normal 10 3 7 3 2" xfId="4089" xr:uid="{B25A8D3B-1558-44DC-B483-B6D5C87FBEC2}"/>
    <cellStyle name="Normal 10 3 7 4" xfId="2594" xr:uid="{A8F4373A-295F-4E03-92E9-AF612350DD33}"/>
    <cellStyle name="Normal 10 3 7 4 2" xfId="4665" xr:uid="{97C89219-0E61-4E10-98F7-692094F66E76}"/>
    <cellStyle name="Normal 10 3 7 5" xfId="3313" xr:uid="{AC3A4F98-2653-45F1-AE5C-6F770A75CE31}"/>
    <cellStyle name="Normal 10 3 8" xfId="1292" xr:uid="{FAB8C0A8-E35C-4718-8437-BCE60911E91A}"/>
    <cellStyle name="Normal 10 3 8 2" xfId="2870" xr:uid="{7ED26455-F777-4AD6-9E9E-406D83A78A1A}"/>
    <cellStyle name="Normal 10 3 8 2 2" xfId="4925" xr:uid="{2F2B3AA5-7DB8-42DB-8EE8-169030B463AD}"/>
    <cellStyle name="Normal 10 3 8 3" xfId="3648" xr:uid="{E4345A14-E4C2-4AD0-B171-E8B3004DD14F}"/>
    <cellStyle name="Normal 10 3 9" xfId="1717" xr:uid="{B10133E9-6157-45C4-A8AA-5772D5582F5A}"/>
    <cellStyle name="Normal 10 3 9 2" xfId="4036" xr:uid="{5F4F0192-391D-4BFB-87DE-66245BD27D7C}"/>
    <cellStyle name="Normal 10 4" xfId="429" xr:uid="{CC21C027-9C48-4355-95E3-E5758ACC98A2}"/>
    <cellStyle name="Normal 10 5" xfId="430" xr:uid="{1316A639-CF4C-4FE2-A5D0-6E5E1264D941}"/>
    <cellStyle name="Normal 10 5 2" xfId="844" xr:uid="{16A2BD11-C32E-44F6-BBAA-70FDC84B3C1B}"/>
    <cellStyle name="Normal 10 5 2 2" xfId="2086" xr:uid="{3D2B667D-DA3E-4953-8EBC-212150FDCD49}"/>
    <cellStyle name="Normal 10 5 3" xfId="5303" xr:uid="{9902AA9C-10D8-466C-84E8-7AA42EB1284E}"/>
    <cellStyle name="Normal 10 6" xfId="5302" xr:uid="{1555C18B-C4DF-406D-9D00-4BF9E7B6C009}"/>
    <cellStyle name="Normal 100" xfId="2820" xr:uid="{5A53F317-2868-4802-B73B-475C52CD669C}"/>
    <cellStyle name="Normal 11" xfId="431" xr:uid="{893AB803-4001-46E8-A9CB-F1A9CA8D9E40}"/>
    <cellStyle name="Normal 11 2" xfId="432" xr:uid="{65BB04C4-2080-45FB-A604-996A3199B9DC}"/>
    <cellStyle name="Normal 11 2 2" xfId="433" xr:uid="{A3C1D142-7342-4E00-8CE2-6E8A4041C428}"/>
    <cellStyle name="Normal 11 2 2 2" xfId="434" xr:uid="{1E9014E1-B399-4449-836B-F74AE3B82DDD}"/>
    <cellStyle name="Normal 11 2 3" xfId="435" xr:uid="{174BB6D2-979F-42D0-AAA1-A1F33A0D5571}"/>
    <cellStyle name="Normal 11 2 3 2" xfId="436" xr:uid="{8E26B126-F0D7-4932-8E6D-B63C7271AA41}"/>
    <cellStyle name="Normal 11 2 3 3" xfId="437" xr:uid="{A70DC9A9-E30C-4F2A-889D-404B57A78002}"/>
    <cellStyle name="Normal 11 2 4" xfId="438" xr:uid="{C987E054-9D5E-436B-9A6F-92251CA4CEDE}"/>
    <cellStyle name="Normal 11 2 5" xfId="439" xr:uid="{324C6D78-8602-4104-A59D-F540650E0F4D}"/>
    <cellStyle name="Normal 11 2 6" xfId="440" xr:uid="{7C0CA554-F8B9-4191-BA6B-C28570D2AEB9}"/>
    <cellStyle name="Normal 11 2 7" xfId="441" xr:uid="{05EE2884-1ADF-4E5D-BAB6-C78919FA5315}"/>
    <cellStyle name="Normal 11 2 7 2" xfId="845" xr:uid="{C54D4A17-BA39-4498-871F-C3A4B13159B5}"/>
    <cellStyle name="Normal 11 2 7 2 2" xfId="2087" xr:uid="{2FED5063-7C3D-4780-AE65-0EFFEAD64C5A}"/>
    <cellStyle name="Normal 11 2 7 3" xfId="5305" xr:uid="{67218283-9CDE-418F-930C-03227DBE5AF2}"/>
    <cellStyle name="Normal 11 2 8" xfId="2341" xr:uid="{D2D36326-00A3-4125-B594-09FEA9C61BE5}"/>
    <cellStyle name="Normal 11 2 9" xfId="5304" xr:uid="{1906B6AA-68CB-4AC3-9DD5-0CE38E4C290F}"/>
    <cellStyle name="Normal 11 3" xfId="442" xr:uid="{789EB3D0-8BF3-4994-B755-2A6895985270}"/>
    <cellStyle name="Normal 12" xfId="443" xr:uid="{C13A57CB-BD67-4A2D-A000-94B29F075895}"/>
    <cellStyle name="Normal 12 2" xfId="444" xr:uid="{C548B1F6-5A1A-4A3A-9AB1-B9A70E50B92A}"/>
    <cellStyle name="Normal 12 2 10" xfId="1718" xr:uid="{AB375F9B-2F5C-4836-B24C-270F792FBBE7}"/>
    <cellStyle name="Normal 12 2 10 2" xfId="4037" xr:uid="{6A2D3482-001F-40C5-84E6-DEFD378BFC73}"/>
    <cellStyle name="Normal 12 2 11" xfId="2173" xr:uid="{06AEC0EB-94A2-40BD-B8D0-9B2FE0D923EF}"/>
    <cellStyle name="Normal 12 2 11 2" xfId="4418" xr:uid="{7AAD3BCE-CD4B-4425-BBF3-DBAC87D32ABE}"/>
    <cellStyle name="Normal 12 2 12" xfId="3261" xr:uid="{A7B7BE23-C5EF-45EE-81DB-4C0E198BC30A}"/>
    <cellStyle name="Normal 12 2 2" xfId="445" xr:uid="{6AE917BF-6CA7-49CD-83DF-F97E1E28682A}"/>
    <cellStyle name="Normal 12 2 2 10" xfId="3262" xr:uid="{8C178375-7B34-48E2-95BC-8CDC4C556152}"/>
    <cellStyle name="Normal 12 2 2 2" xfId="847" xr:uid="{2DFAB7A9-8337-4D24-A99F-9C12F16D65A7}"/>
    <cellStyle name="Normal 12 2 2 2 2" xfId="1110" xr:uid="{79378D8D-3F9B-4913-AD29-D6AB91C9B4B3}"/>
    <cellStyle name="Normal 12 2 2 2 2 2" xfId="1527" xr:uid="{DA833CC8-AA8F-4406-915F-FB2DE56437B0}"/>
    <cellStyle name="Normal 12 2 2 2 2 2 2" xfId="2695" xr:uid="{D3069009-86A3-4E8A-BF43-7D1E426B5C97}"/>
    <cellStyle name="Normal 12 2 2 2 2 2 2 2" xfId="4765" xr:uid="{C8A0AC02-EA05-454F-AF8A-C6B4A7D1B587}"/>
    <cellStyle name="Normal 12 2 2 2 2 2 3" xfId="3862" xr:uid="{A322B835-3A63-4AB1-AA1E-11D945B4F8AD}"/>
    <cellStyle name="Normal 12 2 2 2 2 3" xfId="1933" xr:uid="{D9F2D26D-2936-4DCA-AC9A-AAC14BCDCC5F}"/>
    <cellStyle name="Normal 12 2 2 2 2 3 2" xfId="3079" xr:uid="{059CDDAF-6683-4423-A063-0A0C3DEB7617}"/>
    <cellStyle name="Normal 12 2 2 2 2 3 2 2" xfId="5128" xr:uid="{66D0E50A-15C1-4447-9B26-9AB9E38555A4}"/>
    <cellStyle name="Normal 12 2 2 2 2 3 3" xfId="4250" xr:uid="{978AF460-04DA-4F3E-B131-94694D9A1414}"/>
    <cellStyle name="Normal 12 2 2 2 2 4" xfId="2418" xr:uid="{6F5EE2FE-E24D-4B1F-88C1-92F8987D6404}"/>
    <cellStyle name="Normal 12 2 2 2 2 4 2" xfId="4519" xr:uid="{3729ADAE-2DAD-4B5B-9846-F6E8A94F7751}"/>
    <cellStyle name="Normal 12 2 2 2 2 5" xfId="3474" xr:uid="{1B87AA47-315F-42BD-A2AC-7DB515749B4C}"/>
    <cellStyle name="Normal 12 2 2 2 3" xfId="1217" xr:uid="{D9803F92-EE1F-4D2D-BAB7-EC252D74AA12}"/>
    <cellStyle name="Normal 12 2 2 2 3 2" xfId="1632" xr:uid="{7781D012-DFBE-48B6-9A48-8D60E6834D20}"/>
    <cellStyle name="Normal 12 2 2 2 3 2 2" xfId="3184" xr:uid="{8C0B4516-3B30-458E-AFA5-58EBB50FE382}"/>
    <cellStyle name="Normal 12 2 2 2 3 2 2 2" xfId="5233" xr:uid="{5A0018AD-658B-44DE-8ED7-EA6790C62FD4}"/>
    <cellStyle name="Normal 12 2 2 2 3 2 3" xfId="3967" xr:uid="{C3CC71A2-2C20-4F1F-8CCB-357301206848}"/>
    <cellStyle name="Normal 12 2 2 2 3 3" xfId="2038" xr:uid="{CACF86A0-CE85-49D8-8C56-608B4FA71F29}"/>
    <cellStyle name="Normal 12 2 2 2 3 3 2" xfId="4355" xr:uid="{5AF1B099-A161-478B-8AF4-92794D8DC536}"/>
    <cellStyle name="Normal 12 2 2 2 3 4" xfId="2552" xr:uid="{F399E78E-557F-4970-8CDC-85C9EC6D7291}"/>
    <cellStyle name="Normal 12 2 2 2 3 4 2" xfId="4631" xr:uid="{9AE92E17-13F5-42F4-BB03-88A864C3595E}"/>
    <cellStyle name="Normal 12 2 2 2 3 5" xfId="3579" xr:uid="{4FFD8925-4BD1-4DBA-9121-0F31B29394EA}"/>
    <cellStyle name="Normal 12 2 2 2 4" xfId="987" xr:uid="{FBEFF789-6CEF-4870-9BD3-EFBFDDF22E63}"/>
    <cellStyle name="Normal 12 2 2 2 4 2" xfId="1422" xr:uid="{6E956598-06D0-49DC-93D1-E19AB1A66B79}"/>
    <cellStyle name="Normal 12 2 2 2 4 2 2" xfId="2856" xr:uid="{4EE04EB0-CBD6-48D1-B36B-543849C60609}"/>
    <cellStyle name="Normal 12 2 2 2 4 2 2 2" xfId="4913" xr:uid="{A7FEAF6E-EDFD-4A90-BD5E-734001271336}"/>
    <cellStyle name="Normal 12 2 2 2 4 2 3" xfId="3757" xr:uid="{D10BDF0A-E01D-4924-99DE-3BA49DAB667F}"/>
    <cellStyle name="Normal 12 2 2 2 4 3" xfId="1828" xr:uid="{151E975B-511F-4F6D-91F2-4EA7D3023BC5}"/>
    <cellStyle name="Normal 12 2 2 2 4 3 2" xfId="4145" xr:uid="{9C2E9A9C-50B3-4310-8FA2-3A7B957C7548}"/>
    <cellStyle name="Normal 12 2 2 2 4 4" xfId="2618" xr:uid="{579DC501-FA1D-481B-A855-05AA218933D7}"/>
    <cellStyle name="Normal 12 2 2 2 4 4 2" xfId="4688" xr:uid="{992387EA-834F-4F31-8DD1-AA95D1F01438}"/>
    <cellStyle name="Normal 12 2 2 2 4 5" xfId="3369" xr:uid="{0C8C7881-ED37-423A-A635-DB177578FE88}"/>
    <cellStyle name="Normal 12 2 2 2 5" xfId="1348" xr:uid="{D2AEB0D1-720F-41D7-8198-823ED9DE46BE}"/>
    <cellStyle name="Normal 12 2 2 2 5 2" xfId="2917" xr:uid="{0A6083AA-E0E4-4E3C-A36B-C24A7056A5B3}"/>
    <cellStyle name="Normal 12 2 2 2 5 2 2" xfId="4971" xr:uid="{9E83B4EA-8BA6-467B-9902-7909FE5F3F9D}"/>
    <cellStyle name="Normal 12 2 2 2 5 3" xfId="3684" xr:uid="{C58113E9-AA97-4CCA-85FE-A063DBC00DF6}"/>
    <cellStyle name="Normal 12 2 2 2 6" xfId="1755" xr:uid="{AD941C5D-E6A4-492D-8C4A-9916663D8E22}"/>
    <cellStyle name="Normal 12 2 2 2 6 2" xfId="4072" xr:uid="{4E5E2A4C-B68F-447B-A430-E6F1A97BDC3A}"/>
    <cellStyle name="Normal 12 2 2 2 7" xfId="2226" xr:uid="{CEAE2810-970F-4C4E-B093-5C040B1B2363}"/>
    <cellStyle name="Normal 12 2 2 2 7 2" xfId="4447" xr:uid="{76D1FC74-AE42-452E-8CA2-9308139185B6}"/>
    <cellStyle name="Normal 12 2 2 2 8" xfId="3296" xr:uid="{9CB37957-1C58-4252-A1A1-A22003787B61}"/>
    <cellStyle name="Normal 12 2 2 3" xfId="1026" xr:uid="{EE2E27E1-7DF1-4059-B1E7-A1211D3B6C56}"/>
    <cellStyle name="Normal 12 2 2 3 2" xfId="1144" xr:uid="{A6D3A3BA-AC67-4D87-95A4-FEFF9F12112D}"/>
    <cellStyle name="Normal 12 2 2 3 2 2" xfId="1561" xr:uid="{022A0D1C-441F-4033-B15D-33FB82BE6D17}"/>
    <cellStyle name="Normal 12 2 2 3 2 2 2" xfId="3113" xr:uid="{61D2EC7F-4F49-4C07-BE8D-1529464570DB}"/>
    <cellStyle name="Normal 12 2 2 3 2 2 2 2" xfId="5162" xr:uid="{DDE95721-59D4-4797-80DE-E974394069A1}"/>
    <cellStyle name="Normal 12 2 2 3 2 2 3" xfId="3896" xr:uid="{33F4F966-A511-487D-BA1F-E2D19A28A2B5}"/>
    <cellStyle name="Normal 12 2 2 3 2 3" xfId="1967" xr:uid="{49231661-C868-462B-8CB0-8E90684BCA34}"/>
    <cellStyle name="Normal 12 2 2 3 2 3 2" xfId="4284" xr:uid="{083E1DA8-9049-4EC1-965D-A138B0C78EE9}"/>
    <cellStyle name="Normal 12 2 2 3 2 4" xfId="2729" xr:uid="{F69E6278-FDDB-45BE-B9E0-C74EC726750A}"/>
    <cellStyle name="Normal 12 2 2 3 2 4 2" xfId="4799" xr:uid="{A3D7F250-1431-4E15-BCBC-2E52AF973E75}"/>
    <cellStyle name="Normal 12 2 2 3 2 5" xfId="3508" xr:uid="{E576D883-2ABD-4408-A9A7-8516B0BD007C}"/>
    <cellStyle name="Normal 12 2 2 3 3" xfId="1255" xr:uid="{F3F61189-8EAC-40F6-B79E-4F8052E2AD4D}"/>
    <cellStyle name="Normal 12 2 2 3 3 2" xfId="1666" xr:uid="{624D43EA-9032-4B45-B4E9-8E95F2D58D86}"/>
    <cellStyle name="Normal 12 2 2 3 3 2 2" xfId="3218" xr:uid="{A177E3AD-2A05-45A4-96B1-CA026FECB1F6}"/>
    <cellStyle name="Normal 12 2 2 3 3 2 2 2" xfId="5267" xr:uid="{F3A148E8-F90A-40A8-9548-4778F7037A21}"/>
    <cellStyle name="Normal 12 2 2 3 3 2 3" xfId="4001" xr:uid="{932CE2C4-E12A-4AFA-9164-8CD21B9561F8}"/>
    <cellStyle name="Normal 12 2 2 3 3 3" xfId="2072" xr:uid="{52C0FBA8-B937-47CA-AA0D-F48F2CB291EF}"/>
    <cellStyle name="Normal 12 2 2 3 3 3 2" xfId="4389" xr:uid="{696C6C7E-A3C0-4B03-BB9E-FF28F4ACAE9D}"/>
    <cellStyle name="Normal 12 2 2 3 3 4" xfId="2805" xr:uid="{986F5DFD-E898-4D3E-9370-E7A58B5C25A4}"/>
    <cellStyle name="Normal 12 2 2 3 3 4 2" xfId="4875" xr:uid="{B4A02E03-8BB0-4B5A-827C-2296DA90FCBE}"/>
    <cellStyle name="Normal 12 2 2 3 3 5" xfId="3613" xr:uid="{6D5A9DF5-2D85-48A1-BC4D-56BC8103D935}"/>
    <cellStyle name="Normal 12 2 2 3 4" xfId="1456" xr:uid="{083C54C3-E40E-4C4E-95AC-6D5D379C616B}"/>
    <cellStyle name="Normal 12 2 2 3 4 2" xfId="2647" xr:uid="{41E84AFD-8052-42D3-B102-C18BA791260F}"/>
    <cellStyle name="Normal 12 2 2 3 4 2 2" xfId="4717" xr:uid="{1BC99FD0-53E5-42F7-A119-5A63D29D7688}"/>
    <cellStyle name="Normal 12 2 2 3 4 3" xfId="3791" xr:uid="{6F2B39FB-2B20-41AE-BD95-C6C2217310A2}"/>
    <cellStyle name="Normal 12 2 2 3 5" xfId="1862" xr:uid="{804B3F26-D932-4E00-825C-85F98C1C7C0E}"/>
    <cellStyle name="Normal 12 2 2 3 5 2" xfId="3009" xr:uid="{0E239753-F048-458B-9B12-958F1F847583}"/>
    <cellStyle name="Normal 12 2 2 3 5 2 2" xfId="5059" xr:uid="{F1E446AB-3874-43D2-ACE0-1B9798A3FE13}"/>
    <cellStyle name="Normal 12 2 2 3 5 3" xfId="4179" xr:uid="{B5763906-24F8-47C7-A0FA-771E4B2562B3}"/>
    <cellStyle name="Normal 12 2 2 3 6" xfId="2390" xr:uid="{2AD56D13-EEE3-4EDF-9D9B-BE0D033B5343}"/>
    <cellStyle name="Normal 12 2 2 3 6 2" xfId="4491" xr:uid="{37009786-7841-4208-9F64-BFE5C4C85F3D}"/>
    <cellStyle name="Normal 12 2 2 3 7" xfId="3403" xr:uid="{B4BF19BB-C4A7-4CA2-886F-11024AE54891}"/>
    <cellStyle name="Normal 12 2 2 4" xfId="1076" xr:uid="{52F1BA58-E5BF-43A9-8341-36CB5AA70B4E}"/>
    <cellStyle name="Normal 12 2 2 4 2" xfId="1493" xr:uid="{34E65FBC-8180-432D-A632-853069C34736}"/>
    <cellStyle name="Normal 12 2 2 4 2 2" xfId="3045" xr:uid="{A6B4E464-6EF4-4A2F-AE2C-BA2F1D9ABF8A}"/>
    <cellStyle name="Normal 12 2 2 4 2 2 2" xfId="5095" xr:uid="{A80CA5B4-7DF8-47F2-93E2-559868E7E1AA}"/>
    <cellStyle name="Normal 12 2 2 4 2 3" xfId="3828" xr:uid="{F1781A6E-E3C6-4E93-8DF8-B691D0A21C95}"/>
    <cellStyle name="Normal 12 2 2 4 3" xfId="1899" xr:uid="{4582602B-D61C-4E7A-954C-A05D638FD88C}"/>
    <cellStyle name="Normal 12 2 2 4 3 2" xfId="4216" xr:uid="{39463CB3-9519-4524-8007-6F645D6989B9}"/>
    <cellStyle name="Normal 12 2 2 4 4" xfId="2494" xr:uid="{009DD03E-F621-414A-9CE9-B9EDB97E8D97}"/>
    <cellStyle name="Normal 12 2 2 4 4 2" xfId="4585" xr:uid="{F0BD4452-A038-4F2E-B0E3-910978E10E48}"/>
    <cellStyle name="Normal 12 2 2 4 5" xfId="3440" xr:uid="{D19397CD-E8BF-4E4D-8FCC-1D0680B090AC}"/>
    <cellStyle name="Normal 12 2 2 5" xfId="1182" xr:uid="{3623B199-6C04-4FBF-A73B-B0BE86843764}"/>
    <cellStyle name="Normal 12 2 2 5 2" xfId="1598" xr:uid="{16276992-5AE8-4680-A455-D4A265880886}"/>
    <cellStyle name="Normal 12 2 2 5 2 2" xfId="3150" xr:uid="{40CEA317-1C53-42ED-B4AA-EA5D9282870B}"/>
    <cellStyle name="Normal 12 2 2 5 2 2 2" xfId="5199" xr:uid="{BB285B03-54B4-4EE7-B170-3E5CE781B62D}"/>
    <cellStyle name="Normal 12 2 2 5 2 3" xfId="3933" xr:uid="{216F7DC2-DB7B-4AE2-AB0E-D70E377171A7}"/>
    <cellStyle name="Normal 12 2 2 5 3" xfId="2004" xr:uid="{DCFD8E53-1EEF-4ABE-8E7E-1B13DE1846C9}"/>
    <cellStyle name="Normal 12 2 2 5 3 2" xfId="4321" xr:uid="{5AC2E334-BFC7-4C54-9F6F-3E1959FEF5D8}"/>
    <cellStyle name="Normal 12 2 2 5 4" xfId="2765" xr:uid="{7A2932AE-AE20-47D5-AA5A-2E81FFA45F1E}"/>
    <cellStyle name="Normal 12 2 2 5 4 2" xfId="4835" xr:uid="{C430A2C6-A9E9-46F1-AB31-CFC1FE584BA1}"/>
    <cellStyle name="Normal 12 2 2 5 5" xfId="3545" xr:uid="{F2BA845D-0DA6-4A8C-AC54-F2B65047D877}"/>
    <cellStyle name="Normal 12 2 2 6" xfId="936" xr:uid="{87562B91-22B9-454F-85BF-DCA643FF596B}"/>
    <cellStyle name="Normal 12 2 2 6 2" xfId="1387" xr:uid="{2350559C-96FA-4AF3-8295-6D09C7755C6C}"/>
    <cellStyle name="Normal 12 2 2 6 2 2" xfId="2867" xr:uid="{DE246B2E-BB60-4656-AD38-799181B50B8B}"/>
    <cellStyle name="Normal 12 2 2 6 2 2 2" xfId="4923" xr:uid="{D801A6CD-C72A-4322-821B-68AA2528078A}"/>
    <cellStyle name="Normal 12 2 2 6 2 3" xfId="3723" xr:uid="{1EC643A0-7980-4DAB-8679-28D074A8F848}"/>
    <cellStyle name="Normal 12 2 2 6 3" xfId="1794" xr:uid="{56ED80BD-7817-4542-85B2-3D5B107C0411}"/>
    <cellStyle name="Normal 12 2 2 6 3 2" xfId="4111" xr:uid="{59B74C1D-8B0B-4CB1-A7AB-B44A7058D25F}"/>
    <cellStyle name="Normal 12 2 2 6 4" xfId="2476" xr:uid="{1C4287BA-B829-4430-90B6-1EF9D2A5DD17}"/>
    <cellStyle name="Normal 12 2 2 6 4 2" xfId="4570" xr:uid="{247A92AA-AA3B-4769-8EAD-2866CFB9047B}"/>
    <cellStyle name="Normal 12 2 2 6 5" xfId="3335" xr:uid="{D4BCCFA0-AAE1-4D55-8F07-3874FA0DB89E}"/>
    <cellStyle name="Normal 12 2 2 7" xfId="1294" xr:uid="{0D03A7A5-5845-4203-9125-1A2908A26FDC}"/>
    <cellStyle name="Normal 12 2 2 7 2" xfId="2872" xr:uid="{886C6256-F718-4C5A-9330-C74D67BF15D9}"/>
    <cellStyle name="Normal 12 2 2 7 2 2" xfId="4927" xr:uid="{58585CF2-4F86-4A6E-BA86-B6AB6B7F7CD0}"/>
    <cellStyle name="Normal 12 2 2 7 3" xfId="3650" xr:uid="{81A51747-FBE0-4CE8-BDCD-41FF131C1CA3}"/>
    <cellStyle name="Normal 12 2 2 8" xfId="1719" xr:uid="{49C30890-56AB-4132-B677-2929FEAA658B}"/>
    <cellStyle name="Normal 12 2 2 8 2" xfId="4038" xr:uid="{A555EBE8-8306-40E4-8028-C446986C82D0}"/>
    <cellStyle name="Normal 12 2 2 9" xfId="2174" xr:uid="{459EB24E-77DC-40C5-A20E-8BEFAA346DF7}"/>
    <cellStyle name="Normal 12 2 2 9 2" xfId="4419" xr:uid="{F144621F-2929-4E13-9057-2BE7119749F7}"/>
    <cellStyle name="Normal 12 2 3" xfId="446" xr:uid="{0025ED9D-BFEF-4F9A-BBAB-7DAC767B60DB}"/>
    <cellStyle name="Normal 12 2 4" xfId="846" xr:uid="{2C64C1A4-C323-4DF9-9F82-4F37D7F1B4EB}"/>
    <cellStyle name="Normal 12 2 4 2" xfId="1109" xr:uid="{A9DB9CE0-FD63-4714-A3E2-D13918A606E7}"/>
    <cellStyle name="Normal 12 2 4 2 2" xfId="1526" xr:uid="{8D44BB48-0995-415D-846E-1F9D17A72389}"/>
    <cellStyle name="Normal 12 2 4 2 2 2" xfId="2694" xr:uid="{A1E19418-9AC4-4362-B247-859D87A7487A}"/>
    <cellStyle name="Normal 12 2 4 2 2 2 2" xfId="4764" xr:uid="{DD2220AC-0885-4137-B3E9-EDCE804B3FCE}"/>
    <cellStyle name="Normal 12 2 4 2 2 3" xfId="3861" xr:uid="{385E4532-264B-4BAF-98A3-E48CC720AA3A}"/>
    <cellStyle name="Normal 12 2 4 2 3" xfId="1932" xr:uid="{D5BFE1B8-99FB-45CF-8469-01853897ED3A}"/>
    <cellStyle name="Normal 12 2 4 2 3 2" xfId="3078" xr:uid="{593FE50B-DC1A-4325-BEE4-714172F26FDF}"/>
    <cellStyle name="Normal 12 2 4 2 3 2 2" xfId="5127" xr:uid="{EF5D803F-91CC-45BF-960B-F019DFD2E284}"/>
    <cellStyle name="Normal 12 2 4 2 3 3" xfId="4249" xr:uid="{744AA494-B150-4AE4-9175-084FD6219F0D}"/>
    <cellStyle name="Normal 12 2 4 2 4" xfId="2417" xr:uid="{84FBD9A4-476B-4AA8-A9EF-CD57138E4BB9}"/>
    <cellStyle name="Normal 12 2 4 2 4 2" xfId="4518" xr:uid="{778FD3E8-76CD-415A-9B04-6FFC5688A81C}"/>
    <cellStyle name="Normal 12 2 4 2 5" xfId="3473" xr:uid="{BB722F6B-F602-4E98-AD32-1C6E219DDC74}"/>
    <cellStyle name="Normal 12 2 4 3" xfId="1216" xr:uid="{20C6B33E-C059-42A6-982A-A409447939BB}"/>
    <cellStyle name="Normal 12 2 4 3 2" xfId="1631" xr:uid="{FC99CED8-EE5B-4638-8684-96F6FFF8C19C}"/>
    <cellStyle name="Normal 12 2 4 3 2 2" xfId="3183" xr:uid="{FFCCB3D2-351D-414E-BC86-9490D02310FF}"/>
    <cellStyle name="Normal 12 2 4 3 2 2 2" xfId="5232" xr:uid="{2E8060C3-D57B-4705-98B1-2310D578292A}"/>
    <cellStyle name="Normal 12 2 4 3 2 3" xfId="3966" xr:uid="{2A285384-1340-463D-A264-88C49C37D392}"/>
    <cellStyle name="Normal 12 2 4 3 3" xfId="2037" xr:uid="{2CB8EAAC-EA8D-4F55-90D6-B9DF6C2309A7}"/>
    <cellStyle name="Normal 12 2 4 3 3 2" xfId="4354" xr:uid="{37469D06-197A-4044-ABD7-9A08366A4DCB}"/>
    <cellStyle name="Normal 12 2 4 3 4" xfId="2551" xr:uid="{930D530D-F8DC-4925-A627-9AD9EA59BF54}"/>
    <cellStyle name="Normal 12 2 4 3 4 2" xfId="4630" xr:uid="{922C76ED-B6FC-42AA-883B-EC42918BC2D4}"/>
    <cellStyle name="Normal 12 2 4 3 5" xfId="3578" xr:uid="{0BB90981-7D33-4BE0-B244-C9B6918EC1B7}"/>
    <cellStyle name="Normal 12 2 4 4" xfId="986" xr:uid="{A3BF8EC9-86EF-4C7F-875E-EC9C3B750127}"/>
    <cellStyle name="Normal 12 2 4 4 2" xfId="1421" xr:uid="{633015F6-D792-4F60-A2B5-23BF0A2CC23E}"/>
    <cellStyle name="Normal 12 2 4 4 2 2" xfId="2893" xr:uid="{FF7DA579-EF3A-4EEA-877B-2B90A6F19CF5}"/>
    <cellStyle name="Normal 12 2 4 4 2 2 2" xfId="4947" xr:uid="{742249A7-72F4-4B04-A86A-4979BDA2BD72}"/>
    <cellStyle name="Normal 12 2 4 4 2 3" xfId="3756" xr:uid="{1A286984-7E7F-4FD5-B89E-122812C8205B}"/>
    <cellStyle name="Normal 12 2 4 4 3" xfId="1827" xr:uid="{CF186C92-01D8-4F8D-A1A6-0C2DFFEC7C7B}"/>
    <cellStyle name="Normal 12 2 4 4 3 2" xfId="4144" xr:uid="{8FED4A64-F0B5-4F0E-BFE0-414C8315CB6E}"/>
    <cellStyle name="Normal 12 2 4 4 4" xfId="2617" xr:uid="{4709A86E-F597-4A24-9CB9-22E7D643D21B}"/>
    <cellStyle name="Normal 12 2 4 4 4 2" xfId="4687" xr:uid="{20B7B687-18F3-4512-ABF6-379348E29971}"/>
    <cellStyle name="Normal 12 2 4 4 5" xfId="3368" xr:uid="{B6BED198-1C50-442F-AEA2-83B2004AB24D}"/>
    <cellStyle name="Normal 12 2 4 5" xfId="1347" xr:uid="{C0BB739D-F7D0-4D75-A666-73FB3967E478}"/>
    <cellStyle name="Normal 12 2 4 5 2" xfId="2916" xr:uid="{E55CE46A-A3CB-4497-A9E2-FD5D0EC26DD7}"/>
    <cellStyle name="Normal 12 2 4 5 2 2" xfId="4970" xr:uid="{09D46A0E-4A9F-4E6C-A309-68BA2B9E2F37}"/>
    <cellStyle name="Normal 12 2 4 5 3" xfId="3683" xr:uid="{B25B34D2-38C9-4EED-B9B4-A0F40176CD80}"/>
    <cellStyle name="Normal 12 2 4 6" xfId="1754" xr:uid="{781E87F6-243B-45DD-927D-CBED12299CE1}"/>
    <cellStyle name="Normal 12 2 4 6 2" xfId="4071" xr:uid="{B6C6E2BA-018A-4DE0-A427-DB44FFB345E1}"/>
    <cellStyle name="Normal 12 2 4 7" xfId="2225" xr:uid="{FDD2BDC6-D22E-4ABA-A3E9-FCA706346B75}"/>
    <cellStyle name="Normal 12 2 4 7 2" xfId="4446" xr:uid="{19BAB3BF-3BBA-48AC-91A8-D47E2E4CDD22}"/>
    <cellStyle name="Normal 12 2 4 8" xfId="3295" xr:uid="{C8D05D01-5FDE-460E-90A4-4FFA76D2BFE9}"/>
    <cellStyle name="Normal 12 2 5" xfId="1025" xr:uid="{2A8219E2-3A8D-4EE1-A40D-D7062D501AEE}"/>
    <cellStyle name="Normal 12 2 5 2" xfId="1143" xr:uid="{11705C44-3DAF-460C-8E66-19E1DBB9F847}"/>
    <cellStyle name="Normal 12 2 5 2 2" xfId="1560" xr:uid="{31AEDAB2-AFF1-4F7C-B246-2F215D124001}"/>
    <cellStyle name="Normal 12 2 5 2 2 2" xfId="3112" xr:uid="{4044D68A-0BEA-4635-9A66-65BA4606BB3E}"/>
    <cellStyle name="Normal 12 2 5 2 2 2 2" xfId="5161" xr:uid="{E2C82DF7-623A-4081-9E28-96D017B8924D}"/>
    <cellStyle name="Normal 12 2 5 2 2 3" xfId="3895" xr:uid="{A710CFD5-399E-43C0-A4B1-B3BB90CBCA1F}"/>
    <cellStyle name="Normal 12 2 5 2 3" xfId="1966" xr:uid="{8860920F-B693-43DB-82FF-C0E11B63AFFA}"/>
    <cellStyle name="Normal 12 2 5 2 3 2" xfId="4283" xr:uid="{D1747AC1-8F7F-4C16-9F56-62F1CE3207BE}"/>
    <cellStyle name="Normal 12 2 5 2 4" xfId="2728" xr:uid="{29ADA441-4D14-4875-B22F-1A0EDA0FB937}"/>
    <cellStyle name="Normal 12 2 5 2 4 2" xfId="4798" xr:uid="{2AB542A3-7842-430D-B675-1630A28BE5E1}"/>
    <cellStyle name="Normal 12 2 5 2 5" xfId="3507" xr:uid="{82216D45-7DC5-4CAA-81AD-3BC6613010D0}"/>
    <cellStyle name="Normal 12 2 5 3" xfId="1254" xr:uid="{2DD10893-774B-4016-901B-E8FD314D69F1}"/>
    <cellStyle name="Normal 12 2 5 3 2" xfId="1665" xr:uid="{35920AF1-B862-4FBE-9670-AC0EDBA7E07C}"/>
    <cellStyle name="Normal 12 2 5 3 2 2" xfId="3217" xr:uid="{3E43B91B-9B18-4A47-89A0-70DB1E7A2FE2}"/>
    <cellStyle name="Normal 12 2 5 3 2 2 2" xfId="5266" xr:uid="{2ADAD9FB-2A9F-4AAE-9888-8F50682C226A}"/>
    <cellStyle name="Normal 12 2 5 3 2 3" xfId="4000" xr:uid="{841A8243-2FEA-4A5E-96DB-AD65657A5843}"/>
    <cellStyle name="Normal 12 2 5 3 3" xfId="2071" xr:uid="{EDB5E677-C08A-4A9F-99C1-735BF2D1451C}"/>
    <cellStyle name="Normal 12 2 5 3 3 2" xfId="4388" xr:uid="{4AB2A7B5-8EEB-47A7-94A3-442A203092A3}"/>
    <cellStyle name="Normal 12 2 5 3 4" xfId="2804" xr:uid="{6E5C1DF4-7DC5-4FAD-98D7-B939ED723501}"/>
    <cellStyle name="Normal 12 2 5 3 4 2" xfId="4874" xr:uid="{20823FB5-1F0E-482D-9737-9D6103CFCF26}"/>
    <cellStyle name="Normal 12 2 5 3 5" xfId="3612" xr:uid="{03C4D8FC-49C4-4364-823A-F4CC2CD6230E}"/>
    <cellStyle name="Normal 12 2 5 4" xfId="1455" xr:uid="{AABB1CDD-E9A3-4D42-9158-73578C5E4363}"/>
    <cellStyle name="Normal 12 2 5 4 2" xfId="2646" xr:uid="{B73F45B1-09E3-44ED-A6CC-B1C7E7AFD5D0}"/>
    <cellStyle name="Normal 12 2 5 4 2 2" xfId="4716" xr:uid="{7225AED9-3B40-4A04-83FB-6B930F0A6CA8}"/>
    <cellStyle name="Normal 12 2 5 4 3" xfId="3790" xr:uid="{4D938F0C-4CE6-4467-A81D-1079C6E501BD}"/>
    <cellStyle name="Normal 12 2 5 5" xfId="1861" xr:uid="{B01B9A7C-9D38-463A-955F-5FE76509BFAC}"/>
    <cellStyle name="Normal 12 2 5 5 2" xfId="3008" xr:uid="{5453C988-3D34-467D-A9B8-51123AE54B29}"/>
    <cellStyle name="Normal 12 2 5 5 2 2" xfId="5058" xr:uid="{63D90DD3-CD04-4F4E-B023-8195DA576AEE}"/>
    <cellStyle name="Normal 12 2 5 5 3" xfId="4178" xr:uid="{5FD7C915-E196-4A68-A0A3-9714BD17ABF1}"/>
    <cellStyle name="Normal 12 2 5 6" xfId="2389" xr:uid="{F625E597-6040-48A4-801D-F79A1CF79CDC}"/>
    <cellStyle name="Normal 12 2 5 6 2" xfId="4490" xr:uid="{F043625A-8BD2-475A-9B08-73EBEB57AC0C}"/>
    <cellStyle name="Normal 12 2 5 7" xfId="3402" xr:uid="{98514FBE-2A7B-4871-BB98-CE85E244C14D}"/>
    <cellStyle name="Normal 12 2 6" xfId="1055" xr:uid="{EB0B206E-04B3-4EA7-B0B0-A8A31BCDF330}"/>
    <cellStyle name="Normal 12 2 6 2" xfId="1472" xr:uid="{D52B042C-2033-49EE-A969-C6B7B5F6ACA3}"/>
    <cellStyle name="Normal 12 2 6 2 2" xfId="3024" xr:uid="{243C68A1-1976-4B57-9F8B-282B0C27BA20}"/>
    <cellStyle name="Normal 12 2 6 2 2 2" xfId="5074" xr:uid="{E25382F8-2D94-43FC-8451-EE0B7E662DBC}"/>
    <cellStyle name="Normal 12 2 6 2 3" xfId="3807" xr:uid="{7AB87107-DBF2-4AAA-A599-84A348934C2A}"/>
    <cellStyle name="Normal 12 2 6 3" xfId="1878" xr:uid="{4F4E032A-8DB3-4CF7-90B5-7398AC680DC9}"/>
    <cellStyle name="Normal 12 2 6 3 2" xfId="4195" xr:uid="{3CFB488A-497D-416A-BA46-7BD332676883}"/>
    <cellStyle name="Normal 12 2 6 4" xfId="2493" xr:uid="{6CBA5D2C-828C-43A2-81DC-43730AA2CE1C}"/>
    <cellStyle name="Normal 12 2 6 4 2" xfId="4584" xr:uid="{41A8B6B3-67E5-44B8-B35B-BFB521CF6382}"/>
    <cellStyle name="Normal 12 2 6 5" xfId="3419" xr:uid="{97555587-6C0D-4DA5-9793-7F557DFE1EB0}"/>
    <cellStyle name="Normal 12 2 7" xfId="1160" xr:uid="{9972E64D-A4D8-4E21-946B-BEC7B4A7D963}"/>
    <cellStyle name="Normal 12 2 7 2" xfId="1577" xr:uid="{5088A141-16D4-45AC-B2CB-12C357755465}"/>
    <cellStyle name="Normal 12 2 7 2 2" xfId="3129" xr:uid="{7305CD68-DD8F-44C6-81BD-D7E55911F0EF}"/>
    <cellStyle name="Normal 12 2 7 2 2 2" xfId="5178" xr:uid="{1D6ADF7E-3177-473F-82BF-19584A4DA718}"/>
    <cellStyle name="Normal 12 2 7 2 3" xfId="3912" xr:uid="{8DD228C5-9EB6-48B3-AD8E-0FE5847EF1BF}"/>
    <cellStyle name="Normal 12 2 7 3" xfId="1983" xr:uid="{74F84566-F358-4A78-B9EF-D1539C074A65}"/>
    <cellStyle name="Normal 12 2 7 3 2" xfId="4300" xr:uid="{ABF613DA-4037-4DA3-BF75-EDF1BC282E27}"/>
    <cellStyle name="Normal 12 2 7 4" xfId="2745" xr:uid="{C924A3EA-CFDD-4AA1-8A7F-DA9B91B9AAA2}"/>
    <cellStyle name="Normal 12 2 7 4 2" xfId="4815" xr:uid="{2AA01907-F4AF-41B6-B5B7-F4DBA771EC75}"/>
    <cellStyle name="Normal 12 2 7 5" xfId="3524" xr:uid="{C69509E1-F51A-4A7B-A3E5-42B2E6B18346}"/>
    <cellStyle name="Normal 12 2 8" xfId="899" xr:uid="{4C97725B-3D31-46DC-8A86-A8AE82D9C053}"/>
    <cellStyle name="Normal 12 2 8 2" xfId="1366" xr:uid="{0B5FB84D-98D1-4859-A32A-590365823D5F}"/>
    <cellStyle name="Normal 12 2 8 2 2" xfId="2946" xr:uid="{F30817B3-FA8B-40C3-8B35-7EAD97673066}"/>
    <cellStyle name="Normal 12 2 8 2 2 2" xfId="4999" xr:uid="{C58B4D98-9F2E-41F8-BCE7-8D7C2FE4B7CE}"/>
    <cellStyle name="Normal 12 2 8 2 3" xfId="3702" xr:uid="{E785D123-1DBB-41C0-A6E0-88943EC0B284}"/>
    <cellStyle name="Normal 12 2 8 3" xfId="1773" xr:uid="{F46BD909-8AD7-40DC-8B9A-2E638C354F4F}"/>
    <cellStyle name="Normal 12 2 8 3 2" xfId="4090" xr:uid="{455EB730-C673-49BF-9192-BCC673BCB161}"/>
    <cellStyle name="Normal 12 2 8 4" xfId="2595" xr:uid="{3ABA2931-53F2-4926-A9BD-560240AE1BC2}"/>
    <cellStyle name="Normal 12 2 8 4 2" xfId="4666" xr:uid="{8DEF92FE-E11F-4974-84F3-9FACD03DC89C}"/>
    <cellStyle name="Normal 12 2 8 5" xfId="3314" xr:uid="{842AE085-75D6-4A49-811D-1E825F0728C5}"/>
    <cellStyle name="Normal 12 2 9" xfId="1293" xr:uid="{620BD16D-E237-48C5-A7D8-EEEB05664D3E}"/>
    <cellStyle name="Normal 12 2 9 2" xfId="2871" xr:uid="{4C75BE1C-1298-4D0A-9CD1-BFCD8C165EB1}"/>
    <cellStyle name="Normal 12 2 9 2 2" xfId="4926" xr:uid="{2D3C895F-389E-4F64-B03C-414FA60872A1}"/>
    <cellStyle name="Normal 12 2 9 3" xfId="3649" xr:uid="{430A33EB-C341-43A1-8113-1A2A28850ABB}"/>
    <cellStyle name="Normal 12 3" xfId="447" xr:uid="{5241A554-11AA-4436-808B-FEB1B54C8A2F}"/>
    <cellStyle name="Normal 13" xfId="448" xr:uid="{D9174443-91A1-4F15-9A6E-F00B604630B5}"/>
    <cellStyle name="Normal 13 2" xfId="449" xr:uid="{C06632BD-97BB-4791-8ED4-DE9460FAB121}"/>
    <cellStyle name="Normal 13 3" xfId="450" xr:uid="{CBF91E47-FEE6-4DEF-AB97-B0B3A81D8097}"/>
    <cellStyle name="Normal 14" xfId="451" xr:uid="{00DEE606-70DA-402A-A925-8E79F4DE3BF1}"/>
    <cellStyle name="Normal 14 2" xfId="452" xr:uid="{CFEA01E2-C961-4AEC-9A44-0F39E1E0C6D4}"/>
    <cellStyle name="Normal 14 2 2" xfId="453" xr:uid="{7435660C-F46F-4DFC-8530-4697A4E363C8}"/>
    <cellStyle name="Normal 14 2 3" xfId="2342" xr:uid="{291300B8-7F32-425F-9A8D-762CFB26ECF3}"/>
    <cellStyle name="Normal 14 3" xfId="454" xr:uid="{8AB85292-8773-4370-AB50-9928996A4BDE}"/>
    <cellStyle name="Normal 15" xfId="455" xr:uid="{1C4CB561-4138-489F-BCD6-2794564AC4D4}"/>
    <cellStyle name="Normal 15 2" xfId="456" xr:uid="{680C899E-DC12-4194-9218-439918ECD4C2}"/>
    <cellStyle name="Normal 16" xfId="457" xr:uid="{8DC5608A-07BE-406F-A36F-3922DCCEB943}"/>
    <cellStyle name="Normal 16 2" xfId="458" xr:uid="{A23C4A4E-EEBF-4A42-BB16-413AF89879E4}"/>
    <cellStyle name="Normal 16 2 2" xfId="459" xr:uid="{5D8C14EA-672C-4067-A246-BD4DEE409C34}"/>
    <cellStyle name="Normal 16 2 2 10" xfId="3263" xr:uid="{D857BC19-D11B-4995-BE95-F373F558EFDD}"/>
    <cellStyle name="Normal 16 2 2 2" xfId="848" xr:uid="{97115C49-CB49-42D3-A060-E12C6AD8712E}"/>
    <cellStyle name="Normal 16 2 2 2 2" xfId="1111" xr:uid="{B3E50AC8-8848-41D0-9B04-A6382F68F9D0}"/>
    <cellStyle name="Normal 16 2 2 2 2 2" xfId="1528" xr:uid="{70FBEE5C-A0DD-4375-B9B8-C6028312F0A7}"/>
    <cellStyle name="Normal 16 2 2 2 2 2 2" xfId="3080" xr:uid="{08F6F142-33D4-48D3-8402-F06A3917BD61}"/>
    <cellStyle name="Normal 16 2 2 2 2 2 2 2" xfId="5129" xr:uid="{7185BD01-821B-4F79-BC87-A8E3C9BE2BDD}"/>
    <cellStyle name="Normal 16 2 2 2 2 2 3" xfId="3863" xr:uid="{C62B88D7-6393-4C7C-8446-47891B47E0FD}"/>
    <cellStyle name="Normal 16 2 2 2 2 3" xfId="1934" xr:uid="{A0A78F61-F6E9-4AC1-AC41-DCE40200EF4A}"/>
    <cellStyle name="Normal 16 2 2 2 2 3 2" xfId="4251" xr:uid="{4DE3D322-8B3E-4151-9F7F-E86FFF837DE3}"/>
    <cellStyle name="Normal 16 2 2 2 2 4" xfId="2696" xr:uid="{A1CF06DF-AC6A-4FB9-A100-E543879D5CE5}"/>
    <cellStyle name="Normal 16 2 2 2 2 4 2" xfId="4766" xr:uid="{32D2B405-CF31-47E6-BC73-B1E396413F0A}"/>
    <cellStyle name="Normal 16 2 2 2 2 5" xfId="3475" xr:uid="{B6005F2A-D1BB-4545-8CAA-31E4B05C65B6}"/>
    <cellStyle name="Normal 16 2 2 2 3" xfId="1218" xr:uid="{B4FF233E-35E2-4376-89E3-53F20AF6CE76}"/>
    <cellStyle name="Normal 16 2 2 2 3 2" xfId="1633" xr:uid="{7C013D76-2907-43F4-B6D8-CFE1204F3A5E}"/>
    <cellStyle name="Normal 16 2 2 2 3 2 2" xfId="3185" xr:uid="{33F018FC-34EA-47B2-9471-0575A3018622}"/>
    <cellStyle name="Normal 16 2 2 2 3 2 2 2" xfId="5234" xr:uid="{944B80B9-33C1-4AAD-9F32-888E96913197}"/>
    <cellStyle name="Normal 16 2 2 2 3 2 3" xfId="3968" xr:uid="{F7C1FE64-CB5A-4420-BF9A-545CE5B30267}"/>
    <cellStyle name="Normal 16 2 2 2 3 3" xfId="2039" xr:uid="{3A8CDB03-531E-4A1D-90B7-8FA95D4F41EF}"/>
    <cellStyle name="Normal 16 2 2 2 3 3 2" xfId="4356" xr:uid="{580C251F-7140-4F4B-A01D-36506B282B09}"/>
    <cellStyle name="Normal 16 2 2 2 3 4" xfId="2782" xr:uid="{89F10D25-184A-4D4D-B69B-28D662C3340D}"/>
    <cellStyle name="Normal 16 2 2 2 3 4 2" xfId="4852" xr:uid="{FBCF502C-7927-4D45-92F6-5EE26B3B83BC}"/>
    <cellStyle name="Normal 16 2 2 2 3 5" xfId="3580" xr:uid="{DAE02E61-F6B4-4DCA-ADFB-FE5F6B89801F}"/>
    <cellStyle name="Normal 16 2 2 2 4" xfId="988" xr:uid="{D330D200-6256-4821-9007-660D711734E7}"/>
    <cellStyle name="Normal 16 2 2 2 4 2" xfId="1423" xr:uid="{B22BA135-20B2-46F6-92DA-A4D74E02F849}"/>
    <cellStyle name="Normal 16 2 2 2 4 2 2" xfId="2979" xr:uid="{5F83C8BE-A3E7-496A-90B0-941276E8BDF9}"/>
    <cellStyle name="Normal 16 2 2 2 4 2 2 2" xfId="5029" xr:uid="{B04449F2-1A20-46AB-8916-6C86B48BDCED}"/>
    <cellStyle name="Normal 16 2 2 2 4 2 3" xfId="3758" xr:uid="{65F629FD-8AD7-4408-9826-F0FE76B2B416}"/>
    <cellStyle name="Normal 16 2 2 2 4 3" xfId="1829" xr:uid="{1EC6F486-F661-4A36-A5B3-5D5E44BC1DC5}"/>
    <cellStyle name="Normal 16 2 2 2 4 3 2" xfId="4146" xr:uid="{8232EA98-A486-4D10-A336-20CE8444C2B9}"/>
    <cellStyle name="Normal 16 2 2 2 4 4" xfId="2619" xr:uid="{C8B00E2E-A312-421B-914A-471EAA39E085}"/>
    <cellStyle name="Normal 16 2 2 2 4 4 2" xfId="4689" xr:uid="{198E5D9A-D4E6-45DB-BF91-88CA615A0DE9}"/>
    <cellStyle name="Normal 16 2 2 2 4 5" xfId="3370" xr:uid="{B0F34A66-AEE3-4836-97F4-F487A328F717}"/>
    <cellStyle name="Normal 16 2 2 2 5" xfId="1349" xr:uid="{06B05275-A06E-4BC7-8703-B1F7BB643731}"/>
    <cellStyle name="Normal 16 2 2 2 5 2" xfId="2447" xr:uid="{4E29B322-6F93-4FA1-A759-46D3F8680949}"/>
    <cellStyle name="Normal 16 2 2 2 5 2 2" xfId="4548" xr:uid="{D9EECA1E-6609-4845-8A82-5434C84910C1}"/>
    <cellStyle name="Normal 16 2 2 2 5 3" xfId="3685" xr:uid="{D384C9A1-62A4-4429-9740-0AC6B22CEECE}"/>
    <cellStyle name="Normal 16 2 2 2 6" xfId="1756" xr:uid="{3795E646-ECA7-40A0-94B6-D911C42C7977}"/>
    <cellStyle name="Normal 16 2 2 2 6 2" xfId="2896" xr:uid="{7A1F11E4-E9A1-4EA9-8898-B06CC85B3A3B}"/>
    <cellStyle name="Normal 16 2 2 2 6 2 2" xfId="4950" xr:uid="{45C37CA6-AC0D-48A7-82C8-A12985787029}"/>
    <cellStyle name="Normal 16 2 2 2 6 3" xfId="4073" xr:uid="{4BF6886E-AE47-4DDB-A190-A0002C3E10C2}"/>
    <cellStyle name="Normal 16 2 2 2 7" xfId="2419" xr:uid="{EF4E2ACD-223C-432E-8C42-9DB717B75D97}"/>
    <cellStyle name="Normal 16 2 2 2 7 2" xfId="4520" xr:uid="{7DE0E603-193C-4139-8E73-44A63397F18C}"/>
    <cellStyle name="Normal 16 2 2 2 8" xfId="3297" xr:uid="{F2D24771-1399-4784-A5FE-E5F955DC42DF}"/>
    <cellStyle name="Normal 16 2 2 3" xfId="1027" xr:uid="{FB141C4F-F107-4A19-A2F9-5DDDEE58FE40}"/>
    <cellStyle name="Normal 16 2 2 3 2" xfId="1145" xr:uid="{C1F72946-FA97-4475-B59F-5BE596A31B59}"/>
    <cellStyle name="Normal 16 2 2 3 2 2" xfId="1562" xr:uid="{028FF1D1-F166-4C34-9B8C-39E1601ED7BD}"/>
    <cellStyle name="Normal 16 2 2 3 2 2 2" xfId="3114" xr:uid="{AF243F2D-AED3-4C73-A1F0-1A3CABED643D}"/>
    <cellStyle name="Normal 16 2 2 3 2 2 2 2" xfId="5163" xr:uid="{48B90F68-8D3E-43B9-8207-B8466FAD8D99}"/>
    <cellStyle name="Normal 16 2 2 3 2 2 3" xfId="3897" xr:uid="{387D7824-0338-4E39-A2EE-DBE760A84B12}"/>
    <cellStyle name="Normal 16 2 2 3 2 3" xfId="1968" xr:uid="{A7C765EE-1E6A-4F14-A9F6-FC8E755B3442}"/>
    <cellStyle name="Normal 16 2 2 3 2 3 2" xfId="4285" xr:uid="{8685FC4D-49B2-43B6-946B-6CA816EE880E}"/>
    <cellStyle name="Normal 16 2 2 3 2 4" xfId="2730" xr:uid="{10975786-8705-41CA-A1E8-40FA7A1EE23F}"/>
    <cellStyle name="Normal 16 2 2 3 2 4 2" xfId="4800" xr:uid="{0E61E869-7D29-4275-8C1E-E252CBF039B6}"/>
    <cellStyle name="Normal 16 2 2 3 2 5" xfId="3509" xr:uid="{7246A96F-B77E-481B-BE6F-B76C03D6627D}"/>
    <cellStyle name="Normal 16 2 2 3 3" xfId="1256" xr:uid="{EE0AD31F-ECBC-41D6-B26E-B168E4858466}"/>
    <cellStyle name="Normal 16 2 2 3 3 2" xfId="1667" xr:uid="{C2E6F4D0-069E-4137-BB3A-0C16C87C7C74}"/>
    <cellStyle name="Normal 16 2 2 3 3 2 2" xfId="3219" xr:uid="{1545833E-6C1A-47D2-9967-7A1348FDFDE4}"/>
    <cellStyle name="Normal 16 2 2 3 3 2 2 2" xfId="5268" xr:uid="{73A251AB-567A-44CC-B09E-FCB631E85C2B}"/>
    <cellStyle name="Normal 16 2 2 3 3 2 3" xfId="4002" xr:uid="{8BA67F42-D547-4A0D-B41E-FB942E6EC9F5}"/>
    <cellStyle name="Normal 16 2 2 3 3 3" xfId="2073" xr:uid="{EDA3ABDA-91D0-4CF5-9D24-74BA9A78F27A}"/>
    <cellStyle name="Normal 16 2 2 3 3 3 2" xfId="4390" xr:uid="{4324D3D1-E181-4141-95E3-4C3DF8875FEA}"/>
    <cellStyle name="Normal 16 2 2 3 3 4" xfId="2806" xr:uid="{FE8C0333-7421-4671-AE2B-6F8F5C52EAD3}"/>
    <cellStyle name="Normal 16 2 2 3 3 4 2" xfId="4876" xr:uid="{D57EC5DE-4942-497F-866D-D851959EE731}"/>
    <cellStyle name="Normal 16 2 2 3 3 5" xfId="3614" xr:uid="{574DD7F3-AF8D-4864-96A9-2F2D74AD811B}"/>
    <cellStyle name="Normal 16 2 2 3 4" xfId="1457" xr:uid="{AE7F72DD-6252-4933-96EE-B6A0E26ADFD3}"/>
    <cellStyle name="Normal 16 2 2 3 4 2" xfId="3010" xr:uid="{F0931A22-B9E8-410B-A36D-47480069C626}"/>
    <cellStyle name="Normal 16 2 2 3 4 2 2" xfId="5060" xr:uid="{A4AE3C87-B3DA-45CF-AC8D-8655DBA18EDB}"/>
    <cellStyle name="Normal 16 2 2 3 4 3" xfId="3792" xr:uid="{31655167-B2D9-4625-AB5E-4172210543D7}"/>
    <cellStyle name="Normal 16 2 2 3 5" xfId="1863" xr:uid="{B10A87A2-D118-4FBF-AF88-1F40FB486618}"/>
    <cellStyle name="Normal 16 2 2 3 5 2" xfId="4180" xr:uid="{61EA8D55-ECD7-4CC1-8CAA-AB53B0A2CF0B}"/>
    <cellStyle name="Normal 16 2 2 3 6" xfId="2553" xr:uid="{291BA0F9-53AE-4D9D-BC2A-A80A7474BE95}"/>
    <cellStyle name="Normal 16 2 2 3 6 2" xfId="4632" xr:uid="{96569B48-4A52-410A-9F25-1353D23E5D77}"/>
    <cellStyle name="Normal 16 2 2 3 7" xfId="3404" xr:uid="{24C2023A-F1CB-4597-ADDE-6BF5D0CD9553}"/>
    <cellStyle name="Normal 16 2 2 4" xfId="1077" xr:uid="{362848B1-BFA8-44F2-80C5-4F390B2A6BF4}"/>
    <cellStyle name="Normal 16 2 2 4 2" xfId="1494" xr:uid="{5CC390CB-7238-4819-9DB1-B0D140CC1CEC}"/>
    <cellStyle name="Normal 16 2 2 4 2 2" xfId="3046" xr:uid="{136283E2-5A84-47C9-A8B3-D9A0B12ADD48}"/>
    <cellStyle name="Normal 16 2 2 4 2 2 2" xfId="5096" xr:uid="{190B3F95-21AD-4CB6-837E-EBFDA048B72E}"/>
    <cellStyle name="Normal 16 2 2 4 2 3" xfId="3829" xr:uid="{DD675B5B-0C98-4B69-90D3-45D9BC04CB2B}"/>
    <cellStyle name="Normal 16 2 2 4 3" xfId="1900" xr:uid="{F71A5423-1E90-44E6-BD17-35C723FFE883}"/>
    <cellStyle name="Normal 16 2 2 4 3 2" xfId="4217" xr:uid="{34758E7D-9F16-42E6-8D01-48C883107151}"/>
    <cellStyle name="Normal 16 2 2 4 4" xfId="2669" xr:uid="{83B6EF6C-EC7F-4EA9-8CAE-012950F255CE}"/>
    <cellStyle name="Normal 16 2 2 4 4 2" xfId="4739" xr:uid="{D0738262-AE1B-4E8E-BA82-940D74D9E850}"/>
    <cellStyle name="Normal 16 2 2 4 5" xfId="3441" xr:uid="{0D7A24FC-60F1-4A71-B289-15066C3BD868}"/>
    <cellStyle name="Normal 16 2 2 5" xfId="1183" xr:uid="{82E4B495-DF3D-4C8A-9B0E-91C8E33BFA9F}"/>
    <cellStyle name="Normal 16 2 2 5 2" xfId="1599" xr:uid="{E2ACB942-0CAC-4F1C-B659-949130B69B0E}"/>
    <cellStyle name="Normal 16 2 2 5 2 2" xfId="3151" xr:uid="{476FBFB4-D58C-4728-941D-471FC0E20E42}"/>
    <cellStyle name="Normal 16 2 2 5 2 2 2" xfId="5200" xr:uid="{586DB363-7222-4C8E-9B55-9252113BAB1E}"/>
    <cellStyle name="Normal 16 2 2 5 2 3" xfId="3934" xr:uid="{598B2044-C0BC-480E-BF8F-D7777FEF6E12}"/>
    <cellStyle name="Normal 16 2 2 5 3" xfId="2005" xr:uid="{46BD467A-4687-4AC0-800D-8939C347FDB2}"/>
    <cellStyle name="Normal 16 2 2 5 3 2" xfId="4322" xr:uid="{D59D7EB5-968A-4813-A7A0-37CBE85CEEBC}"/>
    <cellStyle name="Normal 16 2 2 5 4" xfId="2766" xr:uid="{90E5360A-AE90-4932-B8B0-B02DC6B6A162}"/>
    <cellStyle name="Normal 16 2 2 5 4 2" xfId="4836" xr:uid="{0DE378F7-FEA8-4362-9656-195A83A2FD2D}"/>
    <cellStyle name="Normal 16 2 2 5 5" xfId="3546" xr:uid="{09E7B41F-67CD-4BB8-BE99-81B8F73862E9}"/>
    <cellStyle name="Normal 16 2 2 6" xfId="937" xr:uid="{72BFBE50-99C3-4A68-AF2B-7122BC6C8CCE}"/>
    <cellStyle name="Normal 16 2 2 6 2" xfId="1388" xr:uid="{5CD1D089-1B41-4993-B0D2-97E7739C3C6B}"/>
    <cellStyle name="Normal 16 2 2 6 2 2" xfId="2889" xr:uid="{B151C919-A67B-4D9E-8A1E-B188EC18DBBF}"/>
    <cellStyle name="Normal 16 2 2 6 2 2 2" xfId="4943" xr:uid="{5A3624DB-1FDE-4163-A3C1-1A125A97EC25}"/>
    <cellStyle name="Normal 16 2 2 6 2 3" xfId="3724" xr:uid="{73FC0711-64E5-478F-ADB4-67F5AF838239}"/>
    <cellStyle name="Normal 16 2 2 6 3" xfId="1795" xr:uid="{65EE2D52-8E59-439C-956C-EB0042B715C9}"/>
    <cellStyle name="Normal 16 2 2 6 3 2" xfId="4112" xr:uid="{D2F54D1C-EFD2-43A9-95D1-3BE44774143C}"/>
    <cellStyle name="Normal 16 2 2 6 4" xfId="2525" xr:uid="{10BAD1E0-B4E5-45EF-9947-DC529C71461F}"/>
    <cellStyle name="Normal 16 2 2 6 4 2" xfId="4606" xr:uid="{F54B9889-7336-45A6-AABD-B6BD9829B0A4}"/>
    <cellStyle name="Normal 16 2 2 6 5" xfId="3336" xr:uid="{C220A7A4-E4CC-4D91-A15E-C53C3BCEF771}"/>
    <cellStyle name="Normal 16 2 2 7" xfId="1295" xr:uid="{A0D9A559-678F-43C4-83F8-58433D09C965}"/>
    <cellStyle name="Normal 16 2 2 7 2" xfId="2918" xr:uid="{A68B8E65-2128-488E-9D4C-3A29E9DEB0CA}"/>
    <cellStyle name="Normal 16 2 2 7 2 2" xfId="4972" xr:uid="{5C3C3E28-D111-4717-B8A5-899B34A51D7D}"/>
    <cellStyle name="Normal 16 2 2 7 3" xfId="3651" xr:uid="{60B66DE9-9380-43FC-873A-153594480918}"/>
    <cellStyle name="Normal 16 2 2 8" xfId="1721" xr:uid="{8CB483CA-DD27-4F3D-935B-6E4536EFB804}"/>
    <cellStyle name="Normal 16 2 2 8 2" xfId="4039" xr:uid="{C4CC8ED6-7AD0-4758-8F00-D8FEA6893632}"/>
    <cellStyle name="Normal 16 2 2 9" xfId="2227" xr:uid="{A82375B0-2263-4ED1-B78C-B5C341E8D432}"/>
    <cellStyle name="Normal 16 2 2 9 2" xfId="4448" xr:uid="{CDEFAAD4-A1C1-444B-8B3B-3AAEF9DBB831}"/>
    <cellStyle name="Normal 16 2 3" xfId="2343" xr:uid="{E7876704-E28D-4B8C-AC95-12AA617F7C3B}"/>
    <cellStyle name="Normal 16 2 4" xfId="2391" xr:uid="{9D821921-6434-4076-8878-8A7B804467DF}"/>
    <cellStyle name="Normal 16 2 4 2" xfId="4492" xr:uid="{D1908348-3313-4616-A54E-99E66E985DED}"/>
    <cellStyle name="Normal 16 2 5" xfId="2495" xr:uid="{E9316150-4103-4042-841A-D9F8F29F9D27}"/>
    <cellStyle name="Normal 16 2 5 2" xfId="4586" xr:uid="{BC56B0CF-2AD4-43F8-8246-2A49E237FB57}"/>
    <cellStyle name="Normal 16 2 6" xfId="2873" xr:uid="{FB320B05-3838-4B92-9811-89EB432992D4}"/>
    <cellStyle name="Normal 16 2 6 2" xfId="4928" xr:uid="{9D804238-3C78-4791-9D33-051DFDC76DA3}"/>
    <cellStyle name="Normal 16 2 7" xfId="2175" xr:uid="{1B4F2F3D-AF68-4A08-A083-E1DF17CF10DE}"/>
    <cellStyle name="Normal 16 2 7 2" xfId="4420" xr:uid="{7842ABE5-1A35-42EF-B8E1-3A9E6ED0F017}"/>
    <cellStyle name="Normal 16 3" xfId="460" xr:uid="{516206A8-BD05-4493-BD47-39FFD6D45329}"/>
    <cellStyle name="Normal 16 4" xfId="461" xr:uid="{BD9AB150-8104-45F3-B2EE-6CEA6A481EF0}"/>
    <cellStyle name="Normal 16 4 10" xfId="3264" xr:uid="{7C61421E-9EBF-4C04-B548-0DA5DC7D27DC}"/>
    <cellStyle name="Normal 16 4 2" xfId="849" xr:uid="{D970169D-E24D-47A4-A684-04E75535E5D3}"/>
    <cellStyle name="Normal 16 4 2 2" xfId="1112" xr:uid="{564AA5D9-57BC-4F20-8014-CEDD9587B09A}"/>
    <cellStyle name="Normal 16 4 2 2 2" xfId="1529" xr:uid="{6EC1AAEB-DE39-480E-82F4-7B450EB7332A}"/>
    <cellStyle name="Normal 16 4 2 2 2 2" xfId="2697" xr:uid="{2D4B82D7-537B-4EC6-B539-55682F935EFF}"/>
    <cellStyle name="Normal 16 4 2 2 2 2 2" xfId="4767" xr:uid="{D0A028A6-8E0D-4EA3-8059-5055653F873C}"/>
    <cellStyle name="Normal 16 4 2 2 2 3" xfId="3864" xr:uid="{6227D3D8-E6B7-4161-98D8-B1C19A0EF67E}"/>
    <cellStyle name="Normal 16 4 2 2 3" xfId="1935" xr:uid="{A8A973C0-E07D-4CA5-B171-4E17E90EE84B}"/>
    <cellStyle name="Normal 16 4 2 2 3 2" xfId="3081" xr:uid="{5F64E348-7D15-4D60-9B18-40E2D4707A01}"/>
    <cellStyle name="Normal 16 4 2 2 3 2 2" xfId="5130" xr:uid="{A1E6CF8A-5C08-492D-9AD6-4F1CF611AED9}"/>
    <cellStyle name="Normal 16 4 2 2 3 3" xfId="4252" xr:uid="{5DDBB4CB-DA30-4C6D-A2DC-EF724832ADDB}"/>
    <cellStyle name="Normal 16 4 2 2 4" xfId="2420" xr:uid="{468CCF74-55AC-4617-B954-A4E4940D29F1}"/>
    <cellStyle name="Normal 16 4 2 2 4 2" xfId="4521" xr:uid="{7E70769A-0CC3-4F22-A4DE-C5290ADAB848}"/>
    <cellStyle name="Normal 16 4 2 2 5" xfId="3476" xr:uid="{BE764742-DBAC-4941-B107-97439857626D}"/>
    <cellStyle name="Normal 16 4 2 3" xfId="1219" xr:uid="{8017D2F5-657F-4BD3-8C9C-057D84A52ACF}"/>
    <cellStyle name="Normal 16 4 2 3 2" xfId="1634" xr:uid="{AEBC5CED-2B24-4C21-94F7-AF3C1BF79120}"/>
    <cellStyle name="Normal 16 4 2 3 2 2" xfId="3186" xr:uid="{149BEC3F-16CC-4877-9AB0-B0B663F70B0A}"/>
    <cellStyle name="Normal 16 4 2 3 2 2 2" xfId="5235" xr:uid="{8E5B7F77-A3AC-4AFD-937D-FED8E64E0373}"/>
    <cellStyle name="Normal 16 4 2 3 2 3" xfId="3969" xr:uid="{81F71487-2D3C-429B-9903-4D89D1B6C934}"/>
    <cellStyle name="Normal 16 4 2 3 3" xfId="2040" xr:uid="{BA4A70A7-13CC-4DE4-AF68-9914C0C3CF99}"/>
    <cellStyle name="Normal 16 4 2 3 3 2" xfId="4357" xr:uid="{AFC58624-C694-43D1-907C-AA7961175B2B}"/>
    <cellStyle name="Normal 16 4 2 3 4" xfId="2554" xr:uid="{2D4E1293-7ADB-492C-8433-798A288B5C44}"/>
    <cellStyle name="Normal 16 4 2 3 4 2" xfId="4633" xr:uid="{A29CCDB7-F184-47E5-98BE-96802BAFBAF1}"/>
    <cellStyle name="Normal 16 4 2 3 5" xfId="3581" xr:uid="{9A386695-C8D9-4C6C-9BBA-21310969128B}"/>
    <cellStyle name="Normal 16 4 2 4" xfId="989" xr:uid="{CC25C4D7-81B4-47F6-9031-47DD3FDFE1FC}"/>
    <cellStyle name="Normal 16 4 2 4 2" xfId="1424" xr:uid="{E378B805-D68E-4B2C-BAB8-F674800FFD3E}"/>
    <cellStyle name="Normal 16 4 2 4 2 2" xfId="2980" xr:uid="{A9CC494D-F0DF-42CF-BD88-C6AF514EC3C7}"/>
    <cellStyle name="Normal 16 4 2 4 2 2 2" xfId="5030" xr:uid="{F7499D5A-963E-4998-B9C8-F5F2DF377FC9}"/>
    <cellStyle name="Normal 16 4 2 4 2 3" xfId="3759" xr:uid="{8C5A24FC-1CA0-4612-BF68-566CC20C2DF6}"/>
    <cellStyle name="Normal 16 4 2 4 3" xfId="1830" xr:uid="{45E1B793-9A98-4CE8-AF08-6B9CBEDE6E7F}"/>
    <cellStyle name="Normal 16 4 2 4 3 2" xfId="4147" xr:uid="{66F99060-D68D-4F54-9CFE-657D62034DD6}"/>
    <cellStyle name="Normal 16 4 2 4 4" xfId="2620" xr:uid="{889DF35D-AAA0-42A8-BC23-DF10F0CBC3C5}"/>
    <cellStyle name="Normal 16 4 2 4 4 2" xfId="4690" xr:uid="{C994EF1B-E4C4-410D-87BA-AE3139FA0DBB}"/>
    <cellStyle name="Normal 16 4 2 4 5" xfId="3371" xr:uid="{F83DC769-5F9A-4583-A980-23473092657B}"/>
    <cellStyle name="Normal 16 4 2 5" xfId="1350" xr:uid="{ED05B406-259A-4FF4-B070-578A2BFD0D51}"/>
    <cellStyle name="Normal 16 4 2 5 2" xfId="2919" xr:uid="{E728D6F0-6F9C-4955-BAD8-55BB3706DF32}"/>
    <cellStyle name="Normal 16 4 2 5 2 2" xfId="4973" xr:uid="{15447184-E86F-41BA-9A47-4502D8C27C68}"/>
    <cellStyle name="Normal 16 4 2 5 3" xfId="3686" xr:uid="{A58A7A8D-B194-4372-8E9C-B8FE5497CE3A}"/>
    <cellStyle name="Normal 16 4 2 6" xfId="1757" xr:uid="{CA7C4A30-8F98-4496-AA20-155F50F13832}"/>
    <cellStyle name="Normal 16 4 2 6 2" xfId="4074" xr:uid="{09BEF374-BBE2-4B69-8BBF-859375415963}"/>
    <cellStyle name="Normal 16 4 2 7" xfId="2228" xr:uid="{D6A9C11F-DA07-42AB-B775-8FCDC1B8E0AF}"/>
    <cellStyle name="Normal 16 4 2 7 2" xfId="4449" xr:uid="{A0822E59-45C0-4F55-BFBE-B1B5455E7388}"/>
    <cellStyle name="Normal 16 4 2 8" xfId="3298" xr:uid="{9A75D9E1-4F20-4828-85B5-F513BBD585EE}"/>
    <cellStyle name="Normal 16 4 3" xfId="1028" xr:uid="{DDB97CE1-1E18-457D-A919-1C1D0D1FCE4C}"/>
    <cellStyle name="Normal 16 4 3 2" xfId="1146" xr:uid="{2DD06DE7-9D94-4A2F-B7EC-2EC396485A4C}"/>
    <cellStyle name="Normal 16 4 3 2 2" xfId="1563" xr:uid="{E190127C-0DBC-4A95-86A3-1387793F447A}"/>
    <cellStyle name="Normal 16 4 3 2 2 2" xfId="3115" xr:uid="{B6194712-58BE-412F-AC1C-6B654B1CB8F4}"/>
    <cellStyle name="Normal 16 4 3 2 2 2 2" xfId="5164" xr:uid="{FBC59FE7-DBF6-4739-A14C-6B398CE182DE}"/>
    <cellStyle name="Normal 16 4 3 2 2 3" xfId="3898" xr:uid="{E0826E24-0CD6-4CDB-AA32-D608BF246688}"/>
    <cellStyle name="Normal 16 4 3 2 3" xfId="1969" xr:uid="{3715CB0B-6AAE-4A48-BC10-74CE1C89FBDA}"/>
    <cellStyle name="Normal 16 4 3 2 3 2" xfId="4286" xr:uid="{7F6BEB73-7D5F-4AA2-B0A9-67C1676E7C39}"/>
    <cellStyle name="Normal 16 4 3 2 4" xfId="2731" xr:uid="{C6045947-BD7B-44A4-A224-EF8B65D23C10}"/>
    <cellStyle name="Normal 16 4 3 2 4 2" xfId="4801" xr:uid="{1183D8F1-830D-4D54-A43C-3E2A1C0320F7}"/>
    <cellStyle name="Normal 16 4 3 2 5" xfId="3510" xr:uid="{22CCD886-8336-4D6B-A14F-8C7CD8E972EA}"/>
    <cellStyle name="Normal 16 4 3 3" xfId="1257" xr:uid="{6E546D8D-F357-4FF6-A5FE-F3A24A40F594}"/>
    <cellStyle name="Normal 16 4 3 3 2" xfId="1668" xr:uid="{ED3A0453-C04B-4407-A214-4A856129AE53}"/>
    <cellStyle name="Normal 16 4 3 3 2 2" xfId="3220" xr:uid="{8354D993-C822-4FD9-8EFF-0AAFD0D076F7}"/>
    <cellStyle name="Normal 16 4 3 3 2 2 2" xfId="5269" xr:uid="{B6DC1333-3880-46F1-88A2-589F3025E433}"/>
    <cellStyle name="Normal 16 4 3 3 2 3" xfId="4003" xr:uid="{45CF1148-1F75-4EF7-B47A-FC2749586CED}"/>
    <cellStyle name="Normal 16 4 3 3 3" xfId="2074" xr:uid="{0F3977D2-6D08-48B8-A934-FADE7C52E7AA}"/>
    <cellStyle name="Normal 16 4 3 3 3 2" xfId="4391" xr:uid="{B57F785A-D3E3-41C4-8294-8328E58B86CA}"/>
    <cellStyle name="Normal 16 4 3 3 4" xfId="2807" xr:uid="{1773FFEE-16F3-416D-82F6-7EB13E218AF7}"/>
    <cellStyle name="Normal 16 4 3 3 4 2" xfId="4877" xr:uid="{50EEA076-5304-4624-A465-74C3734DA34A}"/>
    <cellStyle name="Normal 16 4 3 3 5" xfId="3615" xr:uid="{30BA9647-AFF5-4EBA-B4B3-D047F2302174}"/>
    <cellStyle name="Normal 16 4 3 4" xfId="1458" xr:uid="{3C3634ED-FE91-4445-A0D4-158A0E5D86E8}"/>
    <cellStyle name="Normal 16 4 3 4 2" xfId="2648" xr:uid="{74CA5626-F4B2-4A28-B29B-CCD67FC6960C}"/>
    <cellStyle name="Normal 16 4 3 4 2 2" xfId="4718" xr:uid="{FEAB3F11-D433-48E5-AC1E-7DA83592E77E}"/>
    <cellStyle name="Normal 16 4 3 4 3" xfId="3793" xr:uid="{A02AD6A0-E438-4FB1-B4D0-58F8A86221C2}"/>
    <cellStyle name="Normal 16 4 3 5" xfId="1864" xr:uid="{EED55048-B520-45BF-A4B2-F5D567A13C02}"/>
    <cellStyle name="Normal 16 4 3 5 2" xfId="3011" xr:uid="{64D5DF97-82C3-4699-9A74-2A0E898916A8}"/>
    <cellStyle name="Normal 16 4 3 5 2 2" xfId="5061" xr:uid="{8C680055-E7EF-4D5A-B42D-AB37D1DF7155}"/>
    <cellStyle name="Normal 16 4 3 5 3" xfId="4181" xr:uid="{8F3340DB-1817-46FC-8F58-8519CA95403D}"/>
    <cellStyle name="Normal 16 4 3 6" xfId="2392" xr:uid="{F9A33FD8-F74C-4C56-8C67-FEA13DCD28C6}"/>
    <cellStyle name="Normal 16 4 3 6 2" xfId="4493" xr:uid="{D322AD2B-9340-4E9C-8152-C658E7C2996C}"/>
    <cellStyle name="Normal 16 4 3 7" xfId="3405" xr:uid="{9620857D-6825-43EA-B583-278BBF4883E6}"/>
    <cellStyle name="Normal 16 4 4" xfId="1078" xr:uid="{B574891B-A36B-4F42-B4A2-768B5C42CF2D}"/>
    <cellStyle name="Normal 16 4 4 2" xfId="1495" xr:uid="{C8015DB7-8D1D-40F7-9C79-2E2D9656600F}"/>
    <cellStyle name="Normal 16 4 4 2 2" xfId="3047" xr:uid="{C292A46B-0624-4690-BE64-4606F67AF8F2}"/>
    <cellStyle name="Normal 16 4 4 2 2 2" xfId="5097" xr:uid="{F55F6F3B-86D4-4F8D-9A73-C9656D3E3801}"/>
    <cellStyle name="Normal 16 4 4 2 3" xfId="3830" xr:uid="{8D5BA4A2-E324-43A5-89BF-37B134C64932}"/>
    <cellStyle name="Normal 16 4 4 3" xfId="1901" xr:uid="{AA9CD68C-C5D3-4483-B483-062E2F60D009}"/>
    <cellStyle name="Normal 16 4 4 3 2" xfId="4218" xr:uid="{D92DC6D6-7508-4192-815E-9FF61A1C64E0}"/>
    <cellStyle name="Normal 16 4 4 4" xfId="2496" xr:uid="{FC183B32-EA02-4275-8752-F9886AC8A74A}"/>
    <cellStyle name="Normal 16 4 4 4 2" xfId="4587" xr:uid="{3EF72128-D881-462E-956D-EDEEE9479895}"/>
    <cellStyle name="Normal 16 4 4 5" xfId="3442" xr:uid="{61D24A3E-4BDD-4043-8C2C-C7FF2379B041}"/>
    <cellStyle name="Normal 16 4 5" xfId="1184" xr:uid="{FED9CFBC-9E4A-4AE5-830E-10062609C537}"/>
    <cellStyle name="Normal 16 4 5 2" xfId="1600" xr:uid="{D8E5EA4C-D231-46AF-92BC-EA4E56370C24}"/>
    <cellStyle name="Normal 16 4 5 2 2" xfId="3152" xr:uid="{CAF5C250-3145-4834-9C6A-33AE970214CC}"/>
    <cellStyle name="Normal 16 4 5 2 2 2" xfId="5201" xr:uid="{7C644634-1D9C-45A4-9794-E9D06B1BD446}"/>
    <cellStyle name="Normal 16 4 5 2 3" xfId="3935" xr:uid="{BE18A218-5760-4E7D-B7FD-B361BC6671B6}"/>
    <cellStyle name="Normal 16 4 5 3" xfId="2006" xr:uid="{C3C70185-91F9-4673-A36A-91967A4E9BB5}"/>
    <cellStyle name="Normal 16 4 5 3 2" xfId="4323" xr:uid="{80E2FE3D-DA44-489E-B5D9-C36C48CD9484}"/>
    <cellStyle name="Normal 16 4 5 4" xfId="2767" xr:uid="{8B205A77-0A40-4C3B-8C87-88AB17FB202C}"/>
    <cellStyle name="Normal 16 4 5 4 2" xfId="4837" xr:uid="{6E2B33B8-4624-4985-8EB1-5E48834B3940}"/>
    <cellStyle name="Normal 16 4 5 5" xfId="3547" xr:uid="{601B1B1C-AAB3-41A8-B817-8FCC0DD29B62}"/>
    <cellStyle name="Normal 16 4 6" xfId="938" xr:uid="{2A0152A1-D9CC-46B5-B216-A2C705163AC4}"/>
    <cellStyle name="Normal 16 4 6 2" xfId="1389" xr:uid="{879CA2EB-926E-4666-9C95-B8200316D6D0}"/>
    <cellStyle name="Normal 16 4 6 2 2" xfId="2971" xr:uid="{761C2513-8D65-4695-ADC1-51B1E9FE2FAC}"/>
    <cellStyle name="Normal 16 4 6 2 2 2" xfId="5022" xr:uid="{906A828A-1186-455E-BF62-67BBA6ABB86B}"/>
    <cellStyle name="Normal 16 4 6 2 3" xfId="3725" xr:uid="{2AC0B5A0-3FAB-4426-BBD2-8B25FA2F581D}"/>
    <cellStyle name="Normal 16 4 6 3" xfId="1796" xr:uid="{35108FE0-D298-40B8-B38A-8424AF4F4CE0}"/>
    <cellStyle name="Normal 16 4 6 3 2" xfId="4113" xr:uid="{E5EFAAD4-9AEC-4459-BE13-6B7D3B5A21E2}"/>
    <cellStyle name="Normal 16 4 6 4" xfId="2526" xr:uid="{EBDC626E-264F-4BCB-AA64-E6504EFECF65}"/>
    <cellStyle name="Normal 16 4 6 4 2" xfId="4607" xr:uid="{C09FED2E-8E29-40BB-89CB-AB8EF688B9BE}"/>
    <cellStyle name="Normal 16 4 6 5" xfId="3337" xr:uid="{1DA5FDD0-60C7-40F6-9243-636720202155}"/>
    <cellStyle name="Normal 16 4 7" xfId="1296" xr:uid="{B4C1265A-07EE-49A6-AA38-2C569179C727}"/>
    <cellStyle name="Normal 16 4 7 2" xfId="2874" xr:uid="{839E4D72-B4B1-468D-B8CF-2EEED405F8B4}"/>
    <cellStyle name="Normal 16 4 7 2 2" xfId="4929" xr:uid="{D92AB6C5-A69E-4335-8FD4-2223F13B9B51}"/>
    <cellStyle name="Normal 16 4 7 3" xfId="3652" xr:uid="{345976A5-14AD-4029-88F5-8A521977A4F0}"/>
    <cellStyle name="Normal 16 4 8" xfId="1722" xr:uid="{21495184-9DA5-4264-A6C4-B4796CE28724}"/>
    <cellStyle name="Normal 16 4 8 2" xfId="4040" xr:uid="{84C5A2B1-D836-4964-A47C-22BA9DF98154}"/>
    <cellStyle name="Normal 16 4 9" xfId="2176" xr:uid="{B3626364-83A6-442D-8C78-329537D229C7}"/>
    <cellStyle name="Normal 16 4 9 2" xfId="4421" xr:uid="{3AC369B7-5AA0-4FB4-888C-82D19DE10B41}"/>
    <cellStyle name="Normal 17" xfId="462" xr:uid="{455EA56A-A282-465A-AE2E-CF01A13461C1}"/>
    <cellStyle name="Normal 17 2" xfId="463" xr:uid="{C175CA5C-F2E0-4930-BCFA-D986F72DEB4C}"/>
    <cellStyle name="Normal 17 3" xfId="464" xr:uid="{F96680B9-EF73-40AD-9D18-893474821690}"/>
    <cellStyle name="Normal 18" xfId="465" xr:uid="{4D413A4D-AF15-493D-9308-05BE6A2102F3}"/>
    <cellStyle name="Normal 18 2" xfId="466" xr:uid="{760F2051-ED6C-4075-9174-65E2C4143FF4}"/>
    <cellStyle name="Normal 19" xfId="467" xr:uid="{114FAEC1-E9AC-417E-AD91-1E24A07BA255}"/>
    <cellStyle name="Normal 19 2" xfId="468" xr:uid="{86C5DF21-1974-4BEF-85C8-9F75EBF99BE9}"/>
    <cellStyle name="Normal 2" xfId="3" xr:uid="{00000000-0005-0000-0000-000004000000}"/>
    <cellStyle name="Normal 2 10" xfId="470" xr:uid="{5D12F585-75D7-491C-A4F7-AFC655B8289A}"/>
    <cellStyle name="Normal 2 10 2" xfId="850" xr:uid="{FA31E833-9E80-4E6A-BFC0-E796BFB7DDFD}"/>
    <cellStyle name="Normal 2 10 2 2" xfId="2088" xr:uid="{302565E6-A970-464D-B510-AF8DD6BF2DF6}"/>
    <cellStyle name="Normal 2 10 3" xfId="5307" xr:uid="{2254147B-EE9D-4CA1-9309-4728D4B6E825}"/>
    <cellStyle name="Normal 2 11" xfId="469" xr:uid="{C9EE2FFC-2EB5-4049-BC3F-3AE53C643929}"/>
    <cellStyle name="Normal 2 11 2" xfId="5344" xr:uid="{F41FCF58-ED61-483A-9896-DE250EC266E5}"/>
    <cellStyle name="Normal 2 11 3" xfId="5306" xr:uid="{FB0D0E60-ED0B-448F-A00D-92F934D51635}"/>
    <cellStyle name="Normal 2 12" xfId="1317" xr:uid="{C6D3698F-13C1-44AB-B251-15BBC84AA01D}"/>
    <cellStyle name="Normal 2 2" xfId="471" xr:uid="{B3FC9039-53C3-4CFA-9D63-1D9886462B69}"/>
    <cellStyle name="Normal 2 2 2" xfId="472" xr:uid="{CECDEB78-ADE6-4634-A9F8-63288601147E}"/>
    <cellStyle name="Normal 2 2 2 2" xfId="473" xr:uid="{C205A726-A0AB-42DB-B415-9443EC43376F}"/>
    <cellStyle name="Normal 2 2 2 2 2" xfId="474" xr:uid="{B4514012-88F4-419E-8353-1E26A95813C9}"/>
    <cellStyle name="Normal 2 2 2 2 2 2" xfId="475" xr:uid="{F8899EF6-DCEF-4955-A196-63CCF0FD3F91}"/>
    <cellStyle name="Normal 2 2 2 2 3" xfId="476" xr:uid="{EE1DDCB9-54DC-490C-8C1F-DF508007057B}"/>
    <cellStyle name="Normal 2 2 2 2 3 2" xfId="477" xr:uid="{00682846-D1BA-4307-9495-B91B8B5DE774}"/>
    <cellStyle name="Normal 2 2 2 2 3 2 2" xfId="478" xr:uid="{2D9297B6-58F7-4D76-97D5-F6A7999C5D34}"/>
    <cellStyle name="Normal 2 2 2 2 3 3" xfId="479" xr:uid="{4B163FFE-338C-4125-8867-18E9D24BB444}"/>
    <cellStyle name="Normal 2 2 2 2 4" xfId="480" xr:uid="{23717553-A718-48C0-B807-33AC618F38C6}"/>
    <cellStyle name="Normal 2 2 2 2 4 2" xfId="481" xr:uid="{07FB336B-2576-4269-B594-C49650F2729F}"/>
    <cellStyle name="Normal 2 2 2 2 5" xfId="482" xr:uid="{B336524B-FBF6-4EF9-B4E7-9222A78A5FE5}"/>
    <cellStyle name="Normal 2 2 2 2 5 2" xfId="483" xr:uid="{5F8BED95-5757-4E8E-A208-C78501FC44E5}"/>
    <cellStyle name="Normal 2 2 2 2 5 2 2" xfId="484" xr:uid="{1CE8FC72-9874-4631-A5B2-FCABA63567B1}"/>
    <cellStyle name="Normal 2 2 2 2 5 3" xfId="485" xr:uid="{2D89FEDD-A2BB-4EC2-8813-61653F7DEFE1}"/>
    <cellStyle name="Normal 2 2 2 2 5 3 2" xfId="851" xr:uid="{B0F853D0-5333-4135-AFD3-337B90E3BDC0}"/>
    <cellStyle name="Normal 2 2 2 2 5 3 2 2" xfId="2089" xr:uid="{F6EB1914-62DC-4340-AA6F-7B7FBF026919}"/>
    <cellStyle name="Normal 2 2 2 2 5 3 3" xfId="5310" xr:uid="{1EF399AF-B852-4C63-BAAE-0DECBEFF4631}"/>
    <cellStyle name="Normal 2 2 2 2 5 4" xfId="5309" xr:uid="{ABF065CA-9DC4-4FDC-B156-BFCB3E885766}"/>
    <cellStyle name="Normal 2 2 2 2 6" xfId="486" xr:uid="{673BFC04-6171-4273-A85C-7C3E99D1B893}"/>
    <cellStyle name="Normal 2 2 2 3" xfId="487" xr:uid="{7058A065-5804-4EEF-865F-8537E2AEE213}"/>
    <cellStyle name="Normal 2 2 2 3 2" xfId="488" xr:uid="{EBFB17B1-B462-42F6-A526-01A96155BC4F}"/>
    <cellStyle name="Normal 2 2 2 4" xfId="489" xr:uid="{BEB420C5-73B7-40BD-93D0-4D39EC0C26DA}"/>
    <cellStyle name="Normal 2 2 2 4 2" xfId="490" xr:uid="{15399EB1-CAD9-4452-9F0D-5976261C5FCC}"/>
    <cellStyle name="Normal 2 2 2 5" xfId="491" xr:uid="{0CB9EA8C-260B-41C2-B452-08EF9975C671}"/>
    <cellStyle name="Normal 2 2 2 5 2" xfId="492" xr:uid="{0EFFAF1D-4DF8-4BBF-A95E-854665B1888A}"/>
    <cellStyle name="Normal 2 2 2 5 2 2" xfId="493" xr:uid="{8B10C4C7-E90A-47C1-9229-E323FAB99175}"/>
    <cellStyle name="Normal 2 2 2 5 3" xfId="494" xr:uid="{16007556-0CD6-416F-BC03-C70CA60933D8}"/>
    <cellStyle name="Normal 2 2 2 5 4" xfId="495" xr:uid="{942D9A32-1314-4FDD-BF9D-421AA7799C2B}"/>
    <cellStyle name="Normal 2 2 2 5 5" xfId="496" xr:uid="{7FEEA3DC-D390-41A4-9813-FEAC7E774187}"/>
    <cellStyle name="Normal 2 2 2 5 5 2" xfId="852" xr:uid="{88AB5AB3-4FCA-4E3D-9F75-DE547E996126}"/>
    <cellStyle name="Normal 2 2 2 5 5 2 2" xfId="2090" xr:uid="{0372DEFB-F23F-4DA5-AC8D-558E9D4B558D}"/>
    <cellStyle name="Normal 2 2 2 5 5 3" xfId="5312" xr:uid="{B4093024-52C7-4EDB-AF2C-DA41C5C63FB0}"/>
    <cellStyle name="Normal 2 2 2 5 6" xfId="5311" xr:uid="{30345975-0055-46B1-824E-99B57CA30587}"/>
    <cellStyle name="Normal 2 2 2 6" xfId="497" xr:uid="{84FE6FA5-52CD-42FB-80DE-F68593B47DAD}"/>
    <cellStyle name="Normal 2 2 2 6 2" xfId="498" xr:uid="{FDD302FE-E4D6-475F-912A-B76D6F6616F1}"/>
    <cellStyle name="Normal 2 2 2 7" xfId="900" xr:uid="{2B410AD8-01C7-43F1-B980-5C10BC920838}"/>
    <cellStyle name="Normal 2 2 3" xfId="499" xr:uid="{40AB2009-DB00-403C-96FB-7D1BC11E470A}"/>
    <cellStyle name="Normal 2 2 3 2" xfId="500" xr:uid="{661D4BB6-2119-4325-8703-1DA4270C94A3}"/>
    <cellStyle name="Normal 2 2 3 2 2" xfId="501" xr:uid="{FCA42761-572B-4673-8743-56AFA19A530F}"/>
    <cellStyle name="Normal 2 2 3 3" xfId="502" xr:uid="{CBC0C112-2320-436B-A086-541F88F320D0}"/>
    <cellStyle name="Normal 2 2 3 3 2" xfId="503" xr:uid="{C63F3425-BD93-41E7-BE4B-F02C4BBB11DE}"/>
    <cellStyle name="Normal 2 2 3 4" xfId="504" xr:uid="{DFC110EB-8476-4D20-A227-5BB2EDC0E4D1}"/>
    <cellStyle name="Normal 2 2 3 5" xfId="505" xr:uid="{A427BE27-1086-493E-ACAB-AAABF0262E3A}"/>
    <cellStyle name="Normal 2 2 3 5 2" xfId="506" xr:uid="{E62B4C4D-E804-4AEE-9F6E-A09245807CEB}"/>
    <cellStyle name="Normal 2 2 3 5 3" xfId="939" xr:uid="{1ADB2302-C622-42B7-B34B-CBF315195672}"/>
    <cellStyle name="Normal 2 2 3 5 4" xfId="901" xr:uid="{032ABD32-D0E4-408C-B37C-EB873F59818B}"/>
    <cellStyle name="Normal 2 2 3 6" xfId="507" xr:uid="{A0B693F6-1BDA-4336-A75A-3F91A6E73B25}"/>
    <cellStyle name="Normal 2 2 3 7" xfId="508" xr:uid="{C7AD0A75-6D31-4D48-8F04-A94132C02A02}"/>
    <cellStyle name="Normal 2 2 4" xfId="509" xr:uid="{D842EF6D-57CC-4A74-9E3A-1F2C9BDE72FA}"/>
    <cellStyle name="Normal 2 2 4 2" xfId="510" xr:uid="{D4D9C606-7B8C-4602-93D9-0AEFA4535862}"/>
    <cellStyle name="Normal 2 2 5" xfId="511" xr:uid="{6A45CA75-A119-40AB-BFF8-98485B6FFF92}"/>
    <cellStyle name="Normal 2 2 5 2" xfId="512" xr:uid="{D22F42F7-6C8C-4A45-8D62-63F7B4ECC2CA}"/>
    <cellStyle name="Normal 2 2 6" xfId="513" xr:uid="{47FE6DE8-A122-4871-AE08-DAA005F92B3B}"/>
    <cellStyle name="Normal 2 2 7" xfId="514" xr:uid="{25B12C81-BB29-4A32-B7AE-AB3DB7D1FF2A}"/>
    <cellStyle name="Normal 2 2 8" xfId="5284" xr:uid="{4E0901D7-CFB0-43D0-A516-D60D3B4BC68F}"/>
    <cellStyle name="Normal 2 2 9" xfId="5279" xr:uid="{0F9723C1-597E-42D2-B2E6-EA5DFB4EECDE}"/>
    <cellStyle name="Normal 2 3" xfId="515" xr:uid="{973045B1-5A94-48C8-8B6D-F2C43843943B}"/>
    <cellStyle name="Normal 2 3 2" xfId="516" xr:uid="{67D98B45-9DAF-477A-BE95-C9AD8DC489CF}"/>
    <cellStyle name="Normal 2 3 2 2" xfId="517" xr:uid="{A5F63351-9FE1-4256-BB3F-16ACDF9422D3}"/>
    <cellStyle name="Normal 2 3 2 3" xfId="518" xr:uid="{0B4D3C6C-A1D4-49F9-94FD-30B989076550}"/>
    <cellStyle name="Normal 2 3 2 4" xfId="902" xr:uid="{3BE1CFB3-A0DB-429B-93F6-70CAAC6C5BC8}"/>
    <cellStyle name="Normal 2 3 3" xfId="519" xr:uid="{656C37BB-5A8F-42F0-AE97-8F08E1708602}"/>
    <cellStyle name="Normal 2 3 3 2" xfId="520" xr:uid="{00FB6F9E-9A7F-4063-A2F9-28E5CD0CA6C8}"/>
    <cellStyle name="Normal 2 3 3 3" xfId="521" xr:uid="{1755ABE4-1CB8-4919-B92D-B47952F647D9}"/>
    <cellStyle name="Normal 2 3 4" xfId="522" xr:uid="{26B6A628-B80C-4ADF-8D02-5CF2E8E7E0D3}"/>
    <cellStyle name="Normal 2 3 4 2" xfId="523" xr:uid="{DB4F3301-D3AC-4B29-AD92-C066A799CE03}"/>
    <cellStyle name="Normal 2 3 4 3" xfId="524" xr:uid="{5CF40694-2FA0-48E9-A128-2DD402471038}"/>
    <cellStyle name="Normal 2 3 5" xfId="525" xr:uid="{CCDA5705-8D26-4801-9F07-B23E80DD9900}"/>
    <cellStyle name="Normal 2 3 5 2" xfId="526" xr:uid="{CCBF191D-09AC-42F6-859D-27255C037493}"/>
    <cellStyle name="Normal 2 3 5 3" xfId="527" xr:uid="{73AC1A04-B92F-456E-842B-F8CAEE6F3977}"/>
    <cellStyle name="Normal 2 3 6" xfId="528" xr:uid="{6BF3E511-9352-4C4B-9D42-3F2D7838277E}"/>
    <cellStyle name="Normal 2 4" xfId="529" xr:uid="{F7EACE20-3405-40E7-A770-12982F921107}"/>
    <cellStyle name="Normal 2 4 2" xfId="530" xr:uid="{52CCB5C0-29B6-4DC3-B69F-4BC3CCB291BA}"/>
    <cellStyle name="Normal 2 4 2 2" xfId="531" xr:uid="{71759610-455C-4140-9F09-8AE744230CC5}"/>
    <cellStyle name="Normal 2 4 2 3" xfId="532" xr:uid="{B161F8A4-1471-4336-AC27-B85797AF7925}"/>
    <cellStyle name="Normal 2 4 3" xfId="533" xr:uid="{85395097-326D-43A1-919C-75C6D56C88AC}"/>
    <cellStyle name="Normal 2 4 3 2" xfId="534" xr:uid="{31F58F4C-3582-4E5C-AAE5-ACECD5CA8F64}"/>
    <cellStyle name="Normal 2 4 4" xfId="535" xr:uid="{2E676F36-D6F3-4E3A-8267-BCEB024C4E4B}"/>
    <cellStyle name="Normal 2 4 4 2" xfId="536" xr:uid="{6C6DC4D5-A434-4F00-A5AE-8732D05246F4}"/>
    <cellStyle name="Normal 2 4 4 2 2" xfId="2344" xr:uid="{021E4DFE-538A-4D5C-AD92-6DF6BE226315}"/>
    <cellStyle name="Normal 2 4 4 2 3" xfId="2177" xr:uid="{C2359412-3649-4E29-9ACB-0E6202C82EB3}"/>
    <cellStyle name="Normal 2 4 4 3" xfId="2178" xr:uid="{80C0536E-15FB-4D67-9C0E-6E4DA36C2815}"/>
    <cellStyle name="Normal 2 4 4 3 2" xfId="5360" xr:uid="{6A41B468-A613-44FA-9850-D593C30CB696}"/>
    <cellStyle name="Normal 2 4 4 3 3" xfId="5313" xr:uid="{57C72542-F470-46C5-8233-3949F4E90FEC}"/>
    <cellStyle name="Normal 2 4 4 4" xfId="2858" xr:uid="{6985247C-7EE8-4764-96AA-DB4723CE9BCC}"/>
    <cellStyle name="Normal 2 4 5" xfId="537" xr:uid="{34D93D4F-0F9A-4C7C-8AF1-6421B9408071}"/>
    <cellStyle name="Normal 2 4 5 2" xfId="940" xr:uid="{A5C54D79-99CC-4DE4-898B-4B389B65201B}"/>
    <cellStyle name="Normal 2 4 5 3" xfId="903" xr:uid="{744122F7-FCDA-4000-8BBF-E3F5F9A737A5}"/>
    <cellStyle name="Normal 2 5" xfId="538" xr:uid="{EEEAD16F-0F77-4A86-AFF3-DC25D268D639}"/>
    <cellStyle name="Normal 2 5 2" xfId="539" xr:uid="{B8CAF6D5-F399-4B8B-BDD9-88B4BE5655F7}"/>
    <cellStyle name="Normal 2 5 2 2" xfId="540" xr:uid="{F9334757-F80B-42F1-9712-B08BD5ACDF13}"/>
    <cellStyle name="Normal 2 5 3" xfId="541" xr:uid="{136553E6-B050-446B-9263-858085D303F9}"/>
    <cellStyle name="Normal 2 5 4" xfId="542" xr:uid="{9BDFAD3C-5B0F-4490-820B-9193C520BCC4}"/>
    <cellStyle name="Normal 2 5 5" xfId="543" xr:uid="{48F4582B-B728-403E-A962-B189DE61AD66}"/>
    <cellStyle name="Normal 2 5 6" xfId="544" xr:uid="{4E773762-100D-4D01-AB3C-2DFE7A278128}"/>
    <cellStyle name="Normal 2 5 6 2" xfId="853" xr:uid="{EF97965C-724D-4E59-B675-3CE5A4BDD4BA}"/>
    <cellStyle name="Normal 2 5 6 2 2" xfId="2091" xr:uid="{A1D66117-FA0B-4D50-98D7-F3862806CBE2}"/>
    <cellStyle name="Normal 2 5 6 3" xfId="5315" xr:uid="{9FE37E7E-9156-4044-A4DA-2E6B870F7234}"/>
    <cellStyle name="Normal 2 5 7" xfId="5314" xr:uid="{53DC78F8-322B-4BC3-A40B-A45DFAA6732D}"/>
    <cellStyle name="Normal 2 6" xfId="545" xr:uid="{ADD16F8A-738C-45FC-86DC-E372EA908935}"/>
    <cellStyle name="Normal 2 6 10" xfId="904" xr:uid="{CB2DF28E-17C6-495F-80F5-27AE580E31F2}"/>
    <cellStyle name="Normal 2 6 10 2" xfId="1367" xr:uid="{C9F2DB1A-6D20-43A6-87DC-D446D771A962}"/>
    <cellStyle name="Normal 2 6 10 2 2" xfId="2941" xr:uid="{C7A99819-124E-4ACB-A59E-5F77C8FC018C}"/>
    <cellStyle name="Normal 2 6 10 2 2 2" xfId="4995" xr:uid="{2F6452CF-3AF8-454A-8625-DF81BCBE9897}"/>
    <cellStyle name="Normal 2 6 10 2 3" xfId="3703" xr:uid="{56210266-49B4-4DB8-BC06-80771D3BDFBF}"/>
    <cellStyle name="Normal 2 6 10 3" xfId="1774" xr:uid="{9507A07B-14BA-464B-B8FC-03B033B29822}"/>
    <cellStyle name="Normal 2 6 10 3 2" xfId="4091" xr:uid="{693AD4FC-70DC-4BC1-9C00-3E2C04CDA07B}"/>
    <cellStyle name="Normal 2 6 10 4" xfId="2482" xr:uid="{0473D4D0-6491-4D41-8D97-6A64C0BF6BC8}"/>
    <cellStyle name="Normal 2 6 10 4 2" xfId="4576" xr:uid="{ECEE8ED3-7799-47C1-87D3-9FDC23F9BED8}"/>
    <cellStyle name="Normal 2 6 10 5" xfId="3315" xr:uid="{801A997B-1C8E-4B1A-90E5-82BF053FAC35}"/>
    <cellStyle name="Normal 2 6 11" xfId="1297" xr:uid="{840770BD-95D6-486F-BC34-9B7F48F11E80}"/>
    <cellStyle name="Normal 2 6 11 2" xfId="2879" xr:uid="{9BB0DB36-8DDF-4E2E-BDC3-EA38B98690C4}"/>
    <cellStyle name="Normal 2 6 11 2 2" xfId="4933" xr:uid="{6B7012DB-8C5A-4224-A134-6769CF99366D}"/>
    <cellStyle name="Normal 2 6 11 3" xfId="3653" xr:uid="{51F3D9D6-03B1-4A39-BB66-5ABD09955F03}"/>
    <cellStyle name="Normal 2 6 12" xfId="1723" xr:uid="{E15474D5-90BC-478C-BCE4-374FBA7BCBEC}"/>
    <cellStyle name="Normal 2 6 12 2" xfId="4041" xr:uid="{8852A4E9-D47A-490F-983B-9024B70394BE}"/>
    <cellStyle name="Normal 2 6 13" xfId="2179" xr:uid="{C5506857-AE19-4638-B7E5-07FAF2E48FE2}"/>
    <cellStyle name="Normal 2 6 13 2" xfId="4422" xr:uid="{5A3BC413-ABC9-492E-BE1A-931241E79EB7}"/>
    <cellStyle name="Normal 2 6 14" xfId="3265" xr:uid="{3DD52431-47A8-42C6-8BDC-AC0A3D3BFCC4}"/>
    <cellStyle name="Normal 2 6 2" xfId="546" xr:uid="{8B9D89A0-EB38-41E1-AFFF-22D78BB0B674}"/>
    <cellStyle name="Normal 2 6 2 10" xfId="3266" xr:uid="{45E2C762-D101-44CE-B303-BDF9729E9908}"/>
    <cellStyle name="Normal 2 6 2 2" xfId="855" xr:uid="{0FA3F7B8-7700-4199-805F-5798CEEDA5A3}"/>
    <cellStyle name="Normal 2 6 2 2 2" xfId="1114" xr:uid="{A635DBB5-D11D-49F1-AD79-15268FFFEA70}"/>
    <cellStyle name="Normal 2 6 2 2 2 2" xfId="1531" xr:uid="{0B3D44AC-C8D0-4FF3-B825-E5E3196C68BC}"/>
    <cellStyle name="Normal 2 6 2 2 2 2 2" xfId="2699" xr:uid="{30494CC1-0F76-4C81-B992-29E0388C97A8}"/>
    <cellStyle name="Normal 2 6 2 2 2 2 2 2" xfId="4769" xr:uid="{CE29B12D-C268-41E4-946A-8A5AB39FBBD3}"/>
    <cellStyle name="Normal 2 6 2 2 2 2 3" xfId="3866" xr:uid="{2C96F05B-FEC5-490D-98E4-D5A70BC6B84E}"/>
    <cellStyle name="Normal 2 6 2 2 2 3" xfId="1937" xr:uid="{9CAE0452-854B-4F3F-8BC3-5870C457F86F}"/>
    <cellStyle name="Normal 2 6 2 2 2 3 2" xfId="3083" xr:uid="{099E7EF2-CADD-47E2-B3CD-0E5B52827F33}"/>
    <cellStyle name="Normal 2 6 2 2 2 3 2 2" xfId="5132" xr:uid="{6A641CBB-CB7E-4CF6-8141-76AD0EEFCCB7}"/>
    <cellStyle name="Normal 2 6 2 2 2 3 3" xfId="4254" xr:uid="{6723C7E2-C19F-4022-95E7-036E2470423C}"/>
    <cellStyle name="Normal 2 6 2 2 2 4" xfId="2422" xr:uid="{50507843-8D02-4196-9ACC-FFF06AE396B2}"/>
    <cellStyle name="Normal 2 6 2 2 2 4 2" xfId="4523" xr:uid="{C2CFC3C6-EE05-4E46-A893-2B855A5D431A}"/>
    <cellStyle name="Normal 2 6 2 2 2 5" xfId="3478" xr:uid="{0B83964F-BCEF-405B-B95F-625B1492A524}"/>
    <cellStyle name="Normal 2 6 2 2 3" xfId="1221" xr:uid="{52149BE0-F1DB-435D-A4FC-0301A66E322B}"/>
    <cellStyle name="Normal 2 6 2 2 3 2" xfId="1636" xr:uid="{D43E5522-1EA2-4535-B5A3-3725BF1E35DF}"/>
    <cellStyle name="Normal 2 6 2 2 3 2 2" xfId="3188" xr:uid="{2D01FCDF-7D40-404E-86FE-FBC12FA172D8}"/>
    <cellStyle name="Normal 2 6 2 2 3 2 2 2" xfId="5237" xr:uid="{4599E98C-EDF9-4040-8C35-7A7F86414514}"/>
    <cellStyle name="Normal 2 6 2 2 3 2 3" xfId="3971" xr:uid="{3078C610-B830-477B-9CE5-5DA238172F0D}"/>
    <cellStyle name="Normal 2 6 2 2 3 3" xfId="2042" xr:uid="{E23FE1FE-ECE0-4967-8CC4-615DA9F88888}"/>
    <cellStyle name="Normal 2 6 2 2 3 3 2" xfId="4359" xr:uid="{3DD26A01-C29C-4CB9-8A96-D49A56F625ED}"/>
    <cellStyle name="Normal 2 6 2 2 3 4" xfId="2556" xr:uid="{5A2ACE91-4375-4AF1-9FC9-5F7F902CC633}"/>
    <cellStyle name="Normal 2 6 2 2 3 4 2" xfId="4635" xr:uid="{17070CCF-8B3B-4376-9666-A1C568F3C113}"/>
    <cellStyle name="Normal 2 6 2 2 3 5" xfId="3583" xr:uid="{BCD46DAD-F19D-4F64-B197-4D58FF158374}"/>
    <cellStyle name="Normal 2 6 2 2 4" xfId="991" xr:uid="{C29F0464-FF11-4158-8821-5F397DAF6A0B}"/>
    <cellStyle name="Normal 2 6 2 2 4 2" xfId="1426" xr:uid="{F52028DE-052C-4269-A292-6E615B65FF48}"/>
    <cellStyle name="Normal 2 6 2 2 4 2 2" xfId="2982" xr:uid="{88F6D3B4-6B9C-4C51-BCE7-D9A8F2D82A3A}"/>
    <cellStyle name="Normal 2 6 2 2 4 2 2 2" xfId="5032" xr:uid="{E1D3F2C8-7A13-40E7-9FF5-95B1E7FD211B}"/>
    <cellStyle name="Normal 2 6 2 2 4 2 3" xfId="3761" xr:uid="{EF547C47-8471-4E96-A244-132A8A496CAC}"/>
    <cellStyle name="Normal 2 6 2 2 4 3" xfId="1832" xr:uid="{2FCDD5A4-4204-4451-834A-02570788A2B6}"/>
    <cellStyle name="Normal 2 6 2 2 4 3 2" xfId="4149" xr:uid="{DD339436-EFE3-4108-8E77-507ED7BE761F}"/>
    <cellStyle name="Normal 2 6 2 2 4 4" xfId="2622" xr:uid="{5EBF5D9F-DAE6-448E-9ABE-F55A2BDA2CAC}"/>
    <cellStyle name="Normal 2 6 2 2 4 4 2" xfId="4692" xr:uid="{A3EFD86C-3322-4664-8F2C-B067082661B8}"/>
    <cellStyle name="Normal 2 6 2 2 4 5" xfId="3373" xr:uid="{EED167FB-8111-49E3-8C73-CDC407FEBAAE}"/>
    <cellStyle name="Normal 2 6 2 2 5" xfId="1352" xr:uid="{C5D2B6DA-5DE4-4651-AB17-4465CA039957}"/>
    <cellStyle name="Normal 2 6 2 2 5 2" xfId="2921" xr:uid="{2ECAE764-7300-446B-B227-0BFDB202B1EC}"/>
    <cellStyle name="Normal 2 6 2 2 5 2 2" xfId="4975" xr:uid="{B2E2F461-61FA-4751-9A95-A463A8EB8093}"/>
    <cellStyle name="Normal 2 6 2 2 5 3" xfId="3688" xr:uid="{C43A7F5C-928D-4C81-A859-962F2CD06A16}"/>
    <cellStyle name="Normal 2 6 2 2 6" xfId="1759" xr:uid="{E9B41BCD-E2FA-44A5-BA1E-281CEBD3EC0D}"/>
    <cellStyle name="Normal 2 6 2 2 6 2" xfId="4076" xr:uid="{FB19E314-6BA3-498F-87CE-B048645789A6}"/>
    <cellStyle name="Normal 2 6 2 2 7" xfId="2230" xr:uid="{F890B76D-3D9D-48D2-BA1B-670AEF834C1B}"/>
    <cellStyle name="Normal 2 6 2 2 7 2" xfId="4451" xr:uid="{F428FF95-A24B-4CD1-A0AB-38C1C3670E2C}"/>
    <cellStyle name="Normal 2 6 2 2 8" xfId="3300" xr:uid="{621977EB-687C-4872-8D12-A8DCD06F8652}"/>
    <cellStyle name="Normal 2 6 2 3" xfId="1030" xr:uid="{8AD30B93-CB00-4818-8E6C-7099D5BD4A91}"/>
    <cellStyle name="Normal 2 6 2 3 2" xfId="1148" xr:uid="{4951C376-9909-4FB9-A838-4FEA5C9473CC}"/>
    <cellStyle name="Normal 2 6 2 3 2 2" xfId="1565" xr:uid="{750999D4-86A9-498D-A831-1DD8AF31CD0A}"/>
    <cellStyle name="Normal 2 6 2 3 2 2 2" xfId="3117" xr:uid="{B48DEADA-7641-489D-A7C1-6E5E6683C190}"/>
    <cellStyle name="Normal 2 6 2 3 2 2 2 2" xfId="5166" xr:uid="{D4E6F76D-D2FF-4BC4-854D-26AEC92C2F8F}"/>
    <cellStyle name="Normal 2 6 2 3 2 2 3" xfId="3900" xr:uid="{59BB1932-C916-4C83-91CA-48253F8AB8DF}"/>
    <cellStyle name="Normal 2 6 2 3 2 3" xfId="1971" xr:uid="{8338B17B-CEE2-440F-A4CF-B503069814C0}"/>
    <cellStyle name="Normal 2 6 2 3 2 3 2" xfId="4288" xr:uid="{C01E192C-526A-4BC3-A9F1-344B3E0928DA}"/>
    <cellStyle name="Normal 2 6 2 3 2 4" xfId="2733" xr:uid="{E80E064E-4117-41AC-8F5D-DBAF36379286}"/>
    <cellStyle name="Normal 2 6 2 3 2 4 2" xfId="4803" xr:uid="{1A2ED46F-29BE-4545-9508-C2DB6C9CE125}"/>
    <cellStyle name="Normal 2 6 2 3 2 5" xfId="3512" xr:uid="{15E02561-6322-49F5-9998-C3984705EDE4}"/>
    <cellStyle name="Normal 2 6 2 3 3" xfId="1259" xr:uid="{5536304D-C37F-471A-8BD5-1E1D6DEE917D}"/>
    <cellStyle name="Normal 2 6 2 3 3 2" xfId="1670" xr:uid="{351CB00C-DBE4-4B21-89AE-47A09508E900}"/>
    <cellStyle name="Normal 2 6 2 3 3 2 2" xfId="3222" xr:uid="{A96CA175-0DDC-4410-B688-56686A1DF46D}"/>
    <cellStyle name="Normal 2 6 2 3 3 2 2 2" xfId="5271" xr:uid="{BB3BEDF7-A2BD-41B6-9F56-55B227203B9B}"/>
    <cellStyle name="Normal 2 6 2 3 3 2 3" xfId="4005" xr:uid="{EE250172-B0A1-4397-9849-F1140A55D682}"/>
    <cellStyle name="Normal 2 6 2 3 3 3" xfId="2076" xr:uid="{0F0D30A3-B2CD-4663-9007-714E6897981C}"/>
    <cellStyle name="Normal 2 6 2 3 3 3 2" xfId="4393" xr:uid="{1BC4C0A4-C333-4723-92D7-7A11CDFA14AB}"/>
    <cellStyle name="Normal 2 6 2 3 3 4" xfId="2809" xr:uid="{5FAA7855-E053-4990-AE98-0923F51CFEA3}"/>
    <cellStyle name="Normal 2 6 2 3 3 4 2" xfId="4879" xr:uid="{00AAF2F9-9803-4526-B785-77A9966C6648}"/>
    <cellStyle name="Normal 2 6 2 3 3 5" xfId="3617" xr:uid="{EB6D4FEC-4208-44FF-9C3F-F1A848D596FE}"/>
    <cellStyle name="Normal 2 6 2 3 4" xfId="1460" xr:uid="{300EDB0C-6036-49AA-B5DE-3A7CCCC7E709}"/>
    <cellStyle name="Normal 2 6 2 3 4 2" xfId="2650" xr:uid="{C58FC5DD-33A6-44B0-BFFC-C3AA47F38D51}"/>
    <cellStyle name="Normal 2 6 2 3 4 2 2" xfId="4720" xr:uid="{FD314203-4528-41B1-A396-7A38DED30C90}"/>
    <cellStyle name="Normal 2 6 2 3 4 3" xfId="3795" xr:uid="{9D9BAC5A-DD5F-402C-9AA2-3F1F3A51B1F6}"/>
    <cellStyle name="Normal 2 6 2 3 5" xfId="1866" xr:uid="{6C0B425F-D3C5-4665-8DCF-AA05693956FD}"/>
    <cellStyle name="Normal 2 6 2 3 5 2" xfId="3013" xr:uid="{57215C82-AEBD-4F16-8C86-92F7F468C6DB}"/>
    <cellStyle name="Normal 2 6 2 3 5 2 2" xfId="5063" xr:uid="{DB60EA55-FF01-4B41-8E75-BCCA8C37FD83}"/>
    <cellStyle name="Normal 2 6 2 3 5 3" xfId="4183" xr:uid="{F75CEFD3-179F-4113-9551-2A784E05AB78}"/>
    <cellStyle name="Normal 2 6 2 3 6" xfId="2394" xr:uid="{62047C7F-89D5-4D82-93D3-C70D1B132B1C}"/>
    <cellStyle name="Normal 2 6 2 3 6 2" xfId="4495" xr:uid="{34572F26-7F04-4281-99F2-C2A1EBD36815}"/>
    <cellStyle name="Normal 2 6 2 3 7" xfId="3407" xr:uid="{5A60CF90-3EBD-4A6D-B6F0-90F9742A859F}"/>
    <cellStyle name="Normal 2 6 2 4" xfId="1079" xr:uid="{A2F07787-629A-461C-AEB3-B8FA63B8B442}"/>
    <cellStyle name="Normal 2 6 2 4 2" xfId="1496" xr:uid="{05A33857-1814-412C-927D-7B13FC49215C}"/>
    <cellStyle name="Normal 2 6 2 4 2 2" xfId="3048" xr:uid="{599F305D-BA64-48B7-89AC-CEDB9C1B6864}"/>
    <cellStyle name="Normal 2 6 2 4 2 2 2" xfId="5098" xr:uid="{E67BFD27-A2BF-4B9E-919A-F0E999842A50}"/>
    <cellStyle name="Normal 2 6 2 4 2 3" xfId="3831" xr:uid="{763A6880-01D6-4D01-8AC8-453AEEEC701E}"/>
    <cellStyle name="Normal 2 6 2 4 3" xfId="1902" xr:uid="{81237090-2DF5-4386-B68C-E62CC3D5CD42}"/>
    <cellStyle name="Normal 2 6 2 4 3 2" xfId="4219" xr:uid="{D7685AE0-EAFF-48E3-AACA-F43807C1B98E}"/>
    <cellStyle name="Normal 2 6 2 4 4" xfId="2499" xr:uid="{82F63BDC-7F1F-43DB-AE20-4F5F7ACFB652}"/>
    <cellStyle name="Normal 2 6 2 4 4 2" xfId="4589" xr:uid="{CD6D7C00-1385-4BB5-A1B9-CE20EBBD580C}"/>
    <cellStyle name="Normal 2 6 2 4 5" xfId="3443" xr:uid="{298C909E-F67F-4D00-BF45-30B28DC03783}"/>
    <cellStyle name="Normal 2 6 2 5" xfId="1185" xr:uid="{163E9EF4-2893-48ED-86A3-5B088B428733}"/>
    <cellStyle name="Normal 2 6 2 5 2" xfId="1601" xr:uid="{86B70176-1CED-43FA-9F3F-E64A573AA6C5}"/>
    <cellStyle name="Normal 2 6 2 5 2 2" xfId="3153" xr:uid="{E9C0F212-3FC9-4E58-9638-4686C1903BE6}"/>
    <cellStyle name="Normal 2 6 2 5 2 2 2" xfId="5202" xr:uid="{565131C7-4E4D-4407-B7F3-1436AD3FD86C}"/>
    <cellStyle name="Normal 2 6 2 5 2 3" xfId="3936" xr:uid="{37063A22-844A-45E0-B6BF-2731E74309BD}"/>
    <cellStyle name="Normal 2 6 2 5 3" xfId="2007" xr:uid="{38F1F963-E459-4227-ACF1-052EC1006C8C}"/>
    <cellStyle name="Normal 2 6 2 5 3 2" xfId="4324" xr:uid="{D26ADB77-1F59-4A8C-839C-BF4B45D4AD8D}"/>
    <cellStyle name="Normal 2 6 2 5 4" xfId="2768" xr:uid="{44670D22-F953-4536-B951-D0909D31CFF1}"/>
    <cellStyle name="Normal 2 6 2 5 4 2" xfId="4838" xr:uid="{1FCD8813-5D4F-4571-A040-7632FF00F429}"/>
    <cellStyle name="Normal 2 6 2 5 5" xfId="3548" xr:uid="{FA931C8B-BE9A-485B-97D3-0BCA731678B5}"/>
    <cellStyle name="Normal 2 6 2 6" xfId="941" xr:uid="{0248397C-AD03-40DD-BC24-9FB0E54E1D9C}"/>
    <cellStyle name="Normal 2 6 2 6 2" xfId="1390" xr:uid="{5BE036C5-9308-4E34-BADD-E8E8155D3ED9}"/>
    <cellStyle name="Normal 2 6 2 6 2 2" xfId="2967" xr:uid="{37AFBAFF-795D-4AB7-88E7-48812F55D931}"/>
    <cellStyle name="Normal 2 6 2 6 2 2 2" xfId="5018" xr:uid="{3189C4F9-0C3E-4643-A6D1-639F981FD4A4}"/>
    <cellStyle name="Normal 2 6 2 6 2 3" xfId="3726" xr:uid="{0D58994D-130B-4801-A39B-28F490366112}"/>
    <cellStyle name="Normal 2 6 2 6 3" xfId="1797" xr:uid="{F66405F5-42B1-4DB8-9317-A2C82411BA87}"/>
    <cellStyle name="Normal 2 6 2 6 3 2" xfId="4114" xr:uid="{FCB721F8-EBCC-44B6-B2D9-E31CC243F48E}"/>
    <cellStyle name="Normal 2 6 2 6 4" xfId="2477" xr:uid="{84C61510-A41D-4A2F-B381-634453FA7B15}"/>
    <cellStyle name="Normal 2 6 2 6 4 2" xfId="4571" xr:uid="{47DDCB70-542F-431E-AF88-FA160B8AAA10}"/>
    <cellStyle name="Normal 2 6 2 6 5" xfId="3338" xr:uid="{AAA67998-2365-488C-B065-24FBDBA36E49}"/>
    <cellStyle name="Normal 2 6 2 7" xfId="1298" xr:uid="{D5F1F1A7-BCDE-460A-9256-60D207822F10}"/>
    <cellStyle name="Normal 2 6 2 7 2" xfId="2880" xr:uid="{37E4F2DF-4C46-40BC-AE4F-85E455191C06}"/>
    <cellStyle name="Normal 2 6 2 7 2 2" xfId="4934" xr:uid="{AD1C4023-AEEC-4E7A-AD0D-54458817A063}"/>
    <cellStyle name="Normal 2 6 2 7 3" xfId="3654" xr:uid="{7EF7941C-8ED0-4433-B267-5E2DB2C21AE0}"/>
    <cellStyle name="Normal 2 6 2 8" xfId="1724" xr:uid="{22DCBBD0-886B-4625-BF38-7C8DBC51DBDF}"/>
    <cellStyle name="Normal 2 6 2 8 2" xfId="4042" xr:uid="{EE09514B-3B43-4DBE-92D3-80CCA52FC9DE}"/>
    <cellStyle name="Normal 2 6 2 9" xfId="2180" xr:uid="{3A1C23E7-1D1D-4D5D-8410-F82B314FA4A8}"/>
    <cellStyle name="Normal 2 6 2 9 2" xfId="4423" xr:uid="{2F072A88-451F-4BE3-9C88-81FF8E674F2C}"/>
    <cellStyle name="Normal 2 6 3" xfId="547" xr:uid="{95F17354-1F45-417A-9CE6-4F0DBFF14154}"/>
    <cellStyle name="Normal 2 6 3 2" xfId="548" xr:uid="{3CE473EA-DBA3-448E-BF39-162702AF57F4}"/>
    <cellStyle name="Normal 2 6 3 2 2" xfId="549" xr:uid="{30B57F95-2688-4D84-9289-040D48149DE2}"/>
    <cellStyle name="Normal 2 6 4" xfId="550" xr:uid="{83DA3577-9592-427B-A010-651F1EF38331}"/>
    <cellStyle name="Normal 2 6 4 2" xfId="551" xr:uid="{2AAB0332-AE2E-456F-8C9D-B0BC8CEB9F98}"/>
    <cellStyle name="Normal 2 6 4 3" xfId="552" xr:uid="{B83CA95D-3245-415F-B1AC-B63D45F4841A}"/>
    <cellStyle name="Normal 2 6 5" xfId="553" xr:uid="{7AD142FA-795B-44C4-B6D5-B5CA8E090F01}"/>
    <cellStyle name="Normal 2 6 6" xfId="854" xr:uid="{693553D8-4AE0-4E01-8027-B12D146A70B5}"/>
    <cellStyle name="Normal 2 6 6 2" xfId="1113" xr:uid="{DB203BA6-E58E-4A68-A6F0-15C31E4F3609}"/>
    <cellStyle name="Normal 2 6 6 2 2" xfId="1530" xr:uid="{69BA163C-3FC0-4125-A432-56DB478813C8}"/>
    <cellStyle name="Normal 2 6 6 2 2 2" xfId="2698" xr:uid="{3283EFD3-AFC1-4512-BEDB-7F358D0E9A41}"/>
    <cellStyle name="Normal 2 6 6 2 2 2 2" xfId="4768" xr:uid="{D79EC825-FEB7-475F-99A4-AE88A5C6655F}"/>
    <cellStyle name="Normal 2 6 6 2 2 3" xfId="3865" xr:uid="{00BE17D1-03B0-443A-8892-D6EC858B6F31}"/>
    <cellStyle name="Normal 2 6 6 2 3" xfId="1936" xr:uid="{3CB98291-C4C3-4865-A6F2-5C9098E92A19}"/>
    <cellStyle name="Normal 2 6 6 2 3 2" xfId="3082" xr:uid="{E4273DFB-D727-4187-94BF-EEEF54C14FB3}"/>
    <cellStyle name="Normal 2 6 6 2 3 2 2" xfId="5131" xr:uid="{00051B59-554A-49A9-B1C1-A1E9B3383F83}"/>
    <cellStyle name="Normal 2 6 6 2 3 3" xfId="4253" xr:uid="{19CAF68A-26C0-4286-B2EA-DC516F23F8B5}"/>
    <cellStyle name="Normal 2 6 6 2 4" xfId="2421" xr:uid="{CB2C355B-4ACD-4002-9E0A-FB32010F05E6}"/>
    <cellStyle name="Normal 2 6 6 2 4 2" xfId="4522" xr:uid="{6989A021-8112-4E28-A70D-4D0EB3E2DCED}"/>
    <cellStyle name="Normal 2 6 6 2 5" xfId="3477" xr:uid="{71D0B39A-7E4E-40CA-9EE1-40803307BAB9}"/>
    <cellStyle name="Normal 2 6 6 3" xfId="1220" xr:uid="{171F4C6C-D963-451F-91FA-1EF9933610DD}"/>
    <cellStyle name="Normal 2 6 6 3 2" xfId="1635" xr:uid="{BB9C36BF-CDED-448C-A845-4D0E2F4517E2}"/>
    <cellStyle name="Normal 2 6 6 3 2 2" xfId="3187" xr:uid="{D1F18267-CFB6-40D5-983E-60A3E44EADF9}"/>
    <cellStyle name="Normal 2 6 6 3 2 2 2" xfId="5236" xr:uid="{A6E00F34-E1A8-4EA0-9ECD-96825F4886FD}"/>
    <cellStyle name="Normal 2 6 6 3 2 3" xfId="3970" xr:uid="{8C5AF255-9EFC-404B-89F6-159DE4D87A39}"/>
    <cellStyle name="Normal 2 6 6 3 3" xfId="2041" xr:uid="{971F29A1-E12A-41A3-A3B8-C7015DFF23FB}"/>
    <cellStyle name="Normal 2 6 6 3 3 2" xfId="4358" xr:uid="{F0A9F83A-5E20-4019-9C75-EF854E492001}"/>
    <cellStyle name="Normal 2 6 6 3 4" xfId="2555" xr:uid="{2339B039-9EE7-49C7-87DC-68901716F552}"/>
    <cellStyle name="Normal 2 6 6 3 4 2" xfId="4634" xr:uid="{89AA2234-B35D-441B-ADF4-39E1FA6EF3B9}"/>
    <cellStyle name="Normal 2 6 6 3 5" xfId="3582" xr:uid="{B9B65FF7-20EA-4602-B448-1260DCE3F341}"/>
    <cellStyle name="Normal 2 6 6 4" xfId="990" xr:uid="{63F52805-CFFB-489E-9B19-4A7C2CADDCDC}"/>
    <cellStyle name="Normal 2 6 6 4 2" xfId="1425" xr:uid="{2A9BAFBA-0DA2-4A22-9B12-4F9BD63187D3}"/>
    <cellStyle name="Normal 2 6 6 4 2 2" xfId="2981" xr:uid="{1307827D-6803-4789-9BEA-5B33E6B8242B}"/>
    <cellStyle name="Normal 2 6 6 4 2 2 2" xfId="5031" xr:uid="{14A5A19C-05D1-454E-8EA2-555F0183C03A}"/>
    <cellStyle name="Normal 2 6 6 4 2 3" xfId="3760" xr:uid="{82139F68-5274-4725-A975-1B918744016C}"/>
    <cellStyle name="Normal 2 6 6 4 3" xfId="1831" xr:uid="{05AA5ECE-C7B5-4965-8802-4196BE15A286}"/>
    <cellStyle name="Normal 2 6 6 4 3 2" xfId="4148" xr:uid="{A854F98E-F3AC-4B91-B872-AFFC1DFC88A8}"/>
    <cellStyle name="Normal 2 6 6 4 4" xfId="2621" xr:uid="{83618305-31B1-419D-9A5D-0E13C17003DD}"/>
    <cellStyle name="Normal 2 6 6 4 4 2" xfId="4691" xr:uid="{ECCAA23C-FE29-407F-A488-40A7CB150B47}"/>
    <cellStyle name="Normal 2 6 6 4 5" xfId="3372" xr:uid="{67A29216-10AF-48EC-958F-0CAFBADFC471}"/>
    <cellStyle name="Normal 2 6 6 5" xfId="1351" xr:uid="{9D8EFEEE-CFB4-45D0-BCF0-CC825822D51E}"/>
    <cellStyle name="Normal 2 6 6 5 2" xfId="2920" xr:uid="{DA29ED7A-2809-4E99-9F71-ADEDA3191528}"/>
    <cellStyle name="Normal 2 6 6 5 2 2" xfId="4974" xr:uid="{7CC59B83-69E1-484D-B599-055B379DD65B}"/>
    <cellStyle name="Normal 2 6 6 5 3" xfId="3687" xr:uid="{C97B2A8B-9820-4237-AED3-43808B89E0DF}"/>
    <cellStyle name="Normal 2 6 6 6" xfId="1758" xr:uid="{DB5E2E99-BC6A-4C01-82C8-0DE5A43970F1}"/>
    <cellStyle name="Normal 2 6 6 6 2" xfId="4075" xr:uid="{917B736D-289A-4A71-B3B0-CFE36A9CE1E1}"/>
    <cellStyle name="Normal 2 6 6 7" xfId="2229" xr:uid="{B2C90A07-B8C3-44F2-9E94-20B7E9C31C4F}"/>
    <cellStyle name="Normal 2 6 6 7 2" xfId="4450" xr:uid="{6817D91D-BCA3-4E14-93F2-49A9D7F649AE}"/>
    <cellStyle name="Normal 2 6 6 8" xfId="3299" xr:uid="{3987403F-212B-43D0-B164-D7F19DF56284}"/>
    <cellStyle name="Normal 2 6 7" xfId="1029" xr:uid="{F839C0AA-6C87-456C-BDCA-2B05E0EA75F7}"/>
    <cellStyle name="Normal 2 6 7 2" xfId="1147" xr:uid="{D52DD088-11E4-40D1-9701-4018F3FE1DE5}"/>
    <cellStyle name="Normal 2 6 7 2 2" xfId="1564" xr:uid="{4A1D82C9-C966-47BB-B301-38A0B22C27EB}"/>
    <cellStyle name="Normal 2 6 7 2 2 2" xfId="3116" xr:uid="{A72DA77E-0AF6-4E90-9C95-D56D11E903E2}"/>
    <cellStyle name="Normal 2 6 7 2 2 2 2" xfId="5165" xr:uid="{85DDB018-60F9-4E2A-A855-2AF0DA00F6BF}"/>
    <cellStyle name="Normal 2 6 7 2 2 3" xfId="3899" xr:uid="{04D32907-DA31-4906-9F83-F18B2A6582BD}"/>
    <cellStyle name="Normal 2 6 7 2 3" xfId="1970" xr:uid="{810D1A10-65D0-4E0A-829A-EC509CEF296D}"/>
    <cellStyle name="Normal 2 6 7 2 3 2" xfId="4287" xr:uid="{F342ADE7-2B60-468C-BAD9-55EDE2929BE1}"/>
    <cellStyle name="Normal 2 6 7 2 4" xfId="2732" xr:uid="{B69F0F07-3305-49CA-9A84-2A38EE8DE3C2}"/>
    <cellStyle name="Normal 2 6 7 2 4 2" xfId="4802" xr:uid="{48D99F6D-911D-4A40-804C-D16BF1990721}"/>
    <cellStyle name="Normal 2 6 7 2 5" xfId="3511" xr:uid="{218AFD3A-2BC1-444D-BD31-F1C8ADBCE4D1}"/>
    <cellStyle name="Normal 2 6 7 3" xfId="1258" xr:uid="{29B8EAF3-4059-4AC5-9165-A38725CED1A1}"/>
    <cellStyle name="Normal 2 6 7 3 2" xfId="1669" xr:uid="{F00B1ACE-A231-4CEE-8A71-1FD14A7104DF}"/>
    <cellStyle name="Normal 2 6 7 3 2 2" xfId="3221" xr:uid="{6BCBE46C-19B9-4A22-844C-70BCECA4EDA9}"/>
    <cellStyle name="Normal 2 6 7 3 2 2 2" xfId="5270" xr:uid="{51CE2B86-CBC7-449B-B2A4-571302EE748E}"/>
    <cellStyle name="Normal 2 6 7 3 2 3" xfId="4004" xr:uid="{44E7ED28-8E97-40D4-836A-79B73BDB1B2A}"/>
    <cellStyle name="Normal 2 6 7 3 3" xfId="2075" xr:uid="{21EEF88C-53CC-4036-AF34-D49D34F0CF03}"/>
    <cellStyle name="Normal 2 6 7 3 3 2" xfId="4392" xr:uid="{F4B0FE93-524B-4237-8C92-A331BD37F440}"/>
    <cellStyle name="Normal 2 6 7 3 4" xfId="2808" xr:uid="{91C8FEAB-61AC-4FDF-9F1B-C73062B1F51E}"/>
    <cellStyle name="Normal 2 6 7 3 4 2" xfId="4878" xr:uid="{8E28EC42-5AA6-4EC4-A7C7-B15A7ABEC8F6}"/>
    <cellStyle name="Normal 2 6 7 3 5" xfId="3616" xr:uid="{A13407A9-4399-4988-A83B-5B4B3A3309C2}"/>
    <cellStyle name="Normal 2 6 7 4" xfId="1459" xr:uid="{57555A7B-5CFD-4862-A471-77A06C9F6BEC}"/>
    <cellStyle name="Normal 2 6 7 4 2" xfId="2649" xr:uid="{5B76A2B5-E21F-4BBA-A989-C2B6A7FDC994}"/>
    <cellStyle name="Normal 2 6 7 4 2 2" xfId="4719" xr:uid="{5AFB3483-FE62-4911-8718-AEA11D5D2856}"/>
    <cellStyle name="Normal 2 6 7 4 3" xfId="3794" xr:uid="{F2A99AAA-BDE5-4877-B108-F8D31A8115B7}"/>
    <cellStyle name="Normal 2 6 7 5" xfId="1865" xr:uid="{6C20050F-1574-4993-B95C-1F7447964A29}"/>
    <cellStyle name="Normal 2 6 7 5 2" xfId="3012" xr:uid="{07D1E160-A538-43D7-8E8C-2F105D5562E9}"/>
    <cellStyle name="Normal 2 6 7 5 2 2" xfId="5062" xr:uid="{56DA74FD-3F7C-43FA-A038-79FDB0F3516D}"/>
    <cellStyle name="Normal 2 6 7 5 3" xfId="4182" xr:uid="{1D4CF935-2100-4D11-AD4E-4B676EBCA5B9}"/>
    <cellStyle name="Normal 2 6 7 6" xfId="2393" xr:uid="{C79EB479-0C64-465C-AEBA-8D094FA4D84A}"/>
    <cellStyle name="Normal 2 6 7 6 2" xfId="4494" xr:uid="{E7147CF1-A196-4227-8A57-15795055B17A}"/>
    <cellStyle name="Normal 2 6 7 7" xfId="3406" xr:uid="{5B784A5C-8508-417D-B384-AAA782D1CB43}"/>
    <cellStyle name="Normal 2 6 8" xfId="1056" xr:uid="{B38759EE-6591-4A2C-82B3-3EBDD2F312A0}"/>
    <cellStyle name="Normal 2 6 8 2" xfId="1473" xr:uid="{96C12704-E758-49A0-B27C-51386B78EAF0}"/>
    <cellStyle name="Normal 2 6 8 2 2" xfId="3025" xr:uid="{B7C80289-6AD0-458E-A652-BF3C6B559D4C}"/>
    <cellStyle name="Normal 2 6 8 2 2 2" xfId="5075" xr:uid="{15F954D2-E26D-4E46-9ED3-8F36D55EB2FA}"/>
    <cellStyle name="Normal 2 6 8 2 3" xfId="3808" xr:uid="{EFF012B0-A1D8-4A72-9A45-B2D4359D550C}"/>
    <cellStyle name="Normal 2 6 8 3" xfId="1879" xr:uid="{63FE9086-665B-4964-900E-0011AE6EFBCC}"/>
    <cellStyle name="Normal 2 6 8 3 2" xfId="4196" xr:uid="{BED42B8A-CAA4-4707-849B-E9D927AE0CB3}"/>
    <cellStyle name="Normal 2 6 8 4" xfId="2498" xr:uid="{FCB45ED4-732A-4BB3-ADD5-8B88558CD343}"/>
    <cellStyle name="Normal 2 6 8 4 2" xfId="4588" xr:uid="{DCAF5744-48F5-4C1F-88BF-C4219CDDC751}"/>
    <cellStyle name="Normal 2 6 8 5" xfId="3420" xr:uid="{7D706DE0-3E0E-43AB-81C4-9D010DA1E99D}"/>
    <cellStyle name="Normal 2 6 9" xfId="1161" xr:uid="{5583B083-C2D2-467F-A884-3D0BF99F349D}"/>
    <cellStyle name="Normal 2 6 9 2" xfId="1578" xr:uid="{0CBE4E86-2596-4CC8-8C44-E4E92E743742}"/>
    <cellStyle name="Normal 2 6 9 2 2" xfId="3130" xr:uid="{9B180FD5-72A5-4798-B1C3-061425DB0CC2}"/>
    <cellStyle name="Normal 2 6 9 2 2 2" xfId="5179" xr:uid="{EC8DBC6F-7381-482D-BEF3-9A7EBB1B29C8}"/>
    <cellStyle name="Normal 2 6 9 2 3" xfId="3913" xr:uid="{A4357DBE-B086-42C3-BC72-9F2B29DBF588}"/>
    <cellStyle name="Normal 2 6 9 3" xfId="1984" xr:uid="{C2A21D2E-DAAB-43DB-8528-C10E516A9FB5}"/>
    <cellStyle name="Normal 2 6 9 3 2" xfId="4301" xr:uid="{36FAD4B0-81F8-4489-AF79-8E3366F44DAD}"/>
    <cellStyle name="Normal 2 6 9 4" xfId="2746" xr:uid="{E36185E3-94F7-4773-8523-D675869EACA1}"/>
    <cellStyle name="Normal 2 6 9 4 2" xfId="4816" xr:uid="{D62146A4-8F59-44B3-B8F2-6D627233BC7B}"/>
    <cellStyle name="Normal 2 6 9 5" xfId="3525" xr:uid="{41D65092-667A-492B-9F5D-9D2E72AE34E6}"/>
    <cellStyle name="Normal 2 7" xfId="554" xr:uid="{A03A8FF2-D41A-46CB-AA74-C3F1DD97CC0F}"/>
    <cellStyle name="Normal 2 7 2" xfId="555" xr:uid="{639B2AFC-DEA2-4C5B-B602-B3ACC8FB6BD5}"/>
    <cellStyle name="Normal 2 7 2 2" xfId="943" xr:uid="{3764C240-E5C4-45FB-945E-544EB0F9B56D}"/>
    <cellStyle name="Normal 2 7 2 3" xfId="906" xr:uid="{F8C39D6E-A886-4991-BF8D-30ADD71045CF}"/>
    <cellStyle name="Normal 2 7 3" xfId="556" xr:uid="{270D1D38-A5FA-4A22-B1D9-D32D7166E166}"/>
    <cellStyle name="Normal 2 7 4" xfId="942" xr:uid="{B1EADD38-0BD4-495B-AF8C-49F7BF728E2B}"/>
    <cellStyle name="Normal 2 7 5" xfId="905" xr:uid="{F70D173D-FDDF-4DBB-B1E6-5C29F0B46FF7}"/>
    <cellStyle name="Normal 2 7 6" xfId="2975" xr:uid="{AC77C1B1-DDA5-48A8-8E71-93166C7B406E}"/>
    <cellStyle name="Normal 2 8" xfId="557" xr:uid="{F141DFA8-92B6-433D-978C-F91A87BB2B01}"/>
    <cellStyle name="Normal 2 8 2" xfId="558" xr:uid="{2C752368-6ECC-41FA-8421-15B8E22B39C2}"/>
    <cellStyle name="Normal 2 8 3" xfId="559" xr:uid="{8E37C7F6-AAF0-46BC-9B27-EFA7969AFAD1}"/>
    <cellStyle name="Normal 2 9" xfId="560" xr:uid="{D35E08D8-4578-4274-9E71-FF5BD4EAB9E8}"/>
    <cellStyle name="Normal 2 9 2" xfId="561" xr:uid="{2BF8B62C-6683-40EE-939C-49C8488020F2}"/>
    <cellStyle name="Normal 2_Sheet2" xfId="876" xr:uid="{38FFDD0C-248D-4039-AEAC-204B47949F74}"/>
    <cellStyle name="Normal 20" xfId="562" xr:uid="{F8DE0B85-B09B-4100-B9C5-F8DFB9B94908}"/>
    <cellStyle name="Normal 20 2" xfId="563" xr:uid="{DA9B4F34-6552-48ED-9AE9-01DDFA953EBC}"/>
    <cellStyle name="Normal 21" xfId="564" xr:uid="{2CB43CF1-E02A-4A5B-9683-C16D510E3664}"/>
    <cellStyle name="Normal 21 2" xfId="565" xr:uid="{7C9689BD-7A33-4EB9-8EBF-7864FE42FD07}"/>
    <cellStyle name="Normal 22" xfId="566" xr:uid="{050E6A6A-B728-4DCA-8286-655063E0EC98}"/>
    <cellStyle name="Normal 22 2" xfId="567" xr:uid="{00DF5B47-19FD-494B-9EC9-4DF3782920F9}"/>
    <cellStyle name="Normal 23" xfId="568" xr:uid="{5F715D08-367C-4972-929D-7D751ACB7A14}"/>
    <cellStyle name="Normal 23 2" xfId="569" xr:uid="{DA599331-4A35-4991-A63C-999B5BBC46E7}"/>
    <cellStyle name="Normal 24" xfId="570" xr:uid="{D8B690F2-E77A-48E9-95DC-C5D94303177C}"/>
    <cellStyle name="Normal 24 2" xfId="571" xr:uid="{CBEAECD0-A78D-47AB-AD6B-A2ED8582C9F0}"/>
    <cellStyle name="Normal 25" xfId="572" xr:uid="{1937624A-100B-40C9-B7C2-810EB1AE5B6C}"/>
    <cellStyle name="Normal 25 2" xfId="573" xr:uid="{50D9021C-8A00-4434-976E-D0BF04E1938B}"/>
    <cellStyle name="Normal 26" xfId="574" xr:uid="{388FBA35-B83C-4D2E-9E98-8907A7C0592E}"/>
    <cellStyle name="Normal 26 2" xfId="575" xr:uid="{B1BB0CD0-42A4-4726-B79B-677E022776DF}"/>
    <cellStyle name="Normal 27" xfId="576" xr:uid="{8E43FFCF-518E-4CB4-B0E7-DD32AEB39FDC}"/>
    <cellStyle name="Normal 27 2" xfId="577" xr:uid="{C7503534-7235-4C80-9C69-444B98FD99FA}"/>
    <cellStyle name="Normal 28" xfId="578" xr:uid="{2410F14B-BB5D-49D2-B205-1C0168F2D6B3}"/>
    <cellStyle name="Normal 28 2" xfId="579" xr:uid="{313C769E-894A-4CA2-8436-48CAA5899070}"/>
    <cellStyle name="Normal 29" xfId="580" xr:uid="{0BD67CF1-6487-4248-A150-433D2D7953B9}"/>
    <cellStyle name="Normal 29 2" xfId="581" xr:uid="{AE1FA0F6-39D4-4B57-915B-80F1661F6890}"/>
    <cellStyle name="Normal 3" xfId="4" xr:uid="{00000000-0005-0000-0000-000005000000}"/>
    <cellStyle name="Normal 3 10" xfId="868" xr:uid="{49990A3C-9A69-4612-849B-33C569B0A43B}"/>
    <cellStyle name="Normal 3 10 2" xfId="1358" xr:uid="{B2CE0BFA-B4BC-4774-92B7-3B1C3C07C89A}"/>
    <cellStyle name="Normal 3 10 2 2" xfId="2513" xr:uid="{EEE985D1-8836-4B52-9490-37AEBC678A34}"/>
    <cellStyle name="Normal 3 10 2 2 2" xfId="4598" xr:uid="{1F7F8CAA-440A-46DD-A6A9-C762F7308899}"/>
    <cellStyle name="Normal 3 10 2 3" xfId="3694" xr:uid="{1D012D2A-6115-4030-8848-39DDDC50175D}"/>
    <cellStyle name="Normal 3 10 3" xfId="1765" xr:uid="{609E29E6-FB9D-4A20-A313-FF597A3152EE}"/>
    <cellStyle name="Normal 3 10 3 2" xfId="2864" xr:uid="{8EA5E093-290F-4A88-B086-8847195C4F70}"/>
    <cellStyle name="Normal 3 10 3 2 2" xfId="4920" xr:uid="{571CEDF7-A1E4-4DF4-9F50-47BED1A0E335}"/>
    <cellStyle name="Normal 3 10 3 3" xfId="4082" xr:uid="{3E4AD653-4309-4710-B153-07960A2681A1}"/>
    <cellStyle name="Normal 3 10 4" xfId="2373" xr:uid="{0959518A-71B0-433C-9F84-B04827AF7D2C}"/>
    <cellStyle name="Normal 3 10 4 2" xfId="4474" xr:uid="{ACC729EB-83A5-4EC4-ABBA-745DD86FEF3E}"/>
    <cellStyle name="Normal 3 10 5" xfId="3306" xr:uid="{3885E080-431F-4A43-9E51-0E48B1EA7439}"/>
    <cellStyle name="Normal 3 11" xfId="29" xr:uid="{ED670621-5C66-472F-8A18-56EA904B543B}"/>
    <cellStyle name="Normal 3 11 2" xfId="2446" xr:uid="{C03770E1-3342-4A1D-A4CC-EB674FC910A3}"/>
    <cellStyle name="Normal 3 11 2 2" xfId="4547" xr:uid="{6EAF1A64-B068-4550-87B6-64C7D866E359}"/>
    <cellStyle name="Normal 3 11 3" xfId="3235" xr:uid="{5A12E20B-B1B6-4B6C-B14C-C33AC6EB9E87}"/>
    <cellStyle name="Normal 3 12" xfId="1265" xr:uid="{F6D0615B-98F4-4C9D-A326-3DC3507717CA}"/>
    <cellStyle name="Normal 3 12 2" xfId="2826" xr:uid="{E4D8B5B0-C635-4F6D-8255-FE1D1AC1D6C4}"/>
    <cellStyle name="Normal 3 12 2 2" xfId="4885" xr:uid="{268AEA3C-8B30-4345-9ECC-40A2E23E496A}"/>
    <cellStyle name="Normal 3 12 3" xfId="3623" xr:uid="{9EBA48DB-7761-498D-8602-77F3393B7EE1}"/>
    <cellStyle name="Normal 3 13" xfId="1690" xr:uid="{052F8791-F270-4CDC-AD61-DE0FA7CDA36C}"/>
    <cellStyle name="Normal 3 13 2" xfId="4011" xr:uid="{4FEF1E94-2CC5-4750-9DEC-0EA68993ED9D}"/>
    <cellStyle name="Normal 3 14" xfId="2101" xr:uid="{CFAED688-631D-4FF2-8BBE-A0CFCB2E38F9}"/>
    <cellStyle name="Normal 3 14 2" xfId="4399" xr:uid="{A19C9891-DB4A-455A-AA0C-D19E24651BA4}"/>
    <cellStyle name="Normal 3 15" xfId="24" xr:uid="{7E4CFBE8-D1CE-4E5F-A3A9-45A0A74E164C}"/>
    <cellStyle name="Normal 3 16" xfId="3230" xr:uid="{1C3104FF-8507-48AB-86E9-025614EBBEAC}"/>
    <cellStyle name="Normal 3 17" xfId="19" xr:uid="{E2D7B06A-B607-4C53-8F95-5D8B5CF4C788}"/>
    <cellStyle name="Normal 3 2" xfId="14" xr:uid="{00000000-0005-0000-0000-000006000000}"/>
    <cellStyle name="Normal 3 2 10" xfId="25" xr:uid="{0CFB2C40-7ED3-4596-B324-E278EB6FE91E}"/>
    <cellStyle name="Normal 3 2 11" xfId="3231" xr:uid="{97656653-64C3-4021-ADBD-68FB2C1FE947}"/>
    <cellStyle name="Normal 3 2 12" xfId="20" xr:uid="{79A4DD35-0428-4931-8CDA-4EEF297B212A}"/>
    <cellStyle name="Normal 3 2 2" xfId="18" xr:uid="{00000000-0005-0000-0000-000007000000}"/>
    <cellStyle name="Normal 3 2 2 2" xfId="585" xr:uid="{52E9DC97-0DA4-4BFB-8660-67C09F43CF47}"/>
    <cellStyle name="Normal 3 2 2 3" xfId="584" xr:uid="{117332DB-5E9B-4014-9E5B-6DE4531B9051}"/>
    <cellStyle name="Normal 3 2 2 4" xfId="28" xr:uid="{E5C4F911-9903-460F-9354-5BD7D8A18237}"/>
    <cellStyle name="Normal 3 2 2 5" xfId="3234" xr:uid="{12505E51-9CF8-4C70-8B24-6AE8B6C04732}"/>
    <cellStyle name="Normal 3 2 2 6" xfId="23" xr:uid="{CBDB6594-75AD-469E-A4FE-BE8D5EEDC9E1}"/>
    <cellStyle name="Normal 3 2 3" xfId="586" xr:uid="{E8AA21CA-94F9-4477-993F-3B2D28C31423}"/>
    <cellStyle name="Normal 3 2 4" xfId="583" xr:uid="{633D7042-E26D-4EE9-BE5D-FD618A145F93}"/>
    <cellStyle name="Normal 3 2 4 2" xfId="2568" xr:uid="{37D42D9D-5584-4987-BF71-0CEBBD7959DF}"/>
    <cellStyle name="Normal 3 2 4 3" xfId="2105" xr:uid="{CB51C6E1-6E40-4B79-8D46-D3AD572C0B07}"/>
    <cellStyle name="Normal 3 2 4 3 2" xfId="4403" xr:uid="{BF32CCFA-B39F-45E8-8E33-7CD8A7849D1D}"/>
    <cellStyle name="Normal 3 2 4 4" xfId="5347" xr:uid="{88899FB5-8019-44F1-8378-3C382451B114}"/>
    <cellStyle name="Normal 3 2 5" xfId="869" xr:uid="{8B615B86-E49C-4BC2-8220-38BF3ACF4DE1}"/>
    <cellStyle name="Normal 3 2 5 2" xfId="1359" xr:uid="{05E31677-70E8-4590-9FBE-9ED911860BC2}"/>
    <cellStyle name="Normal 3 2 5 2 2" xfId="2592" xr:uid="{D159270A-A1DA-4E8F-8D2E-C345C5FCCF06}"/>
    <cellStyle name="Normal 3 2 5 2 2 2" xfId="4664" xr:uid="{A5FA3063-6E76-4712-BDA1-B0CFB5DEA127}"/>
    <cellStyle name="Normal 3 2 5 2 3" xfId="3695" xr:uid="{1088BE5B-8A56-4148-9B46-4380D102D72E}"/>
    <cellStyle name="Normal 3 2 5 3" xfId="1766" xr:uid="{0A6226DF-8871-40A8-812F-7B84B49229FA}"/>
    <cellStyle name="Normal 3 2 5 3 2" xfId="2884" xr:uid="{6CC9642C-2416-4E91-AEBB-16516C7BA8BE}"/>
    <cellStyle name="Normal 3 2 5 3 2 2" xfId="4938" xr:uid="{8CF28B8B-BD87-41DE-9EF1-B5A2BECAB738}"/>
    <cellStyle name="Normal 3 2 5 3 3" xfId="4083" xr:uid="{68B8B120-A029-42B9-9113-E551BBB0B4FE}"/>
    <cellStyle name="Normal 3 2 5 4" xfId="2374" xr:uid="{07202D59-9DB8-4719-A14D-55335A1FD1F2}"/>
    <cellStyle name="Normal 3 2 5 4 2" xfId="4475" xr:uid="{EBCFD236-B328-4C8F-B56E-D3C75D4A695E}"/>
    <cellStyle name="Normal 3 2 5 5" xfId="3307" xr:uid="{F631B265-1C34-4365-A5EE-FBFB4715689A}"/>
    <cellStyle name="Normal 3 2 6" xfId="30" xr:uid="{5222D738-41A6-40FF-8D3B-B8C778F19861}"/>
    <cellStyle name="Normal 3 2 6 2" xfId="2448" xr:uid="{CC311687-ABA7-441E-A48B-66D9DC1A7418}"/>
    <cellStyle name="Normal 3 2 6 2 2" xfId="4549" xr:uid="{53DA4672-34D4-45E1-BABB-BDA56000E36E}"/>
    <cellStyle name="Normal 3 2 6 3" xfId="3236" xr:uid="{3685D91C-1BE2-42A9-BE87-01BF7F03D21D}"/>
    <cellStyle name="Normal 3 2 7" xfId="1266" xr:uid="{341AD573-BC34-4F9B-85D4-8ADE2D8587D0}"/>
    <cellStyle name="Normal 3 2 7 2" xfId="2827" xr:uid="{E6D7351F-ECA7-4CC4-824F-B20EF6E3DCAC}"/>
    <cellStyle name="Normal 3 2 7 2 2" xfId="4886" xr:uid="{1485A321-79CE-443D-A0E4-AEE4E473675B}"/>
    <cellStyle name="Normal 3 2 7 3" xfId="3624" xr:uid="{4A953D01-CA5D-4C4F-9DF2-236128CA3435}"/>
    <cellStyle name="Normal 3 2 8" xfId="1691" xr:uid="{BCA737C5-3789-44B3-A3B7-A90C612E5613}"/>
    <cellStyle name="Normal 3 2 8 2" xfId="4012" xr:uid="{7975CEBA-4C64-46CE-884B-6AF0454673DF}"/>
    <cellStyle name="Normal 3 2 9" xfId="2102" xr:uid="{0C951D77-9D7D-4E2A-BB72-483F9A864BB0}"/>
    <cellStyle name="Normal 3 2 9 2" xfId="4400" xr:uid="{4FA93BC9-D8C9-4A82-8185-252C5A966B59}"/>
    <cellStyle name="Normal 3 3" xfId="587" xr:uid="{A924679C-A13F-409D-878E-5822877B4C11}"/>
    <cellStyle name="Normal 3 3 2" xfId="588" xr:uid="{8E22DC66-D928-47D1-A713-6C65C2052147}"/>
    <cellStyle name="Normal 3 4" xfId="589" xr:uid="{3676A501-35B3-4D86-A245-918618929B2B}"/>
    <cellStyle name="Normal 3 4 2" xfId="590" xr:uid="{D529C786-E689-4785-9224-0A410ED9B377}"/>
    <cellStyle name="Normal 3 4 3" xfId="591" xr:uid="{4B73A2E4-D6A4-47AA-9377-03885BC15F3E}"/>
    <cellStyle name="Normal 3 4 3 10" xfId="3267" xr:uid="{AA64DFDF-1E5C-46C4-9390-F64394910378}"/>
    <cellStyle name="Normal 3 4 3 2" xfId="856" xr:uid="{BC187E29-005E-4C36-BB97-62315899CEFA}"/>
    <cellStyle name="Normal 3 4 3 2 2" xfId="1115" xr:uid="{881F4C8A-C4D2-49A3-B3C4-FD8A16B46766}"/>
    <cellStyle name="Normal 3 4 3 2 2 2" xfId="1532" xr:uid="{552FAE56-5BA4-4A7B-8337-24E9B5F006D3}"/>
    <cellStyle name="Normal 3 4 3 2 2 2 2" xfId="2700" xr:uid="{227E93A8-36E9-4A76-A9CE-71E44928AB58}"/>
    <cellStyle name="Normal 3 4 3 2 2 2 2 2" xfId="4770" xr:uid="{3001C737-AFD3-46FA-A854-674478FC274F}"/>
    <cellStyle name="Normal 3 4 3 2 2 2 3" xfId="3867" xr:uid="{2768B19C-7E0D-4814-B2FE-35A2B8971BE0}"/>
    <cellStyle name="Normal 3 4 3 2 2 3" xfId="1938" xr:uid="{B42F97CA-A260-49E7-BB35-6382DDA3ADD1}"/>
    <cellStyle name="Normal 3 4 3 2 2 3 2" xfId="3084" xr:uid="{755A5509-E28E-42C1-AB59-460F255A7B65}"/>
    <cellStyle name="Normal 3 4 3 2 2 3 2 2" xfId="5133" xr:uid="{3AA1AC94-9E40-4252-8651-D4B0245093A4}"/>
    <cellStyle name="Normal 3 4 3 2 2 3 3" xfId="4255" xr:uid="{936D69C4-3ABD-4C2C-8796-3B8949F57D2B}"/>
    <cellStyle name="Normal 3 4 3 2 2 4" xfId="2424" xr:uid="{FDF32E9D-9C50-4A35-91BE-3808B189E1D0}"/>
    <cellStyle name="Normal 3 4 3 2 2 4 2" xfId="4525" xr:uid="{AD0520E4-B653-46D1-A398-4A8CA45A09BE}"/>
    <cellStyle name="Normal 3 4 3 2 2 5" xfId="3479" xr:uid="{970CB81D-8B2E-4A02-A76C-3E0C21EBB426}"/>
    <cellStyle name="Normal 3 4 3 2 3" xfId="1222" xr:uid="{DA107E6D-0251-41B6-B108-DE916338B0F5}"/>
    <cellStyle name="Normal 3 4 3 2 3 2" xfId="1637" xr:uid="{855C8E80-D265-40CC-8D27-327BBE71E630}"/>
    <cellStyle name="Normal 3 4 3 2 3 2 2" xfId="3189" xr:uid="{23769E74-C7B0-46C2-B283-8F30684B01B9}"/>
    <cellStyle name="Normal 3 4 3 2 3 2 2 2" xfId="5238" xr:uid="{DEA68B5F-CEF0-4C41-B195-771452DFBF9B}"/>
    <cellStyle name="Normal 3 4 3 2 3 2 3" xfId="3972" xr:uid="{CF1D5A60-0CC5-4A6D-82B5-15D974CD0CC7}"/>
    <cellStyle name="Normal 3 4 3 2 3 3" xfId="2043" xr:uid="{A6E787F5-C364-4A80-912C-55DFC508028B}"/>
    <cellStyle name="Normal 3 4 3 2 3 3 2" xfId="4360" xr:uid="{75B12F64-9F39-4C08-9F77-A350B0165EF3}"/>
    <cellStyle name="Normal 3 4 3 2 3 4" xfId="2558" xr:uid="{6D62D921-3C01-4B57-AA51-491E0C73785A}"/>
    <cellStyle name="Normal 3 4 3 2 3 4 2" xfId="4637" xr:uid="{016D6D20-9086-46C3-A526-43AE5B82A3F7}"/>
    <cellStyle name="Normal 3 4 3 2 3 5" xfId="3584" xr:uid="{B862BAFC-F088-4A56-AE0F-D95AADA5D4DD}"/>
    <cellStyle name="Normal 3 4 3 2 4" xfId="992" xr:uid="{81A2E216-A976-4FB7-B9D8-2A6B417689EB}"/>
    <cellStyle name="Normal 3 4 3 2 4 2" xfId="1427" xr:uid="{3587ED4F-A159-4D2D-9D76-0958875D7425}"/>
    <cellStyle name="Normal 3 4 3 2 4 2 2" xfId="2983" xr:uid="{B04B8EDE-BDE6-48CA-A5C9-65556544A5CE}"/>
    <cellStyle name="Normal 3 4 3 2 4 2 2 2" xfId="5033" xr:uid="{EC7B6D4D-3821-4EC4-9DFA-BCB3B98B970D}"/>
    <cellStyle name="Normal 3 4 3 2 4 2 3" xfId="3762" xr:uid="{6AA97BC5-53A9-4A30-BD92-AA3A3DCDF8B5}"/>
    <cellStyle name="Normal 3 4 3 2 4 3" xfId="1833" xr:uid="{9D6440DC-8088-4218-AD7F-F57B8E648610}"/>
    <cellStyle name="Normal 3 4 3 2 4 3 2" xfId="4150" xr:uid="{DD3DD0FF-1780-4C5E-8122-1C6E9DEE733D}"/>
    <cellStyle name="Normal 3 4 3 2 4 4" xfId="2623" xr:uid="{431B9E5D-ACB9-4E02-9BBA-0574992E918B}"/>
    <cellStyle name="Normal 3 4 3 2 4 4 2" xfId="4693" xr:uid="{2C483CCF-A144-4B0A-9FE8-88730BAB6761}"/>
    <cellStyle name="Normal 3 4 3 2 4 5" xfId="3374" xr:uid="{9CFD87C8-B038-49D4-A43E-802EAAA0509A}"/>
    <cellStyle name="Normal 3 4 3 2 5" xfId="1353" xr:uid="{DA2A300B-4621-48F5-BB9D-037B953969D3}"/>
    <cellStyle name="Normal 3 4 3 2 5 2" xfId="2923" xr:uid="{E32E7FC9-672C-4D4C-90B5-DB5AC3B5E8CE}"/>
    <cellStyle name="Normal 3 4 3 2 5 2 2" xfId="4977" xr:uid="{518F8A3E-3CDF-4FC4-848C-9122D0B6F2F6}"/>
    <cellStyle name="Normal 3 4 3 2 5 3" xfId="3689" xr:uid="{2F256723-15CC-4A9B-8D5B-D175CF1FEED4}"/>
    <cellStyle name="Normal 3 4 3 2 6" xfId="1760" xr:uid="{78876CD3-BE6C-42F0-95A5-20921589F479}"/>
    <cellStyle name="Normal 3 4 3 2 6 2" xfId="4077" xr:uid="{5A6AE733-174D-41FB-9A7F-B5F530EC4908}"/>
    <cellStyle name="Normal 3 4 3 2 7" xfId="2232" xr:uid="{09D8538C-075F-4212-8546-33D779D0E3ED}"/>
    <cellStyle name="Normal 3 4 3 2 7 2" xfId="4453" xr:uid="{169AA6EB-30D5-4892-92BB-2AAF25C22D1D}"/>
    <cellStyle name="Normal 3 4 3 2 8" xfId="3301" xr:uid="{508A22D3-9134-41EC-809E-BE06C90FA71A}"/>
    <cellStyle name="Normal 3 4 3 3" xfId="1031" xr:uid="{239E9C5A-9AF0-4445-8B21-5EE90E866379}"/>
    <cellStyle name="Normal 3 4 3 3 2" xfId="1149" xr:uid="{7C187898-465B-4C9A-B0AC-4D297C1D4EBB}"/>
    <cellStyle name="Normal 3 4 3 3 2 2" xfId="1566" xr:uid="{6690AB8B-9D96-4994-AFB9-4E6928E782AD}"/>
    <cellStyle name="Normal 3 4 3 3 2 2 2" xfId="3118" xr:uid="{FA094B5C-1E25-41E1-BDAF-93B44F6CB048}"/>
    <cellStyle name="Normal 3 4 3 3 2 2 2 2" xfId="5167" xr:uid="{2F46E84A-0B55-4AA6-AE97-55961C4288B9}"/>
    <cellStyle name="Normal 3 4 3 3 2 2 3" xfId="3901" xr:uid="{0B0BF783-89D5-4966-BE66-5AA7FAEFBF63}"/>
    <cellStyle name="Normal 3 4 3 3 2 3" xfId="1972" xr:uid="{1B054A6F-4E69-4556-901D-1BF56C88B1F1}"/>
    <cellStyle name="Normal 3 4 3 3 2 3 2" xfId="4289" xr:uid="{1819C1C4-32A3-416B-8E81-FDC038F2411B}"/>
    <cellStyle name="Normal 3 4 3 3 2 4" xfId="2734" xr:uid="{EE5FC510-D0BE-484A-9B30-8F7DFEEBA8EB}"/>
    <cellStyle name="Normal 3 4 3 3 2 4 2" xfId="4804" xr:uid="{24190DDC-BDE5-4585-832B-121CC5057A29}"/>
    <cellStyle name="Normal 3 4 3 3 2 5" xfId="3513" xr:uid="{72FE592E-8F66-4299-A0FC-D8C6FC0E1CFA}"/>
    <cellStyle name="Normal 3 4 3 3 3" xfId="1260" xr:uid="{C496D449-4BAA-4CFE-B2E1-70B00A720EFD}"/>
    <cellStyle name="Normal 3 4 3 3 3 2" xfId="1671" xr:uid="{0D40DAE7-4211-4BD5-84A6-606F2851FB25}"/>
    <cellStyle name="Normal 3 4 3 3 3 2 2" xfId="3223" xr:uid="{7D355348-81B9-406E-8B89-AC99C7647B28}"/>
    <cellStyle name="Normal 3 4 3 3 3 2 2 2" xfId="5272" xr:uid="{9F3F3947-6976-4A78-81EC-1B8661676616}"/>
    <cellStyle name="Normal 3 4 3 3 3 2 3" xfId="4006" xr:uid="{F2420C0E-515D-4CF6-9360-E35D431DDACE}"/>
    <cellStyle name="Normal 3 4 3 3 3 3" xfId="2077" xr:uid="{0DAC0AE7-7695-47BE-AC7B-CED9B060C8F7}"/>
    <cellStyle name="Normal 3 4 3 3 3 3 2" xfId="4394" xr:uid="{0E0E8031-3E46-4542-BEC8-6F99EF7F7C2F}"/>
    <cellStyle name="Normal 3 4 3 3 3 4" xfId="2810" xr:uid="{5A0C6551-7842-4CFE-874A-EFF49B189992}"/>
    <cellStyle name="Normal 3 4 3 3 3 4 2" xfId="4880" xr:uid="{5DE44DD9-C682-4CB8-8BA9-D9F3D0CEEB6D}"/>
    <cellStyle name="Normal 3 4 3 3 3 5" xfId="3618" xr:uid="{1E4123D7-2911-4944-AA10-0A208550EC41}"/>
    <cellStyle name="Normal 3 4 3 3 4" xfId="1461" xr:uid="{2F45A5DE-471D-42BD-9077-9C0992C050A3}"/>
    <cellStyle name="Normal 3 4 3 3 4 2" xfId="2651" xr:uid="{5EEEC68A-F839-4DAB-8D16-B7D4B7DECE7F}"/>
    <cellStyle name="Normal 3 4 3 3 4 2 2" xfId="4721" xr:uid="{47F564F3-01CA-42DE-8EF0-7074541160FE}"/>
    <cellStyle name="Normal 3 4 3 3 4 3" xfId="3796" xr:uid="{7338F183-7B34-4D56-8F9A-EA0C2BE5B837}"/>
    <cellStyle name="Normal 3 4 3 3 5" xfId="1867" xr:uid="{A90803E8-1A0F-4602-9AF5-54EA879952DA}"/>
    <cellStyle name="Normal 3 4 3 3 5 2" xfId="3014" xr:uid="{77CD6A2A-86FF-46EE-AAA2-961F82ABF5C6}"/>
    <cellStyle name="Normal 3 4 3 3 5 2 2" xfId="5064" xr:uid="{C5BC3A30-53EE-4DEF-82CE-67C338D69389}"/>
    <cellStyle name="Normal 3 4 3 3 5 3" xfId="4184" xr:uid="{5B402172-2C53-4E04-A287-24E5559DE9CC}"/>
    <cellStyle name="Normal 3 4 3 3 6" xfId="2396" xr:uid="{32D7D498-9B7E-4FF0-93A0-E86E0DF19345}"/>
    <cellStyle name="Normal 3 4 3 3 6 2" xfId="4497" xr:uid="{397D958E-9B89-454F-94EC-B286AF5D3FA5}"/>
    <cellStyle name="Normal 3 4 3 3 7" xfId="3408" xr:uid="{6C0670B4-5172-467C-991A-EDB091958C70}"/>
    <cellStyle name="Normal 3 4 3 4" xfId="1080" xr:uid="{C5019C39-FEC3-41EF-AC34-4934975FE00A}"/>
    <cellStyle name="Normal 3 4 3 4 2" xfId="1497" xr:uid="{26D95B28-714D-4594-848B-35698454398C}"/>
    <cellStyle name="Normal 3 4 3 4 2 2" xfId="3049" xr:uid="{4F7E2964-3A87-420D-9348-77C7971E9C77}"/>
    <cellStyle name="Normal 3 4 3 4 2 2 2" xfId="5099" xr:uid="{C3049498-534D-4C7C-BD0B-321675084083}"/>
    <cellStyle name="Normal 3 4 3 4 2 3" xfId="3832" xr:uid="{FD4D62B5-57AD-4570-B80D-FCD88C1B12C0}"/>
    <cellStyle name="Normal 3 4 3 4 3" xfId="1903" xr:uid="{1AB0E77C-10BF-403E-950E-7B2F1C760777}"/>
    <cellStyle name="Normal 3 4 3 4 3 2" xfId="4220" xr:uid="{D637F611-556C-4D44-A7ED-768F38C797BE}"/>
    <cellStyle name="Normal 3 4 3 4 4" xfId="2501" xr:uid="{462D5800-B3E1-4506-9F25-48F73CE9FD8C}"/>
    <cellStyle name="Normal 3 4 3 4 4 2" xfId="4591" xr:uid="{76CDF5A7-2515-40E2-AFC5-BB224258F26D}"/>
    <cellStyle name="Normal 3 4 3 4 5" xfId="3444" xr:uid="{DB60FFBF-DB7B-4435-968C-1D4E9A802327}"/>
    <cellStyle name="Normal 3 4 3 5" xfId="1186" xr:uid="{1FF725F3-F781-401A-84B8-6D8D4F2D639F}"/>
    <cellStyle name="Normal 3 4 3 5 2" xfId="1602" xr:uid="{2499590A-DA58-4AF6-8209-45C41B130100}"/>
    <cellStyle name="Normal 3 4 3 5 2 2" xfId="3154" xr:uid="{628C8CBA-FAC8-49AD-8B9C-E7612D032ED6}"/>
    <cellStyle name="Normal 3 4 3 5 2 2 2" xfId="5203" xr:uid="{9B52743E-EE21-4340-82A5-9B3C51235B6A}"/>
    <cellStyle name="Normal 3 4 3 5 2 3" xfId="3937" xr:uid="{9A0B2AB4-8DDA-4782-8FBD-7E99F295B5D4}"/>
    <cellStyle name="Normal 3 4 3 5 3" xfId="2008" xr:uid="{3661E333-3351-47F5-B6D1-6B0FF96139DF}"/>
    <cellStyle name="Normal 3 4 3 5 3 2" xfId="4325" xr:uid="{BB09EFA0-B7BB-4B3F-A3FE-290BC54E3834}"/>
    <cellStyle name="Normal 3 4 3 5 4" xfId="2769" xr:uid="{ECC95BD7-31A8-44FF-9E92-002779020889}"/>
    <cellStyle name="Normal 3 4 3 5 4 2" xfId="4839" xr:uid="{4A77377B-60C1-4E49-BE2D-17A4EA2A3B5E}"/>
    <cellStyle name="Normal 3 4 3 5 5" xfId="3549" xr:uid="{A397FE45-BA63-4B09-B15C-B7ED52B15EA8}"/>
    <cellStyle name="Normal 3 4 3 6" xfId="944" xr:uid="{BC0992E5-0CC7-4328-8BAA-10B84DBA7B31}"/>
    <cellStyle name="Normal 3 4 3 6 2" xfId="1391" xr:uid="{CA7240E4-8281-4DC0-B38A-2B9076758B53}"/>
    <cellStyle name="Normal 3 4 3 6 2 2" xfId="2937" xr:uid="{DFCBDC1E-A6B3-4465-A99B-B9DC4A4D9398}"/>
    <cellStyle name="Normal 3 4 3 6 2 2 2" xfId="4991" xr:uid="{48B7370F-D0AB-4483-A5E9-FD795C42047B}"/>
    <cellStyle name="Normal 3 4 3 6 2 3" xfId="3727" xr:uid="{58820320-DF87-4E80-9B98-4C71B4A45455}"/>
    <cellStyle name="Normal 3 4 3 6 3" xfId="1798" xr:uid="{1C521378-46FA-411C-8770-487B20783202}"/>
    <cellStyle name="Normal 3 4 3 6 3 2" xfId="4115" xr:uid="{B5B3E9DF-D7C5-435F-86E7-04E15B6C48AB}"/>
    <cellStyle name="Normal 3 4 3 6 4" xfId="2485" xr:uid="{EBFFC356-64AC-41E8-A330-C2D976F488C0}"/>
    <cellStyle name="Normal 3 4 3 6 4 2" xfId="4578" xr:uid="{8F2B7C6B-300F-4E71-8202-2266A2FA29C7}"/>
    <cellStyle name="Normal 3 4 3 6 5" xfId="3339" xr:uid="{D1D02058-6A59-4E23-922B-1C58920A4474}"/>
    <cellStyle name="Normal 3 4 3 7" xfId="1315" xr:uid="{F4DC7342-DB88-4429-90D8-F51D85347F2C}"/>
    <cellStyle name="Normal 3 4 3 7 2" xfId="2887" xr:uid="{5DC3C8D8-C496-4103-83F1-F998AE2E0202}"/>
    <cellStyle name="Normal 3 4 3 7 2 2" xfId="4941" xr:uid="{F753685F-A25C-4405-A2CB-FB50BE82202A}"/>
    <cellStyle name="Normal 3 4 3 7 3" xfId="3655" xr:uid="{E3F01D3A-7112-47FF-A775-C367D4610708}"/>
    <cellStyle name="Normal 3 4 3 8" xfId="1726" xr:uid="{EA139AF8-C5B4-4BD0-9C3D-8A2ECA90A12A}"/>
    <cellStyle name="Normal 3 4 3 8 2" xfId="4043" xr:uid="{0F130D5A-C25F-43A2-9486-A84736ABA6C6}"/>
    <cellStyle name="Normal 3 4 3 9" xfId="2182" xr:uid="{22C5FF13-B831-48F4-8BB5-E5D4EBCCC680}"/>
    <cellStyle name="Normal 3 4 3 9 2" xfId="4425" xr:uid="{6C65A506-AECF-4E3E-B11F-B5870BB8CB56}"/>
    <cellStyle name="Normal 3 4 4" xfId="1049" xr:uid="{51FD89D7-49A1-40FF-B1A1-4E66750DA5FB}"/>
    <cellStyle name="Normal 3 4 4 2" xfId="1467" xr:uid="{A84F26EE-B4B5-4AF9-ACE1-3E2085B6B3FB}"/>
    <cellStyle name="Normal 3 4 4 2 2" xfId="3019" xr:uid="{C3212C5F-BE6C-4CB5-925B-CA5E08A10EE5}"/>
    <cellStyle name="Normal 3 4 4 2 2 2" xfId="5069" xr:uid="{7DC37866-F5BD-4CFE-B56C-BF0F5FAF9793}"/>
    <cellStyle name="Normal 3 4 4 2 3" xfId="3802" xr:uid="{562749FE-06D3-4273-A51D-71DDA13A4841}"/>
    <cellStyle name="Normal 3 4 4 3" xfId="1873" xr:uid="{8C405150-089A-4DB5-89F8-F56C04989E23}"/>
    <cellStyle name="Normal 3 4 4 3 2" xfId="4190" xr:uid="{B74BA74D-12CF-4A20-83DA-3E22C626881F}"/>
    <cellStyle name="Normal 3 4 4 4" xfId="2655" xr:uid="{E8902972-AA26-4069-A529-11007104DCF0}"/>
    <cellStyle name="Normal 3 4 4 4 2" xfId="4725" xr:uid="{93F245CE-3F18-4E70-9444-089169DAAB0B}"/>
    <cellStyle name="Normal 3 4 4 5" xfId="3414" xr:uid="{DBF362EA-74F5-4B72-8A60-C728CAD36854}"/>
    <cellStyle name="Normal 3 4 5" xfId="1155" xr:uid="{9E5C0DF7-BE7F-4659-A94D-BFE1D002CDCB}"/>
    <cellStyle name="Normal 3 4 5 2" xfId="1572" xr:uid="{7585A14E-9C55-4BEE-8309-4E8D98746B81}"/>
    <cellStyle name="Normal 3 4 5 2 2" xfId="3124" xr:uid="{90F3A5D6-83C4-4C2C-9424-7B1D7B2D8D3F}"/>
    <cellStyle name="Normal 3 4 5 2 2 2" xfId="5173" xr:uid="{80C37A15-998A-49D1-B1CD-52F072D2A745}"/>
    <cellStyle name="Normal 3 4 5 2 3" xfId="3907" xr:uid="{47ADDAF1-0534-45AC-BFAE-69D31FBA0FE8}"/>
    <cellStyle name="Normal 3 4 5 3" xfId="1978" xr:uid="{9D6EBAC8-74EF-48FD-B303-6927BB945BE3}"/>
    <cellStyle name="Normal 3 4 5 3 2" xfId="4295" xr:uid="{6D8C4A1B-C7E5-4A7F-9945-C21E604EE36E}"/>
    <cellStyle name="Normal 3 4 5 4" xfId="2740" xr:uid="{4FE21628-B22B-49F9-BDF3-852154BAB299}"/>
    <cellStyle name="Normal 3 4 5 4 2" xfId="4810" xr:uid="{3734F163-8281-4899-9100-A76ED506BD68}"/>
    <cellStyle name="Normal 3 4 5 5" xfId="3519" xr:uid="{CA7E312B-B36A-4AAD-BD0D-04FF00D6AC98}"/>
    <cellStyle name="Normal 3 4 6" xfId="877" xr:uid="{6E7DEBEF-76C5-418D-91C2-6034D1D66FFF}"/>
    <cellStyle name="Normal 3 4 6 2" xfId="1361" xr:uid="{91009E9F-F578-4BBE-B96B-DBEA599BAFAC}"/>
    <cellStyle name="Normal 3 4 6 2 2" xfId="2883" xr:uid="{169999DF-9E4C-4E49-897B-97F4002F152D}"/>
    <cellStyle name="Normal 3 4 6 2 2 2" xfId="4937" xr:uid="{EFD70EB5-1E48-458D-9916-5084303B84FC}"/>
    <cellStyle name="Normal 3 4 6 2 3" xfId="3697" xr:uid="{64B3AD13-6AC6-43F3-90D1-22AF27BFEC63}"/>
    <cellStyle name="Normal 3 4 6 3" xfId="1768" xr:uid="{8CFF1412-37B7-4E70-980D-FF08658F6A79}"/>
    <cellStyle name="Normal 3 4 6 3 2" xfId="4085" xr:uid="{596A8165-B925-42DC-A29D-B00E96682D6E}"/>
    <cellStyle name="Normal 3 4 6 4" xfId="2571" xr:uid="{3B058147-8D8B-4C13-AAC7-02C8EB1907B3}"/>
    <cellStyle name="Normal 3 4 6 4 2" xfId="4648" xr:uid="{FC779802-706F-48C4-861B-1646173FB33C}"/>
    <cellStyle name="Normal 3 4 6 5" xfId="3309" xr:uid="{9FC53FA7-6FCB-45F4-88CA-25FB063A449B}"/>
    <cellStyle name="Normal 3 5" xfId="592" xr:uid="{67D3E994-7E86-4223-92C7-1EBE5006D299}"/>
    <cellStyle name="Normal 3 5 2" xfId="945" xr:uid="{C065C89A-8480-472C-92C3-FE8382F48FE7}"/>
    <cellStyle name="Normal 3 5 3" xfId="1050" xr:uid="{AECCA10B-6897-44EA-A9BC-E96D551529A5}"/>
    <cellStyle name="Normal 3 5 3 2" xfId="1468" xr:uid="{EF09E7BF-AD41-40FB-B009-FB9BB7E622A8}"/>
    <cellStyle name="Normal 3 5 3 2 2" xfId="3020" xr:uid="{2F124E26-863C-436D-957E-226FDFACEE21}"/>
    <cellStyle name="Normal 3 5 3 2 2 2" xfId="5070" xr:uid="{8DE7D9F3-A255-41A6-887C-EDC35C4B2588}"/>
    <cellStyle name="Normal 3 5 3 2 3" xfId="3803" xr:uid="{8B8BDE0B-A890-48A4-BB01-EAEADA9ED996}"/>
    <cellStyle name="Normal 3 5 3 3" xfId="1874" xr:uid="{AA3B3C85-BBCC-4EF9-8209-A34CE790A7B2}"/>
    <cellStyle name="Normal 3 5 3 3 2" xfId="4191" xr:uid="{641ECBD2-2271-42F4-AA53-AF4EBEB7D5CD}"/>
    <cellStyle name="Normal 3 5 3 4" xfId="2656" xr:uid="{B5CF68C7-D25E-4D76-A63B-F09A1D25B322}"/>
    <cellStyle name="Normal 3 5 3 4 2" xfId="4726" xr:uid="{140AC11C-B808-4440-8BA2-EC3A49144ED3}"/>
    <cellStyle name="Normal 3 5 3 5" xfId="3415" xr:uid="{7A3B5F94-0738-4930-9D6F-48FF9C328B0B}"/>
    <cellStyle name="Normal 3 5 4" xfId="1156" xr:uid="{9CA822D5-D78C-47EC-9D84-C90662741BFE}"/>
    <cellStyle name="Normal 3 5 4 2" xfId="1573" xr:uid="{056801F4-8050-428B-B320-A757BF1C068A}"/>
    <cellStyle name="Normal 3 5 4 2 2" xfId="3125" xr:uid="{87CF89C1-4A98-4011-8B80-0D00401649E0}"/>
    <cellStyle name="Normal 3 5 4 2 2 2" xfId="5174" xr:uid="{80A541B1-54CF-4E23-B668-9EFF7D8C77DB}"/>
    <cellStyle name="Normal 3 5 4 2 3" xfId="3908" xr:uid="{A9C499A8-2399-45C7-8CC1-EFC654516909}"/>
    <cellStyle name="Normal 3 5 4 3" xfId="1979" xr:uid="{94DC1010-67F6-4756-AB70-9696915E8A39}"/>
    <cellStyle name="Normal 3 5 4 3 2" xfId="4296" xr:uid="{F3C2B1FF-4BC6-4AFF-B1C1-379BC640787D}"/>
    <cellStyle name="Normal 3 5 4 4" xfId="2741" xr:uid="{79496937-5B87-477C-935A-FD22DC4F79CB}"/>
    <cellStyle name="Normal 3 5 4 4 2" xfId="4811" xr:uid="{9B1B3F95-48B2-4BF0-863F-4E301B13C5E5}"/>
    <cellStyle name="Normal 3 5 4 5" xfId="3520" xr:uid="{FCDC16C1-629A-42F8-82DD-8CE0188AF334}"/>
    <cellStyle name="Normal 3 5 5" xfId="885" xr:uid="{DDB98F86-199D-4DC6-B190-B7361B03F459}"/>
    <cellStyle name="Normal 3 5 5 2" xfId="1362" xr:uid="{DD52719C-E781-4D44-A140-5F2689CED73F}"/>
    <cellStyle name="Normal 3 5 5 2 2" xfId="2939" xr:uid="{37A09953-3305-4721-A761-D62A3BF99853}"/>
    <cellStyle name="Normal 3 5 5 2 2 2" xfId="4993" xr:uid="{7D5D4FCE-8294-4951-A2EB-42F26CC6236E}"/>
    <cellStyle name="Normal 3 5 5 2 3" xfId="3698" xr:uid="{A13A8E30-8707-47DF-8013-5C9A9D9A3411}"/>
    <cellStyle name="Normal 3 5 5 3" xfId="1769" xr:uid="{11E6245E-F151-4F13-B5E5-784CD23618E4}"/>
    <cellStyle name="Normal 3 5 5 3 2" xfId="4086" xr:uid="{B91FB207-A086-4987-B410-122E71A64783}"/>
    <cellStyle name="Normal 3 5 5 4" xfId="2532" xr:uid="{1A661B0E-8AB8-4388-B8F7-9750F4AE4DCA}"/>
    <cellStyle name="Normal 3 5 5 4 2" xfId="4612" xr:uid="{25FDFA4A-0B43-46F5-880D-2B59F5658878}"/>
    <cellStyle name="Normal 3 5 5 5" xfId="3310" xr:uid="{EE063CEB-ABA0-417A-81B6-59A9F904DFEA}"/>
    <cellStyle name="Normal 3 6" xfId="582" xr:uid="{695ABCBC-878E-418C-8A6B-14AFE4E9AD65}"/>
    <cellStyle name="Normal 3 6 2" xfId="1085" xr:uid="{53708493-F729-4706-AB4D-1C6648FEBFE6}"/>
    <cellStyle name="Normal 3 6 2 2" xfId="1502" xr:uid="{1ABB3ED1-F827-4D22-92F9-D693F9302CCF}"/>
    <cellStyle name="Normal 3 6 2 2 2" xfId="2423" xr:uid="{647BDA20-18DD-482F-A2F0-BCA99B054FEA}"/>
    <cellStyle name="Normal 3 6 2 2 2 2" xfId="4524" xr:uid="{BAEA8FC6-7C02-474E-A22D-081DBA5DF9E0}"/>
    <cellStyle name="Normal 3 6 2 2 3" xfId="3837" xr:uid="{A17C0286-8318-42B2-AE39-02821877215E}"/>
    <cellStyle name="Normal 3 6 2 3" xfId="1908" xr:uid="{74913A21-A12B-41DA-9377-78E8215B682C}"/>
    <cellStyle name="Normal 3 6 2 3 2" xfId="2557" xr:uid="{77A3B323-3645-46A6-9A65-94DAB58DF0DC}"/>
    <cellStyle name="Normal 3 6 2 3 2 2" xfId="4636" xr:uid="{0357B92B-393E-4E5C-9AFB-1F42CBD8EFF8}"/>
    <cellStyle name="Normal 3 6 2 3 3" xfId="4225" xr:uid="{14EBE63E-26A5-4789-9064-F30197A720E3}"/>
    <cellStyle name="Normal 3 6 2 4" xfId="2922" xr:uid="{30D04D20-758E-40F7-82D0-708AF9A7613E}"/>
    <cellStyle name="Normal 3 6 2 4 2" xfId="4976" xr:uid="{98D405C6-AF41-4A5F-8047-79D26A223316}"/>
    <cellStyle name="Normal 3 6 2 5" xfId="2231" xr:uid="{0954CFDC-CF6D-41C2-AAC3-AB5BABB25443}"/>
    <cellStyle name="Normal 3 6 2 5 2" xfId="4452" xr:uid="{546E3ABC-76B4-48F1-B104-4F0039D7A442}"/>
    <cellStyle name="Normal 3 6 2 6" xfId="3449" xr:uid="{683E3928-EA74-4C8B-941F-E4B643C68232}"/>
    <cellStyle name="Normal 3 6 2 7" xfId="5335" xr:uid="{B8FA9429-49D5-4492-BD8F-890B9E79F716}"/>
    <cellStyle name="Normal 3 6 3" xfId="1191" xr:uid="{5095C5C2-4CFC-49D7-B020-752F776D38DE}"/>
    <cellStyle name="Normal 3 6 3 2" xfId="1607" xr:uid="{7DADCE6E-E2A8-48A3-93E1-E7E51C14BF59}"/>
    <cellStyle name="Normal 3 6 3 2 2" xfId="2774" xr:uid="{5F0CD03B-4808-4964-92A8-2885C7BFE9EA}"/>
    <cellStyle name="Normal 3 6 3 2 2 2" xfId="4844" xr:uid="{D5BF063C-8141-40C9-9397-2D2B29A7B61A}"/>
    <cellStyle name="Normal 3 6 3 2 3" xfId="3942" xr:uid="{AA4417D4-54BF-428D-96E7-02A6AE079C9A}"/>
    <cellStyle name="Normal 3 6 3 3" xfId="2013" xr:uid="{92077E79-A54C-4D1E-B254-467A548D5C97}"/>
    <cellStyle name="Normal 3 6 3 3 2" xfId="3159" xr:uid="{AA037441-ABF5-4322-9C63-55BEADA9A432}"/>
    <cellStyle name="Normal 3 6 3 3 2 2" xfId="5208" xr:uid="{E1DB11CD-D24E-4CBA-BBF5-31644FC24EB8}"/>
    <cellStyle name="Normal 3 6 3 3 3" xfId="4330" xr:uid="{276BA2CC-A2F2-47E4-A3B7-0F37CE73C70F}"/>
    <cellStyle name="Normal 3 6 3 4" xfId="2395" xr:uid="{5E97DD05-42E3-4611-B7E0-3F4AA8C19B36}"/>
    <cellStyle name="Normal 3 6 3 4 2" xfId="4496" xr:uid="{F74E6D06-3DEA-4826-B79F-8837C11471B8}"/>
    <cellStyle name="Normal 3 6 3 5" xfId="3554" xr:uid="{ABB79EE5-A7DE-4DB5-917C-6D1E3AC7D26E}"/>
    <cellStyle name="Normal 3 6 4" xfId="961" xr:uid="{AFFA2B01-5A07-42BB-842F-C534C741B018}"/>
    <cellStyle name="Normal 3 6 4 2" xfId="1397" xr:uid="{F22B36D7-5607-41F4-B6EF-6E42B408BB51}"/>
    <cellStyle name="Normal 3 6 4 2 2" xfId="2865" xr:uid="{0052148F-CC84-43F5-A1FB-1FF56B9252FE}"/>
    <cellStyle name="Normal 3 6 4 2 2 2" xfId="4921" xr:uid="{AAF883E4-8D9A-44F5-8611-D86D4D12CF79}"/>
    <cellStyle name="Normal 3 6 4 2 3" xfId="3732" xr:uid="{600BF98F-47F7-47BC-B3B7-DD0764610B23}"/>
    <cellStyle name="Normal 3 6 4 3" xfId="1803" xr:uid="{CABD50E5-763A-49C8-8706-B07B8890949F}"/>
    <cellStyle name="Normal 3 6 4 3 2" xfId="4120" xr:uid="{6AEF198B-B9DF-4705-B766-12B060CECB0E}"/>
    <cellStyle name="Normal 3 6 4 4" xfId="2500" xr:uid="{10D00903-3FC6-4CF1-A507-F7775CFB64CE}"/>
    <cellStyle name="Normal 3 6 4 4 2" xfId="4590" xr:uid="{14F48F6B-869E-485E-83EF-C6C62FE3168F}"/>
    <cellStyle name="Normal 3 6 4 5" xfId="3344" xr:uid="{61FE49D1-BDA4-4140-B7B4-B076538E0BE5}"/>
    <cellStyle name="Normal 3 6 5" xfId="2502" xr:uid="{6DAD3960-C0F7-4F67-BA80-FC62D83DDB36}"/>
    <cellStyle name="Normal 3 6 6" xfId="2886" xr:uid="{73D52471-F25E-452E-867F-4BB5F9F3F430}"/>
    <cellStyle name="Normal 3 6 6 2" xfId="4940" xr:uid="{906E4B89-FB70-49D9-BF24-8DA1CBEB1AEA}"/>
    <cellStyle name="Normal 3 6 7" xfId="2181" xr:uid="{A9820C65-27B9-495E-8B9D-089B6B7FE40B}"/>
    <cellStyle name="Normal 3 6 7 2" xfId="4424" xr:uid="{6638C185-CB37-4799-A952-A9A82379CC55}"/>
    <cellStyle name="Normal 3 6 8" xfId="5341" xr:uid="{E187CB72-9A82-4471-9AFA-173FDD5CEBD7}"/>
    <cellStyle name="Normal 3 6 9" xfId="5316" xr:uid="{9DE1700D-55C6-4A8D-983C-88FB24004BBD}"/>
    <cellStyle name="Normal 3 7" xfId="870" xr:uid="{2AEA59A2-135F-46BB-9E1D-F9DADB02A5A8}"/>
    <cellStyle name="Normal 3 7 2" xfId="1360" xr:uid="{A43B83E2-DEAB-4E35-8AE9-884F5EA49463}"/>
    <cellStyle name="Normal 3 7 2 2" xfId="2375" xr:uid="{E589679D-6D80-4195-BC01-77D15D68E935}"/>
    <cellStyle name="Normal 3 7 2 2 2" xfId="4476" xr:uid="{4E039E7A-E3D6-45E0-8AE8-5BE716CCD341}"/>
    <cellStyle name="Normal 3 7 2 3" xfId="3696" xr:uid="{F4145DCB-1187-4466-BB91-2790F34C511C}"/>
    <cellStyle name="Normal 3 7 3" xfId="1767" xr:uid="{4B51527B-A26B-4680-B295-AF058DEED3E6}"/>
    <cellStyle name="Normal 3 7 3 2" xfId="2449" xr:uid="{1B929CA5-C488-4610-9A43-25BDDE5B77C4}"/>
    <cellStyle name="Normal 3 7 3 2 2" xfId="4550" xr:uid="{9A88BAF7-9728-4576-9CF5-3E04508138EB}"/>
    <cellStyle name="Normal 3 7 3 3" xfId="4084" xr:uid="{021B38F6-715A-490B-A8D2-6FE2CB27A39F}"/>
    <cellStyle name="Normal 3 7 4" xfId="2829" xr:uid="{A88852BC-306E-4FE5-B1C7-E58D79D52621}"/>
    <cellStyle name="Normal 3 7 4 2" xfId="4888" xr:uid="{E5BE9BB1-B859-4DBE-94CC-20A3024CE66D}"/>
    <cellStyle name="Normal 3 7 5" xfId="2107" xr:uid="{9E3713C5-B1AD-4ABC-9B09-714D29C1C3B3}"/>
    <cellStyle name="Normal 3 7 5 2" xfId="4404" xr:uid="{51967B63-FA70-4428-9031-2F7DB98BCE52}"/>
    <cellStyle name="Normal 3 7 6" xfId="3308" xr:uid="{C92D6FFD-2E8F-472C-93B6-2E7A38CE952C}"/>
    <cellStyle name="Normal 3 8" xfId="1048" xr:uid="{18346394-03FA-41A0-A590-41A0A3F37DDF}"/>
    <cellStyle name="Normal 3 8 2" xfId="1466" xr:uid="{1CD69450-4319-49B7-BEF9-495E6BD8D886}"/>
    <cellStyle name="Normal 3 8 2 2" xfId="2403" xr:uid="{6C177CBA-D823-4C5D-9F2F-AC3185CC7139}"/>
    <cellStyle name="Normal 3 8 2 2 2" xfId="4504" xr:uid="{DFD87DA1-D18E-4B7D-B763-6BCF13B2661C}"/>
    <cellStyle name="Normal 3 8 2 3" xfId="3801" xr:uid="{8EC8A7BB-365D-4B4E-864A-10AFF1E16415}"/>
    <cellStyle name="Normal 3 8 3" xfId="1872" xr:uid="{1E50BB17-92DC-4D13-B9E1-517BB2C277DA}"/>
    <cellStyle name="Normal 3 8 3 2" xfId="2537" xr:uid="{02E43B80-8144-4082-94BA-2A50D6C2CD43}"/>
    <cellStyle name="Normal 3 8 3 2 2" xfId="4616" xr:uid="{8CBBE684-48C3-4CFD-906C-7FB9C8B61D5E}"/>
    <cellStyle name="Normal 3 8 3 3" xfId="4189" xr:uid="{1B4D65B9-6DEA-4C14-8C82-46771D9D1482}"/>
    <cellStyle name="Normal 3 8 4" xfId="2902" xr:uid="{CEE9B286-9F11-432C-A648-5F432B35F18A}"/>
    <cellStyle name="Normal 3 8 4 2" xfId="4956" xr:uid="{61BADCBA-EC33-4268-9E40-EC5FB4352A62}"/>
    <cellStyle name="Normal 3 8 5" xfId="2211" xr:uid="{A6AB738E-AC35-471A-9546-2C083CC5E5F9}"/>
    <cellStyle name="Normal 3 8 5 2" xfId="4432" xr:uid="{DD3D75D9-2589-4BD4-9E7F-7DD6B1304D60}"/>
    <cellStyle name="Normal 3 8 6" xfId="3413" xr:uid="{DB6436CA-43D8-4ED0-93C7-56D6124B9606}"/>
    <cellStyle name="Normal 3 9" xfId="1154" xr:uid="{AC8FE797-0F77-4139-84B8-2D4CA9E7F768}"/>
    <cellStyle name="Normal 3 9 2" xfId="1571" xr:uid="{55AD948E-7B70-428A-BDDE-7E533F61A526}"/>
    <cellStyle name="Normal 3 9 2 2" xfId="2739" xr:uid="{7FCC6C92-0519-459E-A2FD-1D8BAD977EF5}"/>
    <cellStyle name="Normal 3 9 2 2 2" xfId="4809" xr:uid="{B223CED2-1108-4DDD-9F9D-41D01D5B4985}"/>
    <cellStyle name="Normal 3 9 2 3" xfId="3906" xr:uid="{C57A4612-4D1A-4874-9104-1746B7CA5533}"/>
    <cellStyle name="Normal 3 9 3" xfId="1977" xr:uid="{24DE5E04-E7D4-4D1A-9AE3-D611F7787B69}"/>
    <cellStyle name="Normal 3 9 3 2" xfId="3123" xr:uid="{8EFC9F1C-E760-45B7-A734-7EA19D016002}"/>
    <cellStyle name="Normal 3 9 3 2 2" xfId="5172" xr:uid="{DF584F95-4061-404F-AD7C-ADF59ADC786B}"/>
    <cellStyle name="Normal 3 9 3 3" xfId="4294" xr:uid="{62006AA3-5A83-41A0-9322-D36E6F38D9EC}"/>
    <cellStyle name="Normal 3 9 4" xfId="2104" xr:uid="{74B40CB9-0EE8-43E1-A24E-23A5C6E31370}"/>
    <cellStyle name="Normal 3 9 4 2" xfId="4402" xr:uid="{36583219-6EF0-410A-930D-CA91D2DA32E0}"/>
    <cellStyle name="Normal 3 9 5" xfId="3518" xr:uid="{160A7F78-8FA7-489E-BDA9-3D6E53A37C96}"/>
    <cellStyle name="Normal 3_Sheet2" xfId="878" xr:uid="{5E8E071B-28A8-4506-B965-230013DCEBC8}"/>
    <cellStyle name="Normal 30" xfId="593" xr:uid="{A0B9FB22-FB85-4236-A584-675AAE9F9FF6}"/>
    <cellStyle name="Normal 30 2" xfId="594" xr:uid="{2230B5E6-9FC4-4845-AA47-77E6B11FFF5A}"/>
    <cellStyle name="Normal 31" xfId="595" xr:uid="{0FFDBF74-F53E-4DFC-8F36-744A3A93C93A}"/>
    <cellStyle name="Normal 31 2" xfId="596" xr:uid="{02F20A89-94E5-450B-B595-BDA288134732}"/>
    <cellStyle name="Normal 32" xfId="597" xr:uid="{B19B8E9A-42DE-4F42-962C-D8E0C17BA016}"/>
    <cellStyle name="Normal 32 2" xfId="598" xr:uid="{3EBC625A-81B8-4947-A4BC-DD35D5D2DE8B}"/>
    <cellStyle name="Normal 33" xfId="599" xr:uid="{9BE3640E-7FC0-4DC1-82FF-8AA6376AA889}"/>
    <cellStyle name="Normal 33 2" xfId="600" xr:uid="{1519AEE4-8CDA-441A-A2D3-FED9BAAF0FB2}"/>
    <cellStyle name="Normal 34" xfId="601" xr:uid="{2F05031B-D850-485D-957B-84D6455D13CC}"/>
    <cellStyle name="Normal 34 2" xfId="602" xr:uid="{786BC71D-BE5C-4EB7-B866-16B2FC9BB3BB}"/>
    <cellStyle name="Normal 35" xfId="603" xr:uid="{E5EE8F08-AC46-4BFA-8B3E-DAC4DE7443F6}"/>
    <cellStyle name="Normal 35 2" xfId="604" xr:uid="{D44642E4-F928-4D49-954A-85253D4D36EF}"/>
    <cellStyle name="Normal 36" xfId="605" xr:uid="{20293256-8FAD-4B7C-9907-086C68A9799C}"/>
    <cellStyle name="Normal 36 2" xfId="606" xr:uid="{FE202775-D425-455D-BDC9-6114C81E1FC2}"/>
    <cellStyle name="Normal 37" xfId="607" xr:uid="{8A241F04-7BCA-4A13-9716-5A0C4C447BC4}"/>
    <cellStyle name="Normal 37 2" xfId="608" xr:uid="{D2F71AAB-9731-42B1-B4E9-9EA76CC08430}"/>
    <cellStyle name="Normal 38" xfId="609" xr:uid="{291B0E77-09C6-450A-B978-DE73AC1F68DB}"/>
    <cellStyle name="Normal 38 2" xfId="610" xr:uid="{66E68409-AE9D-4687-86EB-0930E35776E5}"/>
    <cellStyle name="Normal 39" xfId="611" xr:uid="{1EF729E8-074A-4B02-8F8A-DD1F424BB4BC}"/>
    <cellStyle name="Normal 39 2" xfId="612" xr:uid="{ED39751D-8113-43E4-8CF2-9DD68D2E8CE6}"/>
    <cellStyle name="Normal 4" xfId="16" xr:uid="{00000000-0005-0000-0000-000008000000}"/>
    <cellStyle name="Normal 4 10" xfId="2103" xr:uid="{1C2FF642-A4EE-44A9-B0E3-446A85C9AE91}"/>
    <cellStyle name="Normal 4 10 2" xfId="4401" xr:uid="{34EC6A73-A90A-4A4E-8CF7-C59626213F02}"/>
    <cellStyle name="Normal 4 11" xfId="26" xr:uid="{F7E43302-268C-40D2-B559-C5408A23E16C}"/>
    <cellStyle name="Normal 4 12" xfId="3232" xr:uid="{F08E27F6-FB43-4BB6-959F-C1636EAD6892}"/>
    <cellStyle name="Normal 4 13" xfId="21" xr:uid="{841DDA9E-65D4-4C48-B945-D701036A1E81}"/>
    <cellStyle name="Normal 4 2" xfId="614" xr:uid="{419AF6F2-AD89-40A1-8133-413C12D68F92}"/>
    <cellStyle name="Normal 4 2 2" xfId="615" xr:uid="{738B9C3A-DA01-4C1D-BA1A-B4A3C4B16FEA}"/>
    <cellStyle name="Normal 4 2 2 2" xfId="616" xr:uid="{62418ACD-53AA-4083-B372-9F30AB590CA4}"/>
    <cellStyle name="Normal 4 2 2 3" xfId="2345" xr:uid="{CFD968D1-66A2-4110-BB02-DFB387C5B6FC}"/>
    <cellStyle name="Normal 4 3" xfId="617" xr:uid="{AB383766-3F26-42C0-B7D9-6224E169CC48}"/>
    <cellStyle name="Normal 4 3 2" xfId="618" xr:uid="{29C79059-1ADF-490A-9130-AE7E8A3682B8}"/>
    <cellStyle name="Normal 4 4" xfId="619" xr:uid="{BDA99552-67D4-4129-96C9-57DC9AE1011D}"/>
    <cellStyle name="Normal 4 5" xfId="620" xr:uid="{009CF989-9C01-4EEC-BC47-B4E9810C8C3B}"/>
    <cellStyle name="Normal 4 6" xfId="613" xr:uid="{BCC942E2-CF66-450A-BC15-E23217585A37}"/>
    <cellStyle name="Normal 4 6 2" xfId="5345" xr:uid="{EBB1AD8F-644B-4354-8E77-461924321813}"/>
    <cellStyle name="Normal 4 6 3" xfId="5277" xr:uid="{D247B8A9-B0E3-48B1-81CB-4FAC6192B0B3}"/>
    <cellStyle name="Normal 4 7" xfId="31" xr:uid="{309C5E1E-5037-48EC-8C55-76E090442B48}"/>
    <cellStyle name="Normal 4 7 2" xfId="2490" xr:uid="{C57F460C-4790-4C08-BBDF-B26F0193F000}"/>
    <cellStyle name="Normal 4 7 2 2" xfId="4582" xr:uid="{1A7F9163-5319-4804-95A6-D686C65D9C40}"/>
    <cellStyle name="Normal 4 7 3" xfId="3237" xr:uid="{FC93E082-BFA7-463F-9523-2A114ECA93C7}"/>
    <cellStyle name="Normal 4 8" xfId="1267" xr:uid="{8D43F592-12B3-432E-860D-6775FB14A9DD}"/>
    <cellStyle name="Normal 4 8 2" xfId="2854" xr:uid="{C3707B7E-8F8E-4561-83E9-4AF73A25B2FB}"/>
    <cellStyle name="Normal 4 8 2 2" xfId="4911" xr:uid="{8ED836BE-914F-4DD4-AEDF-F0986BB92B7D}"/>
    <cellStyle name="Normal 4 8 3" xfId="3625" xr:uid="{5A8391EF-1556-412D-B69D-7B07121508C2}"/>
    <cellStyle name="Normal 4 9" xfId="1692" xr:uid="{32F71D5B-6A97-488D-BC70-3B36F3343386}"/>
    <cellStyle name="Normal 4 9 2" xfId="4013" xr:uid="{1F388C39-41AD-4C1C-B333-2BDAAC96394E}"/>
    <cellStyle name="Normal 40" xfId="621" xr:uid="{B18EB4EA-090D-42CE-9E95-42C3F582C434}"/>
    <cellStyle name="Normal 40 2" xfId="622" xr:uid="{826336D5-CF4C-4483-B3CD-80624FC06624}"/>
    <cellStyle name="Normal 41" xfId="623" xr:uid="{34707216-278E-480E-8096-8E2A91AC6506}"/>
    <cellStyle name="Normal 41 2" xfId="624" xr:uid="{EE5DAB3C-263E-4499-B0FB-444F4471D465}"/>
    <cellStyle name="Normal 42" xfId="625" xr:uid="{981B10D6-3830-4B44-82C5-766349604F62}"/>
    <cellStyle name="Normal 42 2" xfId="626" xr:uid="{6EA865F1-9816-420C-B83C-73C462E335F8}"/>
    <cellStyle name="Normal 43" xfId="627" xr:uid="{FC0AE297-E8D6-40F6-8385-97E88AB7CA02}"/>
    <cellStyle name="Normal 43 2" xfId="628" xr:uid="{E13E69FF-4991-44D2-9F64-669030875423}"/>
    <cellStyle name="Normal 44" xfId="629" xr:uid="{BA420FCA-B1AF-4726-B83B-24A6E5FD0BA8}"/>
    <cellStyle name="Normal 44 2" xfId="630" xr:uid="{8429E764-BDBE-4FDB-AF82-0A413BC5F01E}"/>
    <cellStyle name="Normal 45" xfId="631" xr:uid="{D3FCD751-7714-4347-B3FF-E877DC8542BE}"/>
    <cellStyle name="Normal 45 2" xfId="632" xr:uid="{1F90F901-43E7-4635-BB75-2E0B6E25B176}"/>
    <cellStyle name="Normal 46" xfId="633" xr:uid="{2B566A08-0025-4394-A3DD-3435B560A9B2}"/>
    <cellStyle name="Normal 46 2" xfId="634" xr:uid="{6EE60DE8-82A8-4543-81AE-B790E7295084}"/>
    <cellStyle name="Normal 47" xfId="635" xr:uid="{7250F817-3CC1-47C8-9648-ED5FA42D75BF}"/>
    <cellStyle name="Normal 47 2" xfId="636" xr:uid="{10F84E6B-74E8-4C8B-9D4B-7FA58976B238}"/>
    <cellStyle name="Normal 48" xfId="637" xr:uid="{E3FAA1E9-39B4-409D-B936-70EDA3B85643}"/>
    <cellStyle name="Normal 48 2" xfId="638" xr:uid="{13504E24-958C-4AF2-8DDF-760B88D7BC09}"/>
    <cellStyle name="Normal 49" xfId="639" xr:uid="{0AD25FF1-4997-4EB8-8F27-74280FF82FB5}"/>
    <cellStyle name="Normal 49 2" xfId="640" xr:uid="{2F0823E8-1F03-4413-9431-4DC473377AFA}"/>
    <cellStyle name="Normal 49 2 2" xfId="641" xr:uid="{4FDFDF45-37B9-477F-91C9-CB357E021915}"/>
    <cellStyle name="Normal 49 3" xfId="642" xr:uid="{BCEA5D5B-F853-4002-99C9-2EF8AACB3CDC}"/>
    <cellStyle name="Normal 49 3 2" xfId="857" xr:uid="{A40520BF-7AC6-4D82-844F-A15263484B1C}"/>
    <cellStyle name="Normal 49 3 2 2" xfId="2092" xr:uid="{0954FEC1-9E1A-46AD-BFF5-9A5C25241110}"/>
    <cellStyle name="Normal 49 3 3" xfId="5318" xr:uid="{CBCC5E2F-CB4A-4E80-8F4D-FE7BD008019B}"/>
    <cellStyle name="Normal 49 4" xfId="5317" xr:uid="{29B57552-2D15-44FE-A861-CE4C0AF82CC7}"/>
    <cellStyle name="Normal 5" xfId="17" xr:uid="{00000000-0005-0000-0000-000009000000}"/>
    <cellStyle name="Normal 5 2" xfId="644" xr:uid="{2CD5C2F5-ECF4-40B1-9B0F-B34C9778BECD}"/>
    <cellStyle name="Normal 5 2 2" xfId="645" xr:uid="{E25BF619-067A-4700-B1DD-0AA268103A58}"/>
    <cellStyle name="Normal 5 3" xfId="646" xr:uid="{9350FCEC-B84C-4997-8132-1CC252DAEC3B}"/>
    <cellStyle name="Normal 5 3 2" xfId="647" xr:uid="{1630C39A-5BEF-4D35-B61F-FF6EACBCAE99}"/>
    <cellStyle name="Normal 5 3 3" xfId="648" xr:uid="{6619D059-0DC7-48B7-A861-42703685030E}"/>
    <cellStyle name="Normal 5 4" xfId="649" xr:uid="{EC9C6903-73B4-467C-ADC9-AD431334B010}"/>
    <cellStyle name="Normal 5 4 2" xfId="650" xr:uid="{057F78F1-49BA-4E1D-BE50-B3663C4DE308}"/>
    <cellStyle name="Normal 5 4 2 2" xfId="651" xr:uid="{05088623-BBCB-4EC2-B5E2-547C95CC2485}"/>
    <cellStyle name="Normal 5 4 2 3" xfId="2346" xr:uid="{DC766DCD-FF43-429B-8AB8-A6BB10A8D880}"/>
    <cellStyle name="Normal 5 5" xfId="652" xr:uid="{FAF3BD49-A80D-4F68-B432-88479AA915CD}"/>
    <cellStyle name="Normal 5 5 2" xfId="653" xr:uid="{36B2DCDE-D417-4BCF-8784-76DBC9FF4A07}"/>
    <cellStyle name="Normal 5 5 2 2" xfId="2348" xr:uid="{6D8B44D8-03D2-47CE-AD1D-E73361D9A28B}"/>
    <cellStyle name="Normal 5 5 2 3" xfId="2184" xr:uid="{F20D4A2E-D433-4DC3-8A87-64CA09D4A693}"/>
    <cellStyle name="Normal 5 5 3" xfId="2185" xr:uid="{C2D3EE72-4CE1-4F3D-A9BB-48BDE8173699}"/>
    <cellStyle name="Normal 5 5 3 2" xfId="5361" xr:uid="{E96599B3-CED8-45E5-8798-DAE0A888BCEA}"/>
    <cellStyle name="Normal 5 5 3 3" xfId="5319" xr:uid="{CEC5C8EB-74BA-4CC5-BDCF-1572D6446A74}"/>
    <cellStyle name="Normal 5 5 4" xfId="2347" xr:uid="{0AA7B88D-E799-4208-B94F-DAB541A1AE01}"/>
    <cellStyle name="Normal 5 5 5" xfId="2849" xr:uid="{3FB2BC80-E7F5-43A4-9BE5-EEF307A35962}"/>
    <cellStyle name="Normal 5 5 6" xfId="2183" xr:uid="{FADAB81C-3BE2-4BB7-9719-64A7FB9D5020}"/>
    <cellStyle name="Normal 5 6" xfId="643" xr:uid="{5449496D-57EF-4D0C-BFBF-8F12B51202F2}"/>
    <cellStyle name="Normal 5 7" xfId="27" xr:uid="{CBF6108F-2894-4871-B43E-0F47812D0A6A}"/>
    <cellStyle name="Normal 5 8" xfId="3233" xr:uid="{AC6D0AEA-375F-4CCC-922E-4D089B24E23A}"/>
    <cellStyle name="Normal 5 9" xfId="22" xr:uid="{6F5B79B8-41F0-4D86-8EF8-2FCCE1E88313}"/>
    <cellStyle name="Normal 50" xfId="654" xr:uid="{754C5452-F050-4687-A635-3D6874088BA6}"/>
    <cellStyle name="Normal 50 2" xfId="655" xr:uid="{A3FCDE6B-FC36-4E82-9FB1-4C7AC46F8549}"/>
    <cellStyle name="Normal 51" xfId="656" xr:uid="{2202F601-6AA2-4E6F-9DBA-7783C386C01E}"/>
    <cellStyle name="Normal 51 2" xfId="657" xr:uid="{44C0A1D5-8CDB-4E54-A18D-99EB42F29C6E}"/>
    <cellStyle name="Normal 52" xfId="658" xr:uid="{57CB8F21-F771-4405-AAE7-3E822C97BFB7}"/>
    <cellStyle name="Normal 52 2" xfId="659" xr:uid="{999C0BC0-E8FA-4A59-9687-E00178AADFB2}"/>
    <cellStyle name="Normal 53" xfId="660" xr:uid="{C4064A0C-5657-4749-9E12-3CFD7AA01F2E}"/>
    <cellStyle name="Normal 53 2" xfId="661" xr:uid="{49A34EB1-0210-4A33-B0F0-31AFF55C5B55}"/>
    <cellStyle name="Normal 54" xfId="662" xr:uid="{3E967D46-1C94-4F2E-8C8A-FBFDF3F763D3}"/>
    <cellStyle name="Normal 54 2" xfId="663" xr:uid="{767E929A-D675-48DD-8B35-D789BA54E6A3}"/>
    <cellStyle name="Normal 55" xfId="664" xr:uid="{D68BFC0D-E7D7-4D92-9E68-56F185CE2091}"/>
    <cellStyle name="Normal 55 2" xfId="665" xr:uid="{8C1A119E-A517-4D6F-94A2-4B99DBA3119F}"/>
    <cellStyle name="Normal 55 2 2" xfId="666" xr:uid="{6FEE7729-C6C9-40D1-9FE7-C8B27F77D899}"/>
    <cellStyle name="Normal 55 3" xfId="667" xr:uid="{6BF26EBA-9E60-42CD-9598-27FF03AD5C64}"/>
    <cellStyle name="Normal 55 3 2" xfId="858" xr:uid="{8749EEC2-6380-4C87-92C6-71C0AE72DC45}"/>
    <cellStyle name="Normal 55 3 2 2" xfId="2093" xr:uid="{74F6D658-CEC3-42F3-800A-167F22E27541}"/>
    <cellStyle name="Normal 55 3 3" xfId="5321" xr:uid="{DDB9BD53-015C-4197-8DCD-DD2878DE7A33}"/>
    <cellStyle name="Normal 55 4" xfId="5320" xr:uid="{8B293B54-F9F8-44C7-AAF7-88BD331E187D}"/>
    <cellStyle name="Normal 56" xfId="668" xr:uid="{5C3A88F9-0955-44E2-A46E-4B1B27B32958}"/>
    <cellStyle name="Normal 56 2" xfId="669" xr:uid="{45A34F70-0561-42A5-AF04-F0E73EB2CE80}"/>
    <cellStyle name="Normal 56 3" xfId="670" xr:uid="{BD738079-0E46-44D1-9F10-FFB867D0A3C5}"/>
    <cellStyle name="Normal 56 3 2" xfId="671" xr:uid="{53181D7E-1EA8-43CB-BCEC-850F8AFA56DB}"/>
    <cellStyle name="Normal 56 4" xfId="672" xr:uid="{25372B19-863D-46F6-8A31-E0D2B8FE4359}"/>
    <cellStyle name="Normal 56 4 10" xfId="3268" xr:uid="{5ECC829B-5BB5-4C24-ADDB-4C922BE4297F}"/>
    <cellStyle name="Normal 56 4 2" xfId="859" xr:uid="{078A9B28-B55F-42D9-80F3-4427AB29A3AC}"/>
    <cellStyle name="Normal 56 4 2 2" xfId="1116" xr:uid="{EE535F6B-610D-47CC-8DBD-10ABF6878134}"/>
    <cellStyle name="Normal 56 4 2 2 2" xfId="1533" xr:uid="{6BAC16F3-F8F2-4D59-97D3-EACDEC64C088}"/>
    <cellStyle name="Normal 56 4 2 2 2 2" xfId="2701" xr:uid="{87837834-4EF7-43A9-B604-8F26EF767EF1}"/>
    <cellStyle name="Normal 56 4 2 2 2 2 2" xfId="4771" xr:uid="{BE75C6EB-41DA-446A-8F08-0F188348E40E}"/>
    <cellStyle name="Normal 56 4 2 2 2 3" xfId="3868" xr:uid="{136F6594-4961-4DFA-B6E5-22D63C78F967}"/>
    <cellStyle name="Normal 56 4 2 2 3" xfId="1939" xr:uid="{9D1412FE-38E0-4AB3-8139-98A0C5A55180}"/>
    <cellStyle name="Normal 56 4 2 2 3 2" xfId="3085" xr:uid="{D0769072-2FE5-4E5B-9235-B732B6CFDE0C}"/>
    <cellStyle name="Normal 56 4 2 2 3 2 2" xfId="5134" xr:uid="{DEA75CAA-EBFD-4578-AE07-3AEB4756069C}"/>
    <cellStyle name="Normal 56 4 2 2 3 3" xfId="4256" xr:uid="{A0C24024-1614-4735-912B-5F86F100DB90}"/>
    <cellStyle name="Normal 56 4 2 2 4" xfId="2425" xr:uid="{7D255911-3573-4DCF-931E-2C4F77137E1A}"/>
    <cellStyle name="Normal 56 4 2 2 4 2" xfId="4526" xr:uid="{691B88D6-3528-44A1-BE23-0DF7FC8C89BE}"/>
    <cellStyle name="Normal 56 4 2 2 5" xfId="3480" xr:uid="{E011470B-61A7-4547-96E8-9EDFE1238608}"/>
    <cellStyle name="Normal 56 4 2 3" xfId="1223" xr:uid="{33BA2498-E12F-4BE6-A3A8-88C8D0DA090C}"/>
    <cellStyle name="Normal 56 4 2 3 2" xfId="1638" xr:uid="{C6EFB529-D766-49EF-A298-549C9C441026}"/>
    <cellStyle name="Normal 56 4 2 3 2 2" xfId="3190" xr:uid="{8E5D8B7C-2E6C-416E-9633-1DBEF676A196}"/>
    <cellStyle name="Normal 56 4 2 3 2 2 2" xfId="5239" xr:uid="{F2155841-8E18-4557-ACB3-29B7CCE33378}"/>
    <cellStyle name="Normal 56 4 2 3 2 3" xfId="3973" xr:uid="{11BBDE8E-FBF3-4066-ABC0-FF44FFCF6386}"/>
    <cellStyle name="Normal 56 4 2 3 3" xfId="2044" xr:uid="{965C2BBA-14A2-478D-A964-2ADAB1045078}"/>
    <cellStyle name="Normal 56 4 2 3 3 2" xfId="4361" xr:uid="{3F36BA7F-9002-42B9-AAF3-72E9725D8978}"/>
    <cellStyle name="Normal 56 4 2 3 4" xfId="2559" xr:uid="{1CA5E299-7F35-40A9-B961-60CE59AAE4E4}"/>
    <cellStyle name="Normal 56 4 2 3 4 2" xfId="4638" xr:uid="{DF48BB01-8A14-4572-BF42-8B3B912633FD}"/>
    <cellStyle name="Normal 56 4 2 3 5" xfId="3585" xr:uid="{4C245ED9-2414-4324-A008-85CCDA3169E1}"/>
    <cellStyle name="Normal 56 4 2 4" xfId="993" xr:uid="{552678E0-C069-4E23-A91E-CBDC3E0AF283}"/>
    <cellStyle name="Normal 56 4 2 4 2" xfId="1428" xr:uid="{9E47C5FB-8D46-4CD4-98B6-F3D24AF8A02F}"/>
    <cellStyle name="Normal 56 4 2 4 2 2" xfId="2984" xr:uid="{9F0CCBB5-61A2-47F7-A96F-956595C52298}"/>
    <cellStyle name="Normal 56 4 2 4 2 2 2" xfId="5034" xr:uid="{9F17A965-6752-452C-B413-E9D4D77B8C91}"/>
    <cellStyle name="Normal 56 4 2 4 2 3" xfId="3763" xr:uid="{5FFFD4AB-0F02-443E-8F09-882CB4181F0A}"/>
    <cellStyle name="Normal 56 4 2 4 3" xfId="1834" xr:uid="{2A08A1CC-689B-4823-B5AD-80B82AE5315C}"/>
    <cellStyle name="Normal 56 4 2 4 3 2" xfId="4151" xr:uid="{95CDF931-A3DD-4101-8077-5284BBCE9A3D}"/>
    <cellStyle name="Normal 56 4 2 4 4" xfId="2624" xr:uid="{5D1561EC-0CE3-4FF8-A6FF-4700539789EE}"/>
    <cellStyle name="Normal 56 4 2 4 4 2" xfId="4694" xr:uid="{458E8EC0-D1F9-40EA-9E74-A3455D18B03C}"/>
    <cellStyle name="Normal 56 4 2 4 5" xfId="3375" xr:uid="{55CA1473-F411-413B-A081-55A966836D50}"/>
    <cellStyle name="Normal 56 4 2 5" xfId="1354" xr:uid="{09AA6B6B-55B4-4858-9AEB-7C95063FD41F}"/>
    <cellStyle name="Normal 56 4 2 5 2" xfId="2924" xr:uid="{A7265296-073C-4FBB-A06F-035225FF80EB}"/>
    <cellStyle name="Normal 56 4 2 5 2 2" xfId="4978" xr:uid="{2043C37B-0AAB-409F-A4A8-8045C747A488}"/>
    <cellStyle name="Normal 56 4 2 5 3" xfId="3690" xr:uid="{A918E9B7-8B23-4FB7-962A-BEBE6A069AD9}"/>
    <cellStyle name="Normal 56 4 2 6" xfId="1761" xr:uid="{E5DA4289-F583-4DA3-8B7A-E4AADF378E53}"/>
    <cellStyle name="Normal 56 4 2 6 2" xfId="4078" xr:uid="{E4FCF5AA-BE4F-4D00-8C55-CB3711DCC36C}"/>
    <cellStyle name="Normal 56 4 2 7" xfId="2233" xr:uid="{D8B8DA30-2129-48E3-8F92-D895C92672C2}"/>
    <cellStyle name="Normal 56 4 2 7 2" xfId="4454" xr:uid="{42E6DB1C-0695-4092-8E35-44E696B09F18}"/>
    <cellStyle name="Normal 56 4 2 8" xfId="3302" xr:uid="{B11D0EFE-3F3A-49BA-886C-662A7E6B55A0}"/>
    <cellStyle name="Normal 56 4 3" xfId="1033" xr:uid="{C4134FDE-D736-4DD7-88E1-0D852965FED0}"/>
    <cellStyle name="Normal 56 4 3 2" xfId="1150" xr:uid="{6045646D-5CF9-4559-8F9B-6D28B9762FAC}"/>
    <cellStyle name="Normal 56 4 3 2 2" xfId="1567" xr:uid="{E81206FF-D136-4762-8658-FECFE028124C}"/>
    <cellStyle name="Normal 56 4 3 2 2 2" xfId="3119" xr:uid="{9EE77F07-A700-44BB-B795-1B6A72839094}"/>
    <cellStyle name="Normal 56 4 3 2 2 2 2" xfId="5168" xr:uid="{EB23B011-38F5-41C7-9ED4-7578F14B800D}"/>
    <cellStyle name="Normal 56 4 3 2 2 3" xfId="3902" xr:uid="{1F290115-FDE0-45C6-BB2B-3F9C7BF1996B}"/>
    <cellStyle name="Normal 56 4 3 2 3" xfId="1973" xr:uid="{E6BD4ED5-5790-4ABD-9535-93921CF5505F}"/>
    <cellStyle name="Normal 56 4 3 2 3 2" xfId="4290" xr:uid="{990DF71D-B854-4071-95B1-4564251551B4}"/>
    <cellStyle name="Normal 56 4 3 2 4" xfId="2735" xr:uid="{8991F00E-B193-4975-AD82-69FFB172CEFA}"/>
    <cellStyle name="Normal 56 4 3 2 4 2" xfId="4805" xr:uid="{FE8A98D5-5087-4C3B-9DF5-14FCC45C512B}"/>
    <cellStyle name="Normal 56 4 3 2 5" xfId="3514" xr:uid="{0678D272-0190-490D-B46A-AC715B38868F}"/>
    <cellStyle name="Normal 56 4 3 3" xfId="1261" xr:uid="{AB83CE62-83C9-4132-B23E-FC1611094102}"/>
    <cellStyle name="Normal 56 4 3 3 2" xfId="1672" xr:uid="{91EB16F6-6A11-446C-AF04-2499F15CC804}"/>
    <cellStyle name="Normal 56 4 3 3 2 2" xfId="3224" xr:uid="{D7AF3D10-7350-4BA0-BDE2-E078358CBDBE}"/>
    <cellStyle name="Normal 56 4 3 3 2 2 2" xfId="5273" xr:uid="{940C715F-7833-40EF-8226-C60AB145D569}"/>
    <cellStyle name="Normal 56 4 3 3 2 3" xfId="4007" xr:uid="{93A1D993-4C41-41C7-96B1-A09CC1FF3BF9}"/>
    <cellStyle name="Normal 56 4 3 3 3" xfId="2078" xr:uid="{32CDA6FD-3A4B-40BF-905F-0225BD9498AF}"/>
    <cellStyle name="Normal 56 4 3 3 3 2" xfId="4395" xr:uid="{F56CEFF4-5EA3-4E92-A93E-60494F0936E6}"/>
    <cellStyle name="Normal 56 4 3 3 4" xfId="2811" xr:uid="{EB7DB0D0-EA81-412D-89F9-426C39AD97F4}"/>
    <cellStyle name="Normal 56 4 3 3 4 2" xfId="4881" xr:uid="{D0B33669-A9AB-4B26-8437-251D0EE209BE}"/>
    <cellStyle name="Normal 56 4 3 3 5" xfId="3619" xr:uid="{820FF928-0B28-4AE8-ACDA-5BDEC56744C0}"/>
    <cellStyle name="Normal 56 4 3 4" xfId="1462" xr:uid="{D831868B-FAAC-4917-9F18-B80D1B103BA5}"/>
    <cellStyle name="Normal 56 4 3 4 2" xfId="2652" xr:uid="{3BFADC17-DF98-40C6-B811-322D6149A5E6}"/>
    <cellStyle name="Normal 56 4 3 4 2 2" xfId="4722" xr:uid="{BB0ECC28-F55C-4648-AD35-141A7637531B}"/>
    <cellStyle name="Normal 56 4 3 4 3" xfId="3797" xr:uid="{3C139246-8642-4F75-9E7F-136F98ACA84D}"/>
    <cellStyle name="Normal 56 4 3 5" xfId="1868" xr:uid="{FAA7387F-4651-4A36-B590-C6016CFC8FE9}"/>
    <cellStyle name="Normal 56 4 3 5 2" xfId="3015" xr:uid="{6D39AB92-75B8-4A31-A12F-A5B5FB54F619}"/>
    <cellStyle name="Normal 56 4 3 5 2 2" xfId="5065" xr:uid="{BC081F4C-631B-4386-8477-F71B121764D4}"/>
    <cellStyle name="Normal 56 4 3 5 3" xfId="4185" xr:uid="{E3BDCE23-45F9-4A8A-AB68-F933603E0D35}"/>
    <cellStyle name="Normal 56 4 3 6" xfId="2397" xr:uid="{1A7428BF-7CA8-4B42-B039-A4D03A45F15D}"/>
    <cellStyle name="Normal 56 4 3 6 2" xfId="4498" xr:uid="{2E4E894E-7D87-4F9F-B40A-7EBC711D862D}"/>
    <cellStyle name="Normal 56 4 3 7" xfId="3409" xr:uid="{830D6E71-C11A-4D81-B408-8C9633CC7CF1}"/>
    <cellStyle name="Normal 56 4 4" xfId="1081" xr:uid="{162D3820-01A3-4132-A0F7-391B124C1E54}"/>
    <cellStyle name="Normal 56 4 4 2" xfId="1498" xr:uid="{B62EE468-443D-47EE-9741-B7637903DF1B}"/>
    <cellStyle name="Normal 56 4 4 2 2" xfId="3050" xr:uid="{1BB73277-CDEF-4F26-8D2D-3C0DC2333D51}"/>
    <cellStyle name="Normal 56 4 4 2 2 2" xfId="5100" xr:uid="{648A993F-85D7-488E-BA04-9988E231BC58}"/>
    <cellStyle name="Normal 56 4 4 2 3" xfId="3833" xr:uid="{7AA12B5D-616E-4248-B3D2-0869C45DA733}"/>
    <cellStyle name="Normal 56 4 4 3" xfId="1904" xr:uid="{9431B46C-2F8D-4C4F-B9E3-8AE9BE2A6F3F}"/>
    <cellStyle name="Normal 56 4 4 3 2" xfId="4221" xr:uid="{4A3A83BE-94EB-4E79-9762-FF84B5FCE771}"/>
    <cellStyle name="Normal 56 4 4 4" xfId="2505" xr:uid="{6001166A-DCAD-427D-8745-D7922F705425}"/>
    <cellStyle name="Normal 56 4 4 4 2" xfId="4592" xr:uid="{D2C00D7B-B53F-442F-BFF4-D707C3737E62}"/>
    <cellStyle name="Normal 56 4 4 5" xfId="3445" xr:uid="{071F9394-83EE-4F94-ADEF-65026432067A}"/>
    <cellStyle name="Normal 56 4 5" xfId="1187" xr:uid="{7BC1DC99-8AC5-48F5-9158-DBB6400D1770}"/>
    <cellStyle name="Normal 56 4 5 2" xfId="1603" xr:uid="{A222A938-322E-4BA6-A941-40280B6E1E7D}"/>
    <cellStyle name="Normal 56 4 5 2 2" xfId="3155" xr:uid="{E0538B6C-387D-4932-8408-E7F19FD07D9F}"/>
    <cellStyle name="Normal 56 4 5 2 2 2" xfId="5204" xr:uid="{FFEDAC6D-2993-483C-8C51-7CBB70D3D600}"/>
    <cellStyle name="Normal 56 4 5 2 3" xfId="3938" xr:uid="{B340CE89-AC29-43C8-9CFD-93E72F9F1E68}"/>
    <cellStyle name="Normal 56 4 5 3" xfId="2009" xr:uid="{8E31A6BF-E9EF-4809-B439-FB8F2D1D37AB}"/>
    <cellStyle name="Normal 56 4 5 3 2" xfId="4326" xr:uid="{26FB0400-59C6-4DD1-9080-C0CE96F869D7}"/>
    <cellStyle name="Normal 56 4 5 4" xfId="2770" xr:uid="{BAF6FBBB-794E-445D-B57A-328D1521A021}"/>
    <cellStyle name="Normal 56 4 5 4 2" xfId="4840" xr:uid="{9165E53E-31FA-4C49-A5E1-9A9139D73C1D}"/>
    <cellStyle name="Normal 56 4 5 5" xfId="3550" xr:uid="{B1DF05B4-0D57-400D-B11E-8151C3837B27}"/>
    <cellStyle name="Normal 56 4 6" xfId="947" xr:uid="{112E428E-11A5-4BD2-BD50-28094E200451}"/>
    <cellStyle name="Normal 56 4 6 2" xfId="1393" xr:uid="{B63E1776-9AA3-49E1-A47A-7B4563C907AC}"/>
    <cellStyle name="Normal 56 4 6 2 2" xfId="2866" xr:uid="{61BF9FA9-9885-4AD0-871A-D47D83A25C1B}"/>
    <cellStyle name="Normal 56 4 6 2 2 2" xfId="4922" xr:uid="{B9DAE097-17DE-4105-86AA-57067CC2C6EA}"/>
    <cellStyle name="Normal 56 4 6 2 3" xfId="3728" xr:uid="{4F013D35-D76B-47EA-A83A-3FBA177DC377}"/>
    <cellStyle name="Normal 56 4 6 3" xfId="1799" xr:uid="{C299077E-BC4F-431E-A577-6DF2618F9C28}"/>
    <cellStyle name="Normal 56 4 6 3 2" xfId="4116" xr:uid="{1FE20007-18A3-4B81-A180-193DB7A43578}"/>
    <cellStyle name="Normal 56 4 6 4" xfId="2601" xr:uid="{AC394B8D-9859-4852-BE3D-9F093A7D4D97}"/>
    <cellStyle name="Normal 56 4 6 4 2" xfId="4672" xr:uid="{BA5BEB96-540F-43F3-8952-8FC16DF8A215}"/>
    <cellStyle name="Normal 56 4 6 5" xfId="3340" xr:uid="{90D03DED-0030-4091-A820-259A15905B93}"/>
    <cellStyle name="Normal 56 4 7" xfId="1319" xr:uid="{C8FAACA2-1322-44EF-86D1-98379DF7C535}"/>
    <cellStyle name="Normal 56 4 7 2" xfId="2890" xr:uid="{B2786099-1082-42F7-BC65-05AD96DA6A90}"/>
    <cellStyle name="Normal 56 4 7 2 2" xfId="4944" xr:uid="{9AFD4E91-6F4B-4B02-A6A2-DD03012AEF2D}"/>
    <cellStyle name="Normal 56 4 7 3" xfId="3656" xr:uid="{17447548-531B-41CF-9827-D6DB6A6D9C7E}"/>
    <cellStyle name="Normal 56 4 8" xfId="1727" xr:uid="{C72E1190-1D5A-437D-B438-B35ECCE353D2}"/>
    <cellStyle name="Normal 56 4 8 2" xfId="4044" xr:uid="{56EE49CF-0B5E-4B00-B271-1D19017F3E26}"/>
    <cellStyle name="Normal 56 4 9" xfId="2186" xr:uid="{12B318B6-6F18-4553-8EC7-2AA2C4FBE3EA}"/>
    <cellStyle name="Normal 56 4 9 2" xfId="4426" xr:uid="{ED18593B-91D9-43BF-8F1E-41E04FD4EFA7}"/>
    <cellStyle name="Normal 56 5" xfId="673" xr:uid="{675F5534-E4E4-4419-AB71-7E314785578C}"/>
    <cellStyle name="Normal 56 6" xfId="2187" xr:uid="{FBBFA8B4-D8E2-4F69-A03A-B4056C5F1DAA}"/>
    <cellStyle name="Normal 56 7" xfId="2875" xr:uid="{39999A53-B556-4C74-B74B-B3462F74A1A0}"/>
    <cellStyle name="Normal 57" xfId="674" xr:uid="{8A6E2E20-DF6E-48F0-82CB-FCF37D69E2B9}"/>
    <cellStyle name="Normal 57 2" xfId="948" xr:uid="{6A2ED74C-6461-458F-BA21-10451ADD5916}"/>
    <cellStyle name="Normal 57 2 2" xfId="2527" xr:uid="{D14318B6-D681-4A68-836B-F0D961D7F217}"/>
    <cellStyle name="Normal 57 2 3" xfId="2188" xr:uid="{D3D8BA42-0A8C-4DF0-AFCD-FB43C894D529}"/>
    <cellStyle name="Normal 57 3" xfId="908" xr:uid="{7ABF2E2A-42AE-4725-B5F8-09640E077B78}"/>
    <cellStyle name="Normal 57 3 2" xfId="2519" xr:uid="{9A351908-725A-4C73-B071-9D5C20A3465F}"/>
    <cellStyle name="Normal 57 3 3" xfId="2189" xr:uid="{70A44ED5-10DA-46AB-82AF-05B7E709D15D}"/>
    <cellStyle name="Normal 57 4" xfId="2958" xr:uid="{E0A451F7-701B-412E-BC75-2ECE680CFFB6}"/>
    <cellStyle name="Normal 58" xfId="675" xr:uid="{535A9663-03B2-4788-9874-869D94BEE353}"/>
    <cellStyle name="Normal 58 2" xfId="676" xr:uid="{5519D7CA-7DD4-4E0B-B84E-DDB81BA003CD}"/>
    <cellStyle name="Normal 58 3" xfId="677" xr:uid="{9CB0B9E6-6DDA-4F1B-AD79-1B7E94858281}"/>
    <cellStyle name="Normal 59" xfId="678" xr:uid="{C4D8B420-0FB9-4B7E-95B8-154D63209F25}"/>
    <cellStyle name="Normal 6" xfId="679" xr:uid="{5F349870-6A26-45F9-A022-802AA7006B63}"/>
    <cellStyle name="Normal 6 2" xfId="680" xr:uid="{81836D71-BC1D-4FCA-AF03-59CFFE21824B}"/>
    <cellStyle name="Normal 6 2 2" xfId="681" xr:uid="{C8526BCA-0413-48FE-954B-38C9D67D3CE9}"/>
    <cellStyle name="Normal 6 2 3" xfId="879" xr:uid="{DE229B37-CE90-4189-A248-E2F5D0C273F6}"/>
    <cellStyle name="Normal 6 3" xfId="682" xr:uid="{494702FF-D913-408A-B5DE-69FC52BC806E}"/>
    <cellStyle name="Normal 6 3 2" xfId="683" xr:uid="{704E78CE-61E3-4C28-A8B8-311DD8C658C7}"/>
    <cellStyle name="Normal 6 3 3" xfId="684" xr:uid="{2ABC8453-40EB-4D11-A853-F6A366FF5CB9}"/>
    <cellStyle name="Normal 6 4" xfId="685" xr:uid="{0C375D37-B2F8-41CF-BF4D-A691A30CF3B5}"/>
    <cellStyle name="Normal 6 4 2" xfId="686" xr:uid="{555CA719-A08B-474F-A251-1B46A7A15812}"/>
    <cellStyle name="Normal 6 4 2 10" xfId="3269" xr:uid="{42956982-4C30-49EB-ACCF-D594ABE70060}"/>
    <cellStyle name="Normal 6 4 2 2" xfId="860" xr:uid="{7A6D7741-54BE-49B5-BFBB-585CCA67F33F}"/>
    <cellStyle name="Normal 6 4 2 2 2" xfId="1117" xr:uid="{437D58EF-6AD9-4856-8256-0B646726E252}"/>
    <cellStyle name="Normal 6 4 2 2 2 2" xfId="1534" xr:uid="{DDD9CD0A-256C-41F6-8CD4-75DB4FE32A1C}"/>
    <cellStyle name="Normal 6 4 2 2 2 2 2" xfId="2702" xr:uid="{68174D01-8B16-4C12-BCFF-42ED5E651861}"/>
    <cellStyle name="Normal 6 4 2 2 2 2 2 2" xfId="4772" xr:uid="{202FC4F7-37BE-413F-AB88-B3E22048C50C}"/>
    <cellStyle name="Normal 6 4 2 2 2 2 3" xfId="3869" xr:uid="{24015483-ED6E-4E7B-A730-910F229F1BB9}"/>
    <cellStyle name="Normal 6 4 2 2 2 3" xfId="1940" xr:uid="{AD061996-553E-4FC5-831C-0129559B91BA}"/>
    <cellStyle name="Normal 6 4 2 2 2 3 2" xfId="3086" xr:uid="{86584F42-71B5-4F40-92FB-54C39974F60C}"/>
    <cellStyle name="Normal 6 4 2 2 2 3 2 2" xfId="5135" xr:uid="{43CDC60D-D9DC-4257-A91A-CE3B048A1421}"/>
    <cellStyle name="Normal 6 4 2 2 2 3 3" xfId="4257" xr:uid="{ACBBC45B-3C5D-4B2D-A105-2A335EB91B27}"/>
    <cellStyle name="Normal 6 4 2 2 2 4" xfId="2427" xr:uid="{595E4D2E-FBE6-46CC-AD09-E5D8FE70D7AF}"/>
    <cellStyle name="Normal 6 4 2 2 2 4 2" xfId="4528" xr:uid="{70945CAD-53C3-4254-8059-877CDC7A6393}"/>
    <cellStyle name="Normal 6 4 2 2 2 5" xfId="3481" xr:uid="{6E4511EE-DD31-4902-B3BD-041A13D5DB21}"/>
    <cellStyle name="Normal 6 4 2 2 3" xfId="1224" xr:uid="{F0084A96-C6FD-438D-909A-C35B1F80B937}"/>
    <cellStyle name="Normal 6 4 2 2 3 2" xfId="1639" xr:uid="{3664C5F6-7C82-41CF-B3FB-FD9853108373}"/>
    <cellStyle name="Normal 6 4 2 2 3 2 2" xfId="3191" xr:uid="{E29F7C18-C15C-45A4-B199-1C1388B1FC8C}"/>
    <cellStyle name="Normal 6 4 2 2 3 2 2 2" xfId="5240" xr:uid="{BC693624-34F1-49E7-8F2C-BBAA610D2D1E}"/>
    <cellStyle name="Normal 6 4 2 2 3 2 3" xfId="3974" xr:uid="{FE6D4818-09C9-4213-B7CB-CA37DF16FE24}"/>
    <cellStyle name="Normal 6 4 2 2 3 3" xfId="2045" xr:uid="{1B743292-F58C-4C3D-9BA2-1D9DB6BD96C1}"/>
    <cellStyle name="Normal 6 4 2 2 3 3 2" xfId="4362" xr:uid="{2B06634B-AA5D-4571-8734-32909065E164}"/>
    <cellStyle name="Normal 6 4 2 2 3 4" xfId="2561" xr:uid="{655326F7-795B-473D-92A0-5E7604A331A3}"/>
    <cellStyle name="Normal 6 4 2 2 3 4 2" xfId="4640" xr:uid="{F0945532-98BA-4061-9717-DA4861E5130F}"/>
    <cellStyle name="Normal 6 4 2 2 3 5" xfId="3586" xr:uid="{49ACA83E-C0E5-4F90-A006-E9E5C44A0263}"/>
    <cellStyle name="Normal 6 4 2 2 4" xfId="994" xr:uid="{EF8B1753-21E0-4EA5-9083-7EE2BC9FD623}"/>
    <cellStyle name="Normal 6 4 2 2 4 2" xfId="1429" xr:uid="{888B3874-D640-4027-B6C0-0BD51D57D9F9}"/>
    <cellStyle name="Normal 6 4 2 2 4 2 2" xfId="2985" xr:uid="{2421B3B5-5CDD-4CA2-A79B-EF20BD8C94F1}"/>
    <cellStyle name="Normal 6 4 2 2 4 2 2 2" xfId="5035" xr:uid="{58BBA881-B250-4D7C-8CE9-55D02C09EA9E}"/>
    <cellStyle name="Normal 6 4 2 2 4 2 3" xfId="3764" xr:uid="{1779D2CB-2DED-44B6-80E0-B63B32D63912}"/>
    <cellStyle name="Normal 6 4 2 2 4 3" xfId="1835" xr:uid="{E4F64374-94BE-4ACA-98B9-FA2859AF6B1B}"/>
    <cellStyle name="Normal 6 4 2 2 4 3 2" xfId="4152" xr:uid="{E9B00C83-E9CA-40EB-9C84-CCEF95C4015D}"/>
    <cellStyle name="Normal 6 4 2 2 4 4" xfId="2625" xr:uid="{82C6C393-8BF2-49C1-8940-D53DB2633B7F}"/>
    <cellStyle name="Normal 6 4 2 2 4 4 2" xfId="4695" xr:uid="{549BCC87-52F8-4AF7-87CF-9B87E05B8DAC}"/>
    <cellStyle name="Normal 6 4 2 2 4 5" xfId="3376" xr:uid="{B1B920EC-C61F-42EC-85C4-E7550E0C1A4B}"/>
    <cellStyle name="Normal 6 4 2 2 5" xfId="1355" xr:uid="{76637E5B-7AD7-446F-8C7D-F740600AB1BD}"/>
    <cellStyle name="Normal 6 4 2 2 5 2" xfId="2926" xr:uid="{B099577C-78B0-431D-99B4-E720EFE241AB}"/>
    <cellStyle name="Normal 6 4 2 2 5 2 2" xfId="4980" xr:uid="{B67726B0-AB7A-4B99-B65A-2F3AA65C6FDC}"/>
    <cellStyle name="Normal 6 4 2 2 5 3" xfId="3691" xr:uid="{960AAE6E-B97A-41F4-BC0E-375067879C18}"/>
    <cellStyle name="Normal 6 4 2 2 6" xfId="1762" xr:uid="{086147DD-92AF-4F2C-A36F-BAA6B3ABF1A9}"/>
    <cellStyle name="Normal 6 4 2 2 6 2" xfId="4079" xr:uid="{21934E63-9A2F-479B-8677-7B4D4F17FA4C}"/>
    <cellStyle name="Normal 6 4 2 2 7" xfId="2235" xr:uid="{C76F5978-09E0-4344-A01A-D5BD2BE5C98C}"/>
    <cellStyle name="Normal 6 4 2 2 7 2" xfId="4456" xr:uid="{B2F930B5-BFAE-4E8D-9429-E0E75BC835A8}"/>
    <cellStyle name="Normal 6 4 2 2 8" xfId="3303" xr:uid="{2AE09C89-7A13-4500-832D-EC7873930523}"/>
    <cellStyle name="Normal 6 4 2 3" xfId="1034" xr:uid="{C89BCACF-92D9-4309-B745-EE394DC03B5A}"/>
    <cellStyle name="Normal 6 4 2 3 2" xfId="1151" xr:uid="{BD9989C6-4B72-44C1-A8FF-FC6C0A6FD2FD}"/>
    <cellStyle name="Normal 6 4 2 3 2 2" xfId="1568" xr:uid="{2A582AA4-6780-437F-9371-11C5885F23EF}"/>
    <cellStyle name="Normal 6 4 2 3 2 2 2" xfId="3120" xr:uid="{5E6A62B8-6DA0-4205-8DE5-46D0044851FA}"/>
    <cellStyle name="Normal 6 4 2 3 2 2 2 2" xfId="5169" xr:uid="{7FA68D70-669F-4840-AC98-E447ABECAB33}"/>
    <cellStyle name="Normal 6 4 2 3 2 2 3" xfId="3903" xr:uid="{ACD8B51D-2EE9-45A4-8FEE-C9799639095C}"/>
    <cellStyle name="Normal 6 4 2 3 2 3" xfId="1974" xr:uid="{97BF4920-3B15-4427-BBD6-29A9D9B1789A}"/>
    <cellStyle name="Normal 6 4 2 3 2 3 2" xfId="4291" xr:uid="{E766F447-E9A3-40AA-9229-6AC13E55A2E2}"/>
    <cellStyle name="Normal 6 4 2 3 2 4" xfId="2736" xr:uid="{C8349BF1-E6A2-4228-B499-EF199DDA44A6}"/>
    <cellStyle name="Normal 6 4 2 3 2 4 2" xfId="4806" xr:uid="{0DD91DC5-E8D5-4775-A484-DC874B12631D}"/>
    <cellStyle name="Normal 6 4 2 3 2 5" xfId="3515" xr:uid="{6087A317-4FB6-4DBD-9DFB-BEC0BD5C862B}"/>
    <cellStyle name="Normal 6 4 2 3 3" xfId="1262" xr:uid="{9CFEAA9F-C8E6-4AE7-B06E-BF2640187EB4}"/>
    <cellStyle name="Normal 6 4 2 3 3 2" xfId="1673" xr:uid="{7F0520A5-8722-4BF8-8920-44864EA79527}"/>
    <cellStyle name="Normal 6 4 2 3 3 2 2" xfId="3225" xr:uid="{38E8FE11-6FBF-495B-B8DE-992B29BB57D1}"/>
    <cellStyle name="Normal 6 4 2 3 3 2 2 2" xfId="5274" xr:uid="{8F593DD1-62AA-4085-8BCB-47BE5AFFD297}"/>
    <cellStyle name="Normal 6 4 2 3 3 2 3" xfId="4008" xr:uid="{9760D74D-9D97-452F-9FDE-5FC8CD2802DE}"/>
    <cellStyle name="Normal 6 4 2 3 3 3" xfId="2079" xr:uid="{AD515423-F0D2-4D71-A000-46E406C10464}"/>
    <cellStyle name="Normal 6 4 2 3 3 3 2" xfId="4396" xr:uid="{4662FB37-8197-4B1F-9A96-7D77A8B131AB}"/>
    <cellStyle name="Normal 6 4 2 3 3 4" xfId="2812" xr:uid="{486B53BA-AFCA-44F3-8211-3F556F788687}"/>
    <cellStyle name="Normal 6 4 2 3 3 4 2" xfId="4882" xr:uid="{A75BE139-F7AD-4C5A-AF35-9517A8DBFB63}"/>
    <cellStyle name="Normal 6 4 2 3 3 5" xfId="3620" xr:uid="{A2AA491B-2BAA-467E-A206-28F0477F5D48}"/>
    <cellStyle name="Normal 6 4 2 3 4" xfId="1463" xr:uid="{FE0E33E0-E5BF-43C8-B86F-EB593047F867}"/>
    <cellStyle name="Normal 6 4 2 3 4 2" xfId="2653" xr:uid="{9BE8EC31-655F-4098-A845-7B18C1ECA087}"/>
    <cellStyle name="Normal 6 4 2 3 4 2 2" xfId="4723" xr:uid="{249A90D9-7FE5-4B0C-A64E-C262D3A952D5}"/>
    <cellStyle name="Normal 6 4 2 3 4 3" xfId="3798" xr:uid="{CC74A79D-55AA-473D-BA41-D9F445665F20}"/>
    <cellStyle name="Normal 6 4 2 3 5" xfId="1869" xr:uid="{A7807E89-C18D-416B-BF83-912C7BDA8C32}"/>
    <cellStyle name="Normal 6 4 2 3 5 2" xfId="3016" xr:uid="{4E75F11B-13D1-4450-BFD5-BCD1BA8850DA}"/>
    <cellStyle name="Normal 6 4 2 3 5 2 2" xfId="5066" xr:uid="{E87EE826-3245-4326-9E0D-2773D64E6EB9}"/>
    <cellStyle name="Normal 6 4 2 3 5 3" xfId="4186" xr:uid="{238BFFB8-4874-443F-BBD5-5F1393497663}"/>
    <cellStyle name="Normal 6 4 2 3 6" xfId="2399" xr:uid="{2D999EC5-FAD9-413D-8F3C-86473D6683F7}"/>
    <cellStyle name="Normal 6 4 2 3 6 2" xfId="4500" xr:uid="{E35ADB67-665D-40D6-89F4-0C4AA4964B3E}"/>
    <cellStyle name="Normal 6 4 2 3 7" xfId="3410" xr:uid="{AB2A7FAD-A719-47F0-AA3C-F06769212F39}"/>
    <cellStyle name="Normal 6 4 2 4" xfId="1082" xr:uid="{8037FD26-B590-44CD-8CCB-D908ABCA8F24}"/>
    <cellStyle name="Normal 6 4 2 4 2" xfId="1499" xr:uid="{29D93FC6-B57F-4207-970A-33600B58E784}"/>
    <cellStyle name="Normal 6 4 2 4 2 2" xfId="3051" xr:uid="{18751F7A-6A98-4778-BEA9-1E4484D1D425}"/>
    <cellStyle name="Normal 6 4 2 4 2 2 2" xfId="5101" xr:uid="{B4D4E567-0B3E-418B-9735-B64AA7CE5C6A}"/>
    <cellStyle name="Normal 6 4 2 4 2 3" xfId="3834" xr:uid="{503830C9-C6CB-46E6-BCEF-A7031CEB2FA2}"/>
    <cellStyle name="Normal 6 4 2 4 3" xfId="1905" xr:uid="{6D07F731-729F-4C6F-BF6F-0EFB7DFA7482}"/>
    <cellStyle name="Normal 6 4 2 4 3 2" xfId="4222" xr:uid="{EEA08CFA-60B2-488D-9C43-9964859498DB}"/>
    <cellStyle name="Normal 6 4 2 4 4" xfId="2508" xr:uid="{F5CBB3CA-9F6C-4900-BCC2-D09BE8D00EAE}"/>
    <cellStyle name="Normal 6 4 2 4 4 2" xfId="4594" xr:uid="{B7B0DC89-D8B0-4650-B3ED-89928A9FD4F4}"/>
    <cellStyle name="Normal 6 4 2 4 5" xfId="3446" xr:uid="{072FBA48-397C-4374-B5B6-C92F1F5269D4}"/>
    <cellStyle name="Normal 6 4 2 5" xfId="1188" xr:uid="{0B162DF4-93EF-4426-9D90-1D3D61E1C2D8}"/>
    <cellStyle name="Normal 6 4 2 5 2" xfId="1604" xr:uid="{11607B2B-6EE5-4C94-BFCB-56FAF6854E2B}"/>
    <cellStyle name="Normal 6 4 2 5 2 2" xfId="3156" xr:uid="{16EA948E-8848-46BA-BC4D-C97B77A93C4F}"/>
    <cellStyle name="Normal 6 4 2 5 2 2 2" xfId="5205" xr:uid="{6E79E6F5-CE1E-4944-94E6-E32BDB5177E1}"/>
    <cellStyle name="Normal 6 4 2 5 2 3" xfId="3939" xr:uid="{C1A235E8-4333-447B-A0DA-C75BC3AD3434}"/>
    <cellStyle name="Normal 6 4 2 5 3" xfId="2010" xr:uid="{99AFACBE-2F95-43BD-B3AA-3A7084D6486F}"/>
    <cellStyle name="Normal 6 4 2 5 3 2" xfId="4327" xr:uid="{B7FB80D1-8FE5-4BCB-A3B7-A703324A0A9C}"/>
    <cellStyle name="Normal 6 4 2 5 4" xfId="2771" xr:uid="{3E148B91-B05C-49EE-9B48-B3D6EC4DD8E9}"/>
    <cellStyle name="Normal 6 4 2 5 4 2" xfId="4841" xr:uid="{F6C879A7-720C-4EB8-BC2D-8BDBA067C939}"/>
    <cellStyle name="Normal 6 4 2 5 5" xfId="3551" xr:uid="{456E63B3-9539-417D-AB41-BABDE1BB03BE}"/>
    <cellStyle name="Normal 6 4 2 6" xfId="950" xr:uid="{6C24B4C4-5CA8-4ADF-A144-857BF65A04BE}"/>
    <cellStyle name="Normal 6 4 2 6 2" xfId="1394" xr:uid="{BB9DCAD6-D83A-4E65-BA1E-6EF446EAACAF}"/>
    <cellStyle name="Normal 6 4 2 6 2 2" xfId="2965" xr:uid="{5800CCD8-7CB5-4CA1-BA72-75DDB8619126}"/>
    <cellStyle name="Normal 6 4 2 6 2 2 2" xfId="5016" xr:uid="{85724F9B-3E92-4A1D-885B-4A7E58DF45C7}"/>
    <cellStyle name="Normal 6 4 2 6 2 3" xfId="3729" xr:uid="{58E3C5FA-853B-4D09-8CBF-61807BD30C12}"/>
    <cellStyle name="Normal 6 4 2 6 3" xfId="1800" xr:uid="{4C1CC2BB-2CEF-44BB-9C86-01DE97DD4F1C}"/>
    <cellStyle name="Normal 6 4 2 6 3 2" xfId="4117" xr:uid="{1DEA6443-5876-4202-8F72-E5B13A3C836F}"/>
    <cellStyle name="Normal 6 4 2 6 4" xfId="2445" xr:uid="{DE649510-FA93-44D7-A484-7CF0B7BB0276}"/>
    <cellStyle name="Normal 6 4 2 6 4 2" xfId="4546" xr:uid="{31AE3D4C-53FC-4AA4-9CBD-7B36481195E5}"/>
    <cellStyle name="Normal 6 4 2 6 5" xfId="3341" xr:uid="{D9600E9A-22AF-417D-9AE1-D75E44620F9F}"/>
    <cellStyle name="Normal 6 4 2 7" xfId="1320" xr:uid="{8A9D8410-841D-452E-9EC2-8C2B9029E9F4}"/>
    <cellStyle name="Normal 6 4 2 7 2" xfId="2892" xr:uid="{A86E9FF7-075F-4AD4-B115-18858F93DA44}"/>
    <cellStyle name="Normal 6 4 2 7 2 2" xfId="4946" xr:uid="{43DEB399-8365-4A34-A649-FC4C793066CA}"/>
    <cellStyle name="Normal 6 4 2 7 3" xfId="3657" xr:uid="{2E14820F-1CCB-4D24-8AE8-136FB39B9C27}"/>
    <cellStyle name="Normal 6 4 2 8" xfId="1728" xr:uid="{4988E279-F383-4708-B258-DA9DEA50B67F}"/>
    <cellStyle name="Normal 6 4 2 8 2" xfId="4045" xr:uid="{DB0AD5C4-6EF7-452E-A7D7-067AFFBC27EE}"/>
    <cellStyle name="Normal 6 4 2 9" xfId="2191" xr:uid="{B40D92FD-5964-4706-97C4-D31A9AB45757}"/>
    <cellStyle name="Normal 6 4 2 9 2" xfId="4428" xr:uid="{B01CF7B9-0FA1-4EE5-B644-30378DDE5F8C}"/>
    <cellStyle name="Normal 6 4 3" xfId="687" xr:uid="{148B21EE-B041-41AD-837C-46B8769D06D6}"/>
    <cellStyle name="Normal 6 4 4" xfId="688" xr:uid="{F5874AD7-1728-40A1-B6BC-608C79FCD330}"/>
    <cellStyle name="Normal 6 4 4 10" xfId="3270" xr:uid="{E0695A46-97C7-4A06-9276-7CF8A4B41DC7}"/>
    <cellStyle name="Normal 6 4 4 2" xfId="861" xr:uid="{E03135D8-A92E-422E-B864-63B50A2697C7}"/>
    <cellStyle name="Normal 6 4 4 2 2" xfId="1118" xr:uid="{C27875E7-8D6D-4CAB-978F-D7EC8978484D}"/>
    <cellStyle name="Normal 6 4 4 2 2 2" xfId="1535" xr:uid="{C16BDF11-4BC2-44E6-947B-70D9B93340CA}"/>
    <cellStyle name="Normal 6 4 4 2 2 2 2" xfId="3087" xr:uid="{3F7EDEDB-E183-42A6-A225-C018B9C63067}"/>
    <cellStyle name="Normal 6 4 4 2 2 2 2 2" xfId="5136" xr:uid="{18C2BC8E-6883-4522-8AEB-CB79D7613903}"/>
    <cellStyle name="Normal 6 4 4 2 2 2 3" xfId="3870" xr:uid="{60F463D3-A479-4422-A4F9-DD5542064BDE}"/>
    <cellStyle name="Normal 6 4 4 2 2 3" xfId="1941" xr:uid="{DDBAC263-10B4-4656-8A81-2257EAE36627}"/>
    <cellStyle name="Normal 6 4 4 2 2 3 2" xfId="4258" xr:uid="{10DB11E6-1631-43A2-B7F2-82FA55AA218F}"/>
    <cellStyle name="Normal 6 4 4 2 2 4" xfId="2703" xr:uid="{3791D55C-26E5-42D0-B615-5757F49776B7}"/>
    <cellStyle name="Normal 6 4 4 2 2 4 2" xfId="4773" xr:uid="{8D620291-C8DF-4C44-86E8-34E89C8E5E40}"/>
    <cellStyle name="Normal 6 4 4 2 2 5" xfId="3482" xr:uid="{A6359560-1B11-4521-B8DA-D81A6E34700F}"/>
    <cellStyle name="Normal 6 4 4 2 3" xfId="1225" xr:uid="{34E49E47-CF8F-44E5-8466-5091B27C9CF5}"/>
    <cellStyle name="Normal 6 4 4 2 3 2" xfId="1640" xr:uid="{3939C5A1-EFAE-4C4F-B9A4-D51B43C8AD91}"/>
    <cellStyle name="Normal 6 4 4 2 3 2 2" xfId="3192" xr:uid="{2B870AB8-649B-403D-B62B-7D0273873ADE}"/>
    <cellStyle name="Normal 6 4 4 2 3 2 2 2" xfId="5241" xr:uid="{CB1F2B15-A1E5-4910-B4A8-7A46DEA2A7B3}"/>
    <cellStyle name="Normal 6 4 4 2 3 2 3" xfId="3975" xr:uid="{591E1633-C689-4837-9766-F0A6D1E2D343}"/>
    <cellStyle name="Normal 6 4 4 2 3 3" xfId="2046" xr:uid="{35588E9B-FC64-4CF9-8E75-9E3F21AA21DC}"/>
    <cellStyle name="Normal 6 4 4 2 3 3 2" xfId="4363" xr:uid="{1E423267-6712-403C-A27E-5BFF9D0893AD}"/>
    <cellStyle name="Normal 6 4 4 2 3 4" xfId="2783" xr:uid="{84B4D48B-F396-49AA-8E14-9A87D4DB2C6D}"/>
    <cellStyle name="Normal 6 4 4 2 3 4 2" xfId="4853" xr:uid="{682BBB33-D73B-451B-A353-4F9F63BF729B}"/>
    <cellStyle name="Normal 6 4 4 2 3 5" xfId="3587" xr:uid="{AFB22366-93D4-481C-930F-EE666BF45463}"/>
    <cellStyle name="Normal 6 4 4 2 4" xfId="995" xr:uid="{EF8DBEEA-2EBC-4437-A2F7-45BF900F50E7}"/>
    <cellStyle name="Normal 6 4 4 2 4 2" xfId="1430" xr:uid="{AA98B523-92E5-4689-937B-B7E117F18A01}"/>
    <cellStyle name="Normal 6 4 4 2 4 2 2" xfId="2986" xr:uid="{1FD8FC8B-7DFA-45D5-BFCC-8A2B6A1054FA}"/>
    <cellStyle name="Normal 6 4 4 2 4 2 2 2" xfId="5036" xr:uid="{1109BFBB-0151-4457-B8EB-1CD7EB6BDCB9}"/>
    <cellStyle name="Normal 6 4 4 2 4 2 3" xfId="3765" xr:uid="{42493915-E2CA-47A6-A917-547728D5BC48}"/>
    <cellStyle name="Normal 6 4 4 2 4 3" xfId="1836" xr:uid="{788AF8C4-A4CF-415B-BB23-B5E4CF9EB89C}"/>
    <cellStyle name="Normal 6 4 4 2 4 3 2" xfId="4153" xr:uid="{01CA85B8-0D61-4324-98D6-DD23643D0E6C}"/>
    <cellStyle name="Normal 6 4 4 2 4 4" xfId="2626" xr:uid="{9D0BCFD5-EE4E-49FD-BCDB-FF991718D27C}"/>
    <cellStyle name="Normal 6 4 4 2 4 4 2" xfId="4696" xr:uid="{80B7ADC5-E56F-496A-B317-D45937F09CF1}"/>
    <cellStyle name="Normal 6 4 4 2 4 5" xfId="3377" xr:uid="{ED35EB1D-8C6F-4E51-99A2-50136677B8BB}"/>
    <cellStyle name="Normal 6 4 4 2 5" xfId="1356" xr:uid="{FD2BA1F2-3641-4CF0-B5A6-08FEA51F0725}"/>
    <cellStyle name="Normal 6 4 4 2 5 2" xfId="2468" xr:uid="{3B0B35A2-BC37-4B45-8D40-B7C0A4C431AE}"/>
    <cellStyle name="Normal 6 4 4 2 5 2 2" xfId="4564" xr:uid="{266E908B-B049-4F31-8C03-EC100A20C819}"/>
    <cellStyle name="Normal 6 4 4 2 5 3" xfId="3692" xr:uid="{280833B1-2C19-4C3C-804D-A6E7CCBAA22F}"/>
    <cellStyle name="Normal 6 4 4 2 6" xfId="1763" xr:uid="{25702F4C-6F99-4225-9E2D-CA8619AAFB43}"/>
    <cellStyle name="Normal 6 4 4 2 6 2" xfId="2973" xr:uid="{24F131FE-5820-4B61-9ADD-6C82E2DF6A89}"/>
    <cellStyle name="Normal 6 4 4 2 6 2 2" xfId="5024" xr:uid="{82AA741E-B080-47C8-97BE-D237921BD919}"/>
    <cellStyle name="Normal 6 4 4 2 6 3" xfId="4080" xr:uid="{29F342EE-5DC2-438C-AD05-9216D64E6BD3}"/>
    <cellStyle name="Normal 6 4 4 2 7" xfId="2426" xr:uid="{93643E59-30FC-4933-9E22-3C4DDB5D7B51}"/>
    <cellStyle name="Normal 6 4 4 2 7 2" xfId="4527" xr:uid="{3B5F6BCD-224C-4E39-B77A-3304A4437E7A}"/>
    <cellStyle name="Normal 6 4 4 2 8" xfId="3304" xr:uid="{CF61C68E-6BDE-401C-88F6-F3528400BC49}"/>
    <cellStyle name="Normal 6 4 4 3" xfId="1035" xr:uid="{F23A8C2E-B26B-4D61-8BCB-038497E8E990}"/>
    <cellStyle name="Normal 6 4 4 3 2" xfId="1152" xr:uid="{D1F779A9-34DF-453C-8236-A6A5DF28E021}"/>
    <cellStyle name="Normal 6 4 4 3 2 2" xfId="1569" xr:uid="{60A20ECE-6DB2-4D4E-82FE-1286F977B6CE}"/>
    <cellStyle name="Normal 6 4 4 3 2 2 2" xfId="3121" xr:uid="{B42AD78B-DE0C-4BA2-A8FC-08B3309A7783}"/>
    <cellStyle name="Normal 6 4 4 3 2 2 2 2" xfId="5170" xr:uid="{AA80DA32-53D8-42C3-ABD0-3EA7B19CD873}"/>
    <cellStyle name="Normal 6 4 4 3 2 2 3" xfId="3904" xr:uid="{31C3231C-3D48-41BB-9EF5-E09856429BE3}"/>
    <cellStyle name="Normal 6 4 4 3 2 3" xfId="1975" xr:uid="{BB3529E5-695C-42C5-945F-E9D363E0BF30}"/>
    <cellStyle name="Normal 6 4 4 3 2 3 2" xfId="4292" xr:uid="{EF1E9DA3-63C3-40BA-842E-52C89515252B}"/>
    <cellStyle name="Normal 6 4 4 3 2 4" xfId="2737" xr:uid="{A10849BE-FAA6-4426-B8B7-D37136592143}"/>
    <cellStyle name="Normal 6 4 4 3 2 4 2" xfId="4807" xr:uid="{4E6EB6D9-23C1-4F33-8506-946BF357D746}"/>
    <cellStyle name="Normal 6 4 4 3 2 5" xfId="3516" xr:uid="{B6F52918-E209-4184-979B-7F3409B74D2B}"/>
    <cellStyle name="Normal 6 4 4 3 3" xfId="1263" xr:uid="{DC953DAE-93EC-47A8-AE20-7CC804E559AF}"/>
    <cellStyle name="Normal 6 4 4 3 3 2" xfId="1674" xr:uid="{638129EA-6429-4377-8ADF-E89B862F31AB}"/>
    <cellStyle name="Normal 6 4 4 3 3 2 2" xfId="3226" xr:uid="{59660A93-F0E9-49AF-BAD7-34B88D57C2B4}"/>
    <cellStyle name="Normal 6 4 4 3 3 2 2 2" xfId="5275" xr:uid="{86726BB1-A726-4116-ADE1-8CC3881DB56C}"/>
    <cellStyle name="Normal 6 4 4 3 3 2 3" xfId="4009" xr:uid="{6A0C647B-3D4E-4E67-9D9D-EF47A1742BC7}"/>
    <cellStyle name="Normal 6 4 4 3 3 3" xfId="2080" xr:uid="{FA26EBD5-BE75-4A71-866F-DACE91B35BC0}"/>
    <cellStyle name="Normal 6 4 4 3 3 3 2" xfId="4397" xr:uid="{4E0BC4A8-A50E-4C81-8B35-7E10E7A63217}"/>
    <cellStyle name="Normal 6 4 4 3 3 4" xfId="2813" xr:uid="{6808A15E-0792-4F62-888A-4A62E1E2B81B}"/>
    <cellStyle name="Normal 6 4 4 3 3 4 2" xfId="4883" xr:uid="{B27A3F12-1F6D-49F0-A032-481680FC2F7D}"/>
    <cellStyle name="Normal 6 4 4 3 3 5" xfId="3621" xr:uid="{D268E7F4-3FEE-47A1-93CB-2FC735A255F2}"/>
    <cellStyle name="Normal 6 4 4 3 4" xfId="1464" xr:uid="{0AF79F49-4AC0-4E0B-A429-B1F5715195B7}"/>
    <cellStyle name="Normal 6 4 4 3 4 2" xfId="3017" xr:uid="{23D65CC7-7186-4F53-AD5D-3C0FC0A15267}"/>
    <cellStyle name="Normal 6 4 4 3 4 2 2" xfId="5067" xr:uid="{FEE99A78-BDA5-4A77-B68B-FC2A2C228A95}"/>
    <cellStyle name="Normal 6 4 4 3 4 3" xfId="3799" xr:uid="{C79909EE-6E06-445A-A075-BE9D39693AA8}"/>
    <cellStyle name="Normal 6 4 4 3 5" xfId="1870" xr:uid="{B4FB30E7-9965-4E04-A85A-2912EE2A73E6}"/>
    <cellStyle name="Normal 6 4 4 3 5 2" xfId="4187" xr:uid="{5425909B-0577-4623-9AB8-9C0FAF2E3B6F}"/>
    <cellStyle name="Normal 6 4 4 3 6" xfId="2560" xr:uid="{6AB68E53-7A16-4BFC-94C2-8E9581C91797}"/>
    <cellStyle name="Normal 6 4 4 3 6 2" xfId="4639" xr:uid="{651D7009-86B5-4203-B177-B2ABDAE2FEAE}"/>
    <cellStyle name="Normal 6 4 4 3 7" xfId="3411" xr:uid="{37048F25-3A8E-4B45-980C-5690E9EFBED6}"/>
    <cellStyle name="Normal 6 4 4 4" xfId="1083" xr:uid="{EF81794C-A307-4398-BC39-B4EADB73AF34}"/>
    <cellStyle name="Normal 6 4 4 4 2" xfId="1500" xr:uid="{88984BB0-DD0C-44F0-AD3F-E1FFAD6B514B}"/>
    <cellStyle name="Normal 6 4 4 4 2 2" xfId="3052" xr:uid="{E6EB1E4C-6712-499F-AFD4-AA1BDB83A1D4}"/>
    <cellStyle name="Normal 6 4 4 4 2 2 2" xfId="5102" xr:uid="{95890325-3256-435E-AF7C-8B77A1B1DAC2}"/>
    <cellStyle name="Normal 6 4 4 4 2 3" xfId="3835" xr:uid="{E308FD75-B712-4642-BED8-5192FA0F751C}"/>
    <cellStyle name="Normal 6 4 4 4 3" xfId="1906" xr:uid="{AE8AA162-6597-409B-815A-8B8A01254503}"/>
    <cellStyle name="Normal 6 4 4 4 3 2" xfId="4223" xr:uid="{D8471E0E-C5BD-4D2B-A507-F5A8F1E0CB35}"/>
    <cellStyle name="Normal 6 4 4 4 4" xfId="2670" xr:uid="{DF421F49-A556-4433-B8BD-A3CC0928ED0D}"/>
    <cellStyle name="Normal 6 4 4 4 4 2" xfId="4740" xr:uid="{0E2CA737-1CAE-4FDC-B32A-7BA418DC6F15}"/>
    <cellStyle name="Normal 6 4 4 4 5" xfId="3447" xr:uid="{3C37D479-3485-4C63-8F73-261D5A5801B2}"/>
    <cellStyle name="Normal 6 4 4 5" xfId="1189" xr:uid="{69975A2E-F316-481D-B26B-DBF94D102BD9}"/>
    <cellStyle name="Normal 6 4 4 5 2" xfId="1605" xr:uid="{A5735830-8B78-48A2-8406-8FAE22D5D1A1}"/>
    <cellStyle name="Normal 6 4 4 5 2 2" xfId="3157" xr:uid="{09A3C111-DA42-461A-B641-F3CB10006C26}"/>
    <cellStyle name="Normal 6 4 4 5 2 2 2" xfId="5206" xr:uid="{2E16865B-0500-4282-902A-886328D1BA83}"/>
    <cellStyle name="Normal 6 4 4 5 2 3" xfId="3940" xr:uid="{844C4FBF-F593-4802-8934-E1FB7D8E11E7}"/>
    <cellStyle name="Normal 6 4 4 5 3" xfId="2011" xr:uid="{B0EFA78A-79FB-49D3-BD4A-4D62800D5B72}"/>
    <cellStyle name="Normal 6 4 4 5 3 2" xfId="4328" xr:uid="{33A0AD7F-5528-4170-AD99-43DB6064B309}"/>
    <cellStyle name="Normal 6 4 4 5 4" xfId="2772" xr:uid="{500B0DD3-9050-4B9E-9B56-0E9C5C0835F3}"/>
    <cellStyle name="Normal 6 4 4 5 4 2" xfId="4842" xr:uid="{A2B440F3-63E2-49D4-9A9C-2D70D0661F6D}"/>
    <cellStyle name="Normal 6 4 4 5 5" xfId="3552" xr:uid="{D03DF830-BA1E-4476-80D6-9802A8B77334}"/>
    <cellStyle name="Normal 6 4 4 6" xfId="951" xr:uid="{A6AF18DD-8205-4962-825E-D61037808730}"/>
    <cellStyle name="Normal 6 4 4 6 2" xfId="1395" xr:uid="{0A57E58E-C481-4465-9A5D-2D7AF69EE919}"/>
    <cellStyle name="Normal 6 4 4 6 2 2" xfId="2972" xr:uid="{DCCE3B18-6DF5-448D-B9FF-FFD1633F4F63}"/>
    <cellStyle name="Normal 6 4 4 6 2 2 2" xfId="5023" xr:uid="{3C57DECB-E41F-4742-96B2-4D7B1C214312}"/>
    <cellStyle name="Normal 6 4 4 6 2 3" xfId="3730" xr:uid="{11E2719F-16F3-4991-946B-23B45410B7A5}"/>
    <cellStyle name="Normal 6 4 4 6 3" xfId="1801" xr:uid="{AF42BD2D-5FF3-4F28-B165-DD9461CBE678}"/>
    <cellStyle name="Normal 6 4 4 6 3 2" xfId="4118" xr:uid="{AF9C9D43-709C-42F4-B88A-577CB2D8C96C}"/>
    <cellStyle name="Normal 6 4 4 6 4" xfId="2478" xr:uid="{1C554D82-9A12-4C60-BE9F-F3D95F0F4864}"/>
    <cellStyle name="Normal 6 4 4 6 4 2" xfId="4572" xr:uid="{C7326B52-FD3D-456D-9861-59479514D97E}"/>
    <cellStyle name="Normal 6 4 4 6 5" xfId="3342" xr:uid="{07B7D2B2-886C-4A50-9511-A1C206B76FFF}"/>
    <cellStyle name="Normal 6 4 4 7" xfId="1321" xr:uid="{E8339ECC-1A20-4FE2-98F5-145D0CD6C268}"/>
    <cellStyle name="Normal 6 4 4 7 2" xfId="2925" xr:uid="{C46936D7-8F94-44AD-9CD5-9796321DAEF2}"/>
    <cellStyle name="Normal 6 4 4 7 2 2" xfId="4979" xr:uid="{DB88EB07-83FB-43FD-B1F6-98DD302787EA}"/>
    <cellStyle name="Normal 6 4 4 7 3" xfId="3658" xr:uid="{64677CE7-D410-475C-8626-4F79AAA12374}"/>
    <cellStyle name="Normal 6 4 4 8" xfId="1729" xr:uid="{EB254CE4-FA09-4FA9-A96A-269443C9E02E}"/>
    <cellStyle name="Normal 6 4 4 8 2" xfId="4046" xr:uid="{7F567AF7-8025-4C76-A836-A2E1E1A0EE9B}"/>
    <cellStyle name="Normal 6 4 4 9" xfId="2234" xr:uid="{D48C76F1-7BF5-4317-8C0A-6DF19B772C9A}"/>
    <cellStyle name="Normal 6 4 4 9 2" xfId="4455" xr:uid="{13E1777B-CBAA-4661-9F04-3585223D03E4}"/>
    <cellStyle name="Normal 6 4 5" xfId="949" xr:uid="{7608055E-7976-44C2-9D60-A68856AA49CA}"/>
    <cellStyle name="Normal 6 4 6" xfId="2398" xr:uid="{7DF15F50-4FD1-4F57-89A9-B9DC7564DBC8}"/>
    <cellStyle name="Normal 6 4 6 2" xfId="4499" xr:uid="{67435E03-74F0-46E5-BA00-ADE3A4C4C40E}"/>
    <cellStyle name="Normal 6 4 7" xfId="2507" xr:uid="{5AA6A679-9A97-47BB-8B99-156834ED1170}"/>
    <cellStyle name="Normal 6 4 7 2" xfId="4593" xr:uid="{C82B5E9B-2CB5-4359-8391-32042187D4F5}"/>
    <cellStyle name="Normal 6 4 8" xfId="2891" xr:uid="{A197AB0C-05DF-4711-BBB0-DADFA59BAEDD}"/>
    <cellStyle name="Normal 6 4 8 2" xfId="4945" xr:uid="{4D30AEE0-FA32-4C5A-866D-C5282989DFEE}"/>
    <cellStyle name="Normal 6 4 9" xfId="2190" xr:uid="{9A469B9D-A8EB-4E99-90A8-32E3765171F3}"/>
    <cellStyle name="Normal 6 4 9 2" xfId="4427" xr:uid="{9FDDABB5-7A96-4235-A723-BBF952C93A2B}"/>
    <cellStyle name="Normal 6 5" xfId="689" xr:uid="{EC46D5EF-A4B4-44C8-ACD4-FC734966B627}"/>
    <cellStyle name="Normal 6 6" xfId="690" xr:uid="{AF28CDC1-90E0-4C99-8FFD-E4DDAD7F4D60}"/>
    <cellStyle name="Normal 6_Sheet2" xfId="880" xr:uid="{E1B6883F-F414-41D9-B741-FBEBE87FC165}"/>
    <cellStyle name="Normal 60" xfId="691" xr:uid="{4A86D993-BFA1-4D46-B14B-4C2B72513AA2}"/>
    <cellStyle name="Normal 61" xfId="692" xr:uid="{16EF8126-F3A2-49F5-94E5-2600128C5D4B}"/>
    <cellStyle name="Normal 62" xfId="693" xr:uid="{9301138D-E4EE-4CE4-B9EF-C9709F25AD3B}"/>
    <cellStyle name="Normal 62 2" xfId="862" xr:uid="{B5747000-3291-434F-85D8-28CC11701E96}"/>
    <cellStyle name="Normal 62 2 2" xfId="1226" xr:uid="{F57F7A63-E589-4C42-B4FA-7ED51621535D}"/>
    <cellStyle name="Normal 62 2 3" xfId="996" xr:uid="{606E581A-295D-41B2-A986-B20EBFF4857C}"/>
    <cellStyle name="Normal 62 2 4" xfId="5351" xr:uid="{D30894EE-35E7-42B7-9FA5-900C840A7B96}"/>
    <cellStyle name="Normal 62 2 5" xfId="5322" xr:uid="{3734A636-CA2A-491A-9376-CBFD6F72B57D}"/>
    <cellStyle name="Normal 62 3" xfId="1013" xr:uid="{0F3D125F-4D88-426A-906E-A5498B29FDCB}"/>
    <cellStyle name="Normal 62 4" xfId="1167" xr:uid="{60644DEC-9182-417C-A1C4-B1540CD1C733}"/>
    <cellStyle name="Normal 62 5" xfId="915" xr:uid="{60162899-2583-4082-8D9F-8F004B42F02E}"/>
    <cellStyle name="Normal 63" xfId="32" xr:uid="{92769254-7E94-4A1A-B374-1A3E0D2C298D}"/>
    <cellStyle name="Normal 63 2" xfId="5278" xr:uid="{1714496B-3F33-488E-86A2-27AFFCD00AB9}"/>
    <cellStyle name="Normal 63 3" xfId="5285" xr:uid="{6CD2D69B-99E5-463A-9AC4-E361FE5DADA0}"/>
    <cellStyle name="Normal 64" xfId="815" xr:uid="{F125F460-9EA6-400F-914E-7F3173AB4BEB}"/>
    <cellStyle name="Normal 64 2" xfId="956" xr:uid="{4B6ADEBC-0213-4A7E-8563-CC25AB82AD15}"/>
    <cellStyle name="Normal 65" xfId="957" xr:uid="{18AAF8C3-4DCA-41D5-8791-AF5E1EDF79D9}"/>
    <cellStyle name="Normal 66" xfId="958" xr:uid="{6952D140-2EFD-426B-BD4B-D6AF6386308C}"/>
    <cellStyle name="Normal 67" xfId="959" xr:uid="{156019B9-9F2A-4F2B-9880-52DEBEBF2102}"/>
    <cellStyle name="Normal 68" xfId="960" xr:uid="{032DEB2B-321C-4D7C-B1A0-7A03D8F424DE}"/>
    <cellStyle name="Normal 69" xfId="962" xr:uid="{52F47864-41C8-4B69-8CF4-72A48AB7EC17}"/>
    <cellStyle name="Normal 69 2" xfId="1192" xr:uid="{5119CA4A-C15F-4A9D-8BD5-B9512F784CA5}"/>
    <cellStyle name="Normal 7" xfId="694" xr:uid="{9D10A631-5ED5-486B-9B3B-55A411E328FE}"/>
    <cellStyle name="Normal 7 10" xfId="695" xr:uid="{03C25EEA-F2C7-478D-A811-769B6CDDCAD3}"/>
    <cellStyle name="Normal 7 10 2" xfId="2504" xr:uid="{A0732A41-8295-41C3-BFDA-5FA80985FA41}"/>
    <cellStyle name="Normal 7 10 3" xfId="2349" xr:uid="{9722C137-D463-434A-8549-E8BF43884F59}"/>
    <cellStyle name="Normal 7 11" xfId="5323" xr:uid="{4AED68C0-D56E-45A9-B19B-A5CFFC117CD4}"/>
    <cellStyle name="Normal 7 2" xfId="696" xr:uid="{2C3631C4-E529-4559-A56F-AF8122F46746}"/>
    <cellStyle name="Normal 7 2 2" xfId="697" xr:uid="{9F66378F-B5FB-4233-9ECA-B9A7CAF4B13C}"/>
    <cellStyle name="Normal 7 2 2 2" xfId="698" xr:uid="{CF1F0DB5-E3AF-45F7-8B3D-3369AFF0361D}"/>
    <cellStyle name="Normal 7 2 3" xfId="699" xr:uid="{A95EF557-92CE-4A5F-AD0B-26BD2DCE0CB4}"/>
    <cellStyle name="Normal 7 2 3 2" xfId="700" xr:uid="{1E01BB80-D514-41D2-A8C7-78C6059D4670}"/>
    <cellStyle name="Normal 7 2 3 2 2" xfId="701" xr:uid="{A49A6510-8CD4-4454-8DC0-D30BD1BDDE2D}"/>
    <cellStyle name="Normal 7 2 3 2 3" xfId="702" xr:uid="{6E9B0801-4CC8-4113-9085-80A0FFE880AB}"/>
    <cellStyle name="Normal 7 2 3 2 3 2" xfId="703" xr:uid="{C5E75AF7-D329-4F0E-B09E-82051A5135D3}"/>
    <cellStyle name="Normal 7 2 3 2 4" xfId="704" xr:uid="{A60560E8-64F4-4D5E-87D7-BE0946C451CC}"/>
    <cellStyle name="Normal 7 2 3 2 5" xfId="705" xr:uid="{868E4FE9-6096-423E-9BE5-E35D71458D66}"/>
    <cellStyle name="Normal 7 2 3 2 6" xfId="706" xr:uid="{C5D0CBC5-127E-428D-8DE9-5BF46A5DF17D}"/>
    <cellStyle name="Normal 7 2 3 2 6 2" xfId="2569" xr:uid="{A15231B2-81CB-40EA-8927-14E7B68B3CCA}"/>
    <cellStyle name="Normal 7 2 3 2 6 3" xfId="2350" xr:uid="{91859F04-44DA-4DBB-91D5-EB95F04AEB81}"/>
    <cellStyle name="Normal 7 2 3 2 7" xfId="2351" xr:uid="{39D536D7-3137-4C0B-A24D-CC90CB5C2D9C}"/>
    <cellStyle name="Normal 7 2 3 2 8" xfId="5325" xr:uid="{42853D4D-8DB7-49D7-AD9E-6A2522746327}"/>
    <cellStyle name="Normal 7 2 3 3" xfId="707" xr:uid="{94747DEE-2C60-4884-A804-BB67D20F37A5}"/>
    <cellStyle name="Normal 7 2 4" xfId="708" xr:uid="{6CAB8B88-2DF0-4004-BE0C-9B4BA879F086}"/>
    <cellStyle name="Normal 7 2 4 2" xfId="709" xr:uid="{0E2D18D5-A91B-40DE-BCE0-9C7A06ACBD41}"/>
    <cellStyle name="Normal 7 2 5" xfId="710" xr:uid="{A1D3E129-FEE5-44F2-963E-D2150BF6D06A}"/>
    <cellStyle name="Normal 7 2 6" xfId="711" xr:uid="{26103B24-101B-4A92-BF20-F030EB47F25D}"/>
    <cellStyle name="Normal 7 2 6 2" xfId="2506" xr:uid="{AFC2CBF6-B7DB-4910-889E-D36E2C55CF41}"/>
    <cellStyle name="Normal 7 2 6 3" xfId="2352" xr:uid="{827E39DB-0B36-44F0-A65E-58AEA0E806CF}"/>
    <cellStyle name="Normal 7 2 7" xfId="5324" xr:uid="{7C35F7F9-95ED-4210-BD63-93C601CB6861}"/>
    <cellStyle name="Normal 7 3" xfId="712" xr:uid="{8457B826-F873-4BBE-9C08-997F42F9192C}"/>
    <cellStyle name="Normal 7 3 2" xfId="713" xr:uid="{B816B5F5-DAC5-4414-9C04-7B9DE2908CCC}"/>
    <cellStyle name="Normal 7 3 2 2" xfId="714" xr:uid="{8EFFE9A6-DDD3-4336-8B1C-9A99B3E5F9C5}"/>
    <cellStyle name="Normal 7 3 3" xfId="715" xr:uid="{A53D3EC4-FF6D-4BAA-AB96-BD7F81A785B0}"/>
    <cellStyle name="Normal 7 4" xfId="716" xr:uid="{45842467-C2B7-4C39-9FB4-E760E27026D3}"/>
    <cellStyle name="Normal 7 4 2" xfId="717" xr:uid="{3CE7E22E-4159-4089-90F6-6F57190C3139}"/>
    <cellStyle name="Normal 7 4 3" xfId="718" xr:uid="{DA6BDF8C-C5DC-4E83-AF3B-71133B90752E}"/>
    <cellStyle name="Normal 7 5" xfId="719" xr:uid="{774CC550-17D0-4298-8848-ECFF5ADDBF08}"/>
    <cellStyle name="Normal 7 5 2" xfId="720" xr:uid="{2A8734E0-2C48-435A-BEF7-D1930B9B8E57}"/>
    <cellStyle name="Normal 7 5 3" xfId="721" xr:uid="{7D44C57D-B7C4-4A74-84D2-60725BB85D50}"/>
    <cellStyle name="Normal 7 6" xfId="722" xr:uid="{390F4E25-523F-4026-91B7-60491BC67997}"/>
    <cellStyle name="Normal 7 6 2" xfId="723" xr:uid="{A53C394B-BE39-4BBD-BB39-D82E6883FC43}"/>
    <cellStyle name="Normal 7 6 2 2" xfId="952" xr:uid="{A26605C5-24AB-409F-BE68-FC89D7B238E0}"/>
    <cellStyle name="Normal 7 6 2 3" xfId="909" xr:uid="{44DB273A-CF88-4EE3-9F9F-36BE2C99FFFF}"/>
    <cellStyle name="Normal 7 6 3" xfId="724" xr:uid="{DBA93312-5BB9-4082-A1E7-D8F634C468C8}"/>
    <cellStyle name="Normal 7 6 4" xfId="725" xr:uid="{FB87EFD5-2D63-4559-9D34-BC8CED43E962}"/>
    <cellStyle name="Normal 7 6 4 2" xfId="863" xr:uid="{12C5A313-AC49-4628-A9BE-65EDCA8555CA}"/>
    <cellStyle name="Normal 7 6 4 2 2" xfId="2094" xr:uid="{8660281F-91EE-42A0-A3E2-A5174FFD1569}"/>
    <cellStyle name="Normal 7 6 4 3" xfId="5327" xr:uid="{6F4832AC-E808-4E48-9113-9A12511D71B6}"/>
    <cellStyle name="Normal 7 6 5" xfId="2353" xr:uid="{1BAF3DE0-3732-4762-897A-1083EC9FE999}"/>
    <cellStyle name="Normal 7 6 6" xfId="5326" xr:uid="{83F6FF6E-6647-4E28-B4D5-FAE0A78323D5}"/>
    <cellStyle name="Normal 7 7" xfId="726" xr:uid="{F0D85E90-985E-4EDD-AEAE-9E13E91BC6BA}"/>
    <cellStyle name="Normal 7 7 2" xfId="727" xr:uid="{06415839-54C0-47DD-87A5-183C7C59FD8C}"/>
    <cellStyle name="Normal 7 7 3" xfId="2354" xr:uid="{9DEDB895-EC94-4D0E-8D95-A9074455BD8E}"/>
    <cellStyle name="Normal 7 8" xfId="728" xr:uid="{2B8C3E10-C584-4321-9354-CAEC0DF18FF6}"/>
    <cellStyle name="Normal 7 9" xfId="729" xr:uid="{38CF8EAF-8E82-40CA-8664-1D9DEB7B6DCE}"/>
    <cellStyle name="Normal 70" xfId="998" xr:uid="{1C1D29C1-4E12-4E6F-AC7C-43555345DDE3}"/>
    <cellStyle name="Normal 70 2" xfId="1228" xr:uid="{2BC79F79-F918-4CD4-B105-DA0380D56D44}"/>
    <cellStyle name="Normal 71" xfId="999" xr:uid="{487E85F2-A4B5-4348-8FDE-277D502BB201}"/>
    <cellStyle name="Normal 71 2" xfId="1229" xr:uid="{5DD2F66B-57BD-4721-AFF3-EF6AF002CF8D}"/>
    <cellStyle name="Normal 72" xfId="1000" xr:uid="{4F1D5613-DE28-4B7C-802A-E1A03DAAF84B}"/>
    <cellStyle name="Normal 72 2" xfId="1230" xr:uid="{7B7FCB58-7AE6-4287-9CDF-2A1D12E8A8E5}"/>
    <cellStyle name="Normal 73" xfId="1037" xr:uid="{46E91E43-D4A3-47EA-AF92-4DEA59EC4648}"/>
    <cellStyle name="Normal 74" xfId="1039" xr:uid="{E79DA809-1529-48CB-B0D4-7ACDDAFED477}"/>
    <cellStyle name="Normal 75" xfId="1040" xr:uid="{57AC1D73-B8F6-4A4A-900B-DF7770060068}"/>
    <cellStyle name="Normal 76" xfId="1041" xr:uid="{0871F245-3CD5-4112-BBC6-17F0C37E2B3C}"/>
    <cellStyle name="Normal 77" xfId="1042" xr:uid="{24E5BF7A-A8EA-4419-85C0-CB77C9E3675E}"/>
    <cellStyle name="Normal 78" xfId="1043" xr:uid="{CE88124B-B4F8-448E-8414-07011C2C0328}"/>
    <cellStyle name="Normal 79" xfId="1044" xr:uid="{8FC83216-10E2-49B3-A863-51A51E85AF6A}"/>
    <cellStyle name="Normal 8" xfId="730" xr:uid="{CE449BEB-4814-4604-B099-E82BDB83629B}"/>
    <cellStyle name="Normal 8 2" xfId="731" xr:uid="{028C936F-F153-49E2-8FCC-DB2E495433D9}"/>
    <cellStyle name="Normal 8 2 2" xfId="732" xr:uid="{96964DD1-20D2-46E1-8CC6-1FC7F39834A3}"/>
    <cellStyle name="Normal 8 2 3" xfId="733" xr:uid="{6B018025-4E38-4488-8C3F-9D0E606A4F47}"/>
    <cellStyle name="Normal 8 2 3 2" xfId="2355" xr:uid="{E077C4D3-5173-4A88-9172-F053E53EAF71}"/>
    <cellStyle name="Normal 8 3" xfId="734" xr:uid="{D8547619-5082-4911-83BA-FAEA98B5D79E}"/>
    <cellStyle name="Normal 8 3 2" xfId="735" xr:uid="{AFEB9E4E-3DD3-4FD2-A171-FC0454986FF9}"/>
    <cellStyle name="Normal 8 3 2 2" xfId="736" xr:uid="{AD46B4E9-C894-44CF-9AEE-B1C5DB00327E}"/>
    <cellStyle name="Normal 8 3 2 3" xfId="737" xr:uid="{5BA17A47-7F42-4A3B-9B10-B4A449C58CBB}"/>
    <cellStyle name="Normal 8 3 2 3 2" xfId="864" xr:uid="{E5F9B02B-F811-4F3E-812B-6459E917EDE0}"/>
    <cellStyle name="Normal 8 3 2 3 2 2" xfId="2095" xr:uid="{9C421E2D-6A75-4E16-8525-9FC20BC82459}"/>
    <cellStyle name="Normal 8 3 2 3 3" xfId="5329" xr:uid="{F0C55692-363D-4F4F-A605-F07F271F3747}"/>
    <cellStyle name="Normal 8 3 2 4" xfId="2356" xr:uid="{04231AC9-E084-4609-A668-DD79D73A4917}"/>
    <cellStyle name="Normal 8 3 2 5" xfId="5328" xr:uid="{A35FCC1B-61D9-41B2-AF9D-D4757D997C50}"/>
    <cellStyle name="Normal 8 4" xfId="738" xr:uid="{ACCC1BC8-2B38-4112-829F-1F78F6A6654B}"/>
    <cellStyle name="Normal 8 4 2" xfId="739" xr:uid="{3C9470F6-3D34-4C2E-8D91-360E9002FE1F}"/>
    <cellStyle name="Normal 8 4 3" xfId="740" xr:uid="{F7A38A63-EEEF-485C-8C00-F2A808D9A390}"/>
    <cellStyle name="Normal 8 4 3 2" xfId="865" xr:uid="{0EEF320A-F279-4FF3-8D3A-CF96FDE31869}"/>
    <cellStyle name="Normal 8 4 3 2 2" xfId="2096" xr:uid="{82FA503A-4A93-4AD7-A093-8746D1C7D78D}"/>
    <cellStyle name="Normal 8 4 3 3" xfId="5331" xr:uid="{ACA803CE-F5F6-474E-9F69-366A5125F360}"/>
    <cellStyle name="Normal 8 4 4" xfId="2357" xr:uid="{C71ED78F-0835-439F-9EB0-3590FF419633}"/>
    <cellStyle name="Normal 8 4 5" xfId="5330" xr:uid="{38055740-6185-4E96-8787-071F1663ECF0}"/>
    <cellStyle name="Normal 8 5" xfId="741" xr:uid="{D2E5F593-3860-4ACF-BE35-08B87AB2106A}"/>
    <cellStyle name="Normal 80" xfId="1045" xr:uid="{C325620E-845C-4A33-A8F5-7218B66AAA3C}"/>
    <cellStyle name="Normal 81" xfId="1046" xr:uid="{8E86605D-9A7D-4C98-ACC2-EF87035C2F85}"/>
    <cellStyle name="Normal 82" xfId="1047" xr:uid="{F06F16EF-E7CD-4FB3-BDC9-F3692D03799C}"/>
    <cellStyle name="Normal 83" xfId="1052" xr:uid="{97DC9183-4D4E-43D2-800B-77AD242125B9}"/>
    <cellStyle name="Normal 84" xfId="2466" xr:uid="{1B68C4B9-BC99-4CEF-AEBE-C6EED4C39EB3}"/>
    <cellStyle name="Normal 85" xfId="2604" xr:uid="{890971C6-D3AA-4130-BAFD-538E7B9AC891}"/>
    <cellStyle name="Normal 86" xfId="2815" xr:uid="{B1D9831C-562E-42C9-A01B-67DB3463E8F6}"/>
    <cellStyle name="Normal 87" xfId="2816" xr:uid="{45154AD3-CB00-4CE0-A11D-D59A5C83C261}"/>
    <cellStyle name="Normal 88" xfId="2817" xr:uid="{6A748F06-F44E-475D-B686-CAAFE6E186AD}"/>
    <cellStyle name="Normal 89" xfId="2503" xr:uid="{BFE797FF-A876-48A7-8F5F-21329A871625}"/>
    <cellStyle name="Normal 9" xfId="742" xr:uid="{7DB24B87-D4CE-427B-9EF5-8DA63DB1A6E1}"/>
    <cellStyle name="Normal 9 2" xfId="743" xr:uid="{2B67BAFD-B2B2-4A65-8616-F96647B8FAA1}"/>
    <cellStyle name="Normal 9 2 2" xfId="744" xr:uid="{76279D2C-0D1F-402C-95A1-44ACDE28F38B}"/>
    <cellStyle name="Normal 9 2 3" xfId="745" xr:uid="{E1D42B7B-AAD4-447A-BFC6-5E8137188044}"/>
    <cellStyle name="Normal 9 3" xfId="746" xr:uid="{92ECC01A-990F-4841-8C5B-B89CB697BFB2}"/>
    <cellStyle name="Normal 9 4" xfId="747" xr:uid="{942F1257-042A-4819-B70E-433D1EB9B48C}"/>
    <cellStyle name="Normal 9 5" xfId="748" xr:uid="{829B8229-E62B-4948-8993-48B2FB7DF87C}"/>
    <cellStyle name="Normal 9 5 2" xfId="749" xr:uid="{485D028C-587E-44E6-A640-EA31DE74586F}"/>
    <cellStyle name="Normal 9 5 3" xfId="2358" xr:uid="{70592160-EB56-4E60-9485-FB5016C1FF73}"/>
    <cellStyle name="Normal 90" xfId="2453" xr:uid="{BAEC6186-8882-4C21-8BAA-3239776D86A9}"/>
    <cellStyle name="Normal 91" xfId="2819" xr:uid="{C5919C21-EEF9-445E-8A98-F95F19F15FD2}"/>
    <cellStyle name="Normal 92" xfId="2818" xr:uid="{BDD272B7-9B02-470B-BB12-C9D4BBBEE8FC}"/>
    <cellStyle name="Normal 93" xfId="2589" xr:uid="{DE5738BA-5735-4064-86CC-303953D286A0}"/>
    <cellStyle name="Normal 94" xfId="2458" xr:uid="{4AEA8A55-9094-4BAD-AB9F-714864D79D55}"/>
    <cellStyle name="Normal 95" xfId="2821" xr:uid="{F72A872B-6E13-4A28-B5BB-B40AC9AAB15C}"/>
    <cellStyle name="Normal 96" xfId="2822" xr:uid="{0958F1CB-6DDA-4DF3-AB76-F2A28C3DC773}"/>
    <cellStyle name="Normal 97" xfId="2497" xr:uid="{34B09801-9D25-4F2B-9F69-1200DF28135C}"/>
    <cellStyle name="Normal 98" xfId="2588" xr:uid="{45204806-4E1F-460B-93B9-0D91D468224B}"/>
    <cellStyle name="Normal 99" xfId="2823" xr:uid="{527DA148-0B83-4084-AC50-0D10F3B55DD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2" xfId="750" xr:uid="{C98B3B5B-B520-4F01-AF1B-B2343EC921BE}"/>
    <cellStyle name="Note 2 2" xfId="751" xr:uid="{523D6089-211D-450C-ACC5-5B1E65F955C0}"/>
    <cellStyle name="Note 2 2 2" xfId="953" xr:uid="{C822C278-D407-4F19-8646-992E0EDDDD69}"/>
    <cellStyle name="Note 2 2 3" xfId="912" xr:uid="{325A22D7-A27F-4DFA-B99C-30B60B9EE9DD}"/>
    <cellStyle name="Note 2 3" xfId="752" xr:uid="{30C8C96B-1BA9-47DB-A91C-A02A556161FA}"/>
    <cellStyle name="Note 2 3 10" xfId="3271" xr:uid="{5B0644FD-E2BC-47B7-BF10-DF109CA9F78D}"/>
    <cellStyle name="Note 2 3 2" xfId="866" xr:uid="{35A3EEAA-0334-432D-99A7-C5C1FF25E3E5}"/>
    <cellStyle name="Note 2 3 2 2" xfId="1119" xr:uid="{2A74C156-5658-455B-A51D-01D59F8087E4}"/>
    <cellStyle name="Note 2 3 2 2 2" xfId="1536" xr:uid="{353E2017-BA76-4B1B-B64F-FC29CCA2E7C9}"/>
    <cellStyle name="Note 2 3 2 2 2 2" xfId="2704" xr:uid="{F029FFFC-3FBA-46CF-AD1C-D88423AB8433}"/>
    <cellStyle name="Note 2 3 2 2 2 2 2" xfId="4774" xr:uid="{87DC92AD-2946-4886-AE89-9BE58A4EDDFD}"/>
    <cellStyle name="Note 2 3 2 2 2 3" xfId="3871" xr:uid="{B8BE18F0-FE98-4758-8046-6FBCC8BF4E65}"/>
    <cellStyle name="Note 2 3 2 2 3" xfId="1942" xr:uid="{952288D6-71AF-4793-848A-0CC4E99A384F}"/>
    <cellStyle name="Note 2 3 2 2 3 2" xfId="3088" xr:uid="{ABD8F72C-E1A1-42E7-8059-242AD04EAD34}"/>
    <cellStyle name="Note 2 3 2 2 3 2 2" xfId="5137" xr:uid="{009BF61F-9C1F-4C17-A80A-C07A2A6AEA28}"/>
    <cellStyle name="Note 2 3 2 2 3 3" xfId="4259" xr:uid="{B88B76E4-37CA-4F0B-BB0A-BB37203071B9}"/>
    <cellStyle name="Note 2 3 2 2 4" xfId="2444" xr:uid="{97688435-5F56-4B7A-8DC6-B62CCE25381F}"/>
    <cellStyle name="Note 2 3 2 2 4 2" xfId="4545" xr:uid="{03798183-1429-46FE-878A-C1C81A521807}"/>
    <cellStyle name="Note 2 3 2 2 5" xfId="3483" xr:uid="{6D49B973-9AC2-418E-A404-70643FB58A39}"/>
    <cellStyle name="Note 2 3 2 3" xfId="1227" xr:uid="{EA824C3D-2CCB-43A8-83CA-09607A82227A}"/>
    <cellStyle name="Note 2 3 2 3 2" xfId="1641" xr:uid="{617FFF71-AB7A-4F99-B9E5-D32BF01042C4}"/>
    <cellStyle name="Note 2 3 2 3 2 2" xfId="3193" xr:uid="{410DF794-68BA-42E0-AF6C-4D4E17D03EA4}"/>
    <cellStyle name="Note 2 3 2 3 2 2 2" xfId="5242" xr:uid="{C0C9B7A5-40DE-4F62-9089-D576C9F9A5CF}"/>
    <cellStyle name="Note 2 3 2 3 2 3" xfId="3976" xr:uid="{BADC479B-0DDD-426E-BF40-4E8874DE0B2E}"/>
    <cellStyle name="Note 2 3 2 3 3" xfId="2047" xr:uid="{0535339C-8BFE-41C3-80C7-3C3E31219736}"/>
    <cellStyle name="Note 2 3 2 3 3 2" xfId="4364" xr:uid="{19AD2FE6-BB96-4658-A253-4DB4E854E0B6}"/>
    <cellStyle name="Note 2 3 2 3 4" xfId="2591" xr:uid="{17539DA6-3A84-429C-9FCE-8AB73C5AC06E}"/>
    <cellStyle name="Note 2 3 2 3 4 2" xfId="4663" xr:uid="{FAA6C5F1-1E25-46D4-82F0-3298696E5760}"/>
    <cellStyle name="Note 2 3 2 3 5" xfId="3588" xr:uid="{F8266F99-A16A-4B88-BCDA-1FA602ED6998}"/>
    <cellStyle name="Note 2 3 2 4" xfId="997" xr:uid="{91E87A8C-7A5C-4299-BE7C-5CD086054E74}"/>
    <cellStyle name="Note 2 3 2 4 2" xfId="1431" xr:uid="{9ADA72FB-7D22-46B5-91D8-01A701C04BF3}"/>
    <cellStyle name="Note 2 3 2 4 2 2" xfId="2987" xr:uid="{0DAFC832-8DB8-4B23-89ED-B6270B9642A3}"/>
    <cellStyle name="Note 2 3 2 4 2 2 2" xfId="5037" xr:uid="{17F0E49A-CC17-4948-BC64-069435F1B9B3}"/>
    <cellStyle name="Note 2 3 2 4 2 3" xfId="3766" xr:uid="{BCB76D80-47D7-44A3-8BF2-7778AF2E9A02}"/>
    <cellStyle name="Note 2 3 2 4 3" xfId="1837" xr:uid="{75B385CF-2260-4D6D-AACE-4E4E026D544B}"/>
    <cellStyle name="Note 2 3 2 4 3 2" xfId="4154" xr:uid="{0FA7A5C9-337E-47EE-A834-9A14BAB8F40F}"/>
    <cellStyle name="Note 2 3 2 4 4" xfId="2627" xr:uid="{0405C5D9-44BF-405D-9959-30F4783D88BF}"/>
    <cellStyle name="Note 2 3 2 4 4 2" xfId="4697" xr:uid="{28D4CF7A-F12E-4261-8A75-AE144AE8592B}"/>
    <cellStyle name="Note 2 3 2 4 5" xfId="3378" xr:uid="{0EA57011-FC09-48D9-A526-0A9AE7FE2C85}"/>
    <cellStyle name="Note 2 3 2 5" xfId="1357" xr:uid="{41AD8E2B-7B2E-427B-80E6-C6D226E523C0}"/>
    <cellStyle name="Note 2 3 2 5 2" xfId="2969" xr:uid="{88586B68-CBFE-4BE8-846A-25D42C634DCE}"/>
    <cellStyle name="Note 2 3 2 5 2 2" xfId="5020" xr:uid="{0937F4B6-D9F2-446B-8542-C52E854935B7}"/>
    <cellStyle name="Note 2 3 2 5 3" xfId="3693" xr:uid="{D7594D63-1553-434C-B1D3-74F73A56D621}"/>
    <cellStyle name="Note 2 3 2 6" xfId="1764" xr:uid="{772E12DD-7320-44E3-BAC8-897DAFA538FD}"/>
    <cellStyle name="Note 2 3 2 6 2" xfId="4081" xr:uid="{E9E213B0-E7C3-4A9A-A308-527D05D6ADB4}"/>
    <cellStyle name="Note 2 3 2 7" xfId="2359" xr:uid="{345F8012-CF92-4228-8A91-C10D4B903031}"/>
    <cellStyle name="Note 2 3 2 7 2" xfId="4473" xr:uid="{23A0C8A4-E4DD-485E-B5F0-FC60BF642F34}"/>
    <cellStyle name="Note 2 3 2 8" xfId="3305" xr:uid="{E35C3BBC-CB15-4C9F-9ABE-896741CDACD5}"/>
    <cellStyle name="Note 2 3 3" xfId="1036" xr:uid="{7A7C8F1D-CB73-4E2C-B8B4-FA8CBBFA4C35}"/>
    <cellStyle name="Note 2 3 3 2" xfId="1153" xr:uid="{B940A9F4-6B20-42F5-BD7A-5D0D02B8C12D}"/>
    <cellStyle name="Note 2 3 3 2 2" xfId="1570" xr:uid="{3BF04EF0-8FFF-49BD-954E-3ED759C6005C}"/>
    <cellStyle name="Note 2 3 3 2 2 2" xfId="3122" xr:uid="{A293E7FE-824A-46F2-BA44-4E1C4281D219}"/>
    <cellStyle name="Note 2 3 3 2 2 2 2" xfId="5171" xr:uid="{7AAA3FD4-4BB8-40E2-BF16-B258200F76D6}"/>
    <cellStyle name="Note 2 3 3 2 2 3" xfId="3905" xr:uid="{9F109F90-A2F6-4F02-BE23-9141FB164DC4}"/>
    <cellStyle name="Note 2 3 3 2 3" xfId="1976" xr:uid="{D13A22BB-0D46-4012-8DAE-7106B744666E}"/>
    <cellStyle name="Note 2 3 3 2 3 2" xfId="4293" xr:uid="{6949F185-160D-42FF-8402-06DB0525AF2E}"/>
    <cellStyle name="Note 2 3 3 2 4" xfId="2738" xr:uid="{D5376EA0-9B65-489E-A4B0-5F5F41CB5769}"/>
    <cellStyle name="Note 2 3 3 2 4 2" xfId="4808" xr:uid="{62CBEB61-1B03-46EA-BB82-572CA2F2D20B}"/>
    <cellStyle name="Note 2 3 3 2 5" xfId="3517" xr:uid="{6376DADC-7786-4876-AD5A-CFFE7DCDEEA9}"/>
    <cellStyle name="Note 2 3 3 3" xfId="1264" xr:uid="{BB2A65EF-A9F2-4D30-A21C-5B3D4909E395}"/>
    <cellStyle name="Note 2 3 3 3 2" xfId="1675" xr:uid="{FF85DD10-34EA-40FB-8596-A1EA9310B20E}"/>
    <cellStyle name="Note 2 3 3 3 2 2" xfId="3227" xr:uid="{0041E95C-4C6F-4E8B-AE2F-587DAFB0D1E2}"/>
    <cellStyle name="Note 2 3 3 3 2 2 2" xfId="5276" xr:uid="{D895265F-E887-4A54-9CD4-AF35DD136DDA}"/>
    <cellStyle name="Note 2 3 3 3 2 3" xfId="4010" xr:uid="{ADE5E10D-10CE-4A41-9972-6E76407A17A4}"/>
    <cellStyle name="Note 2 3 3 3 3" xfId="2081" xr:uid="{AD225597-D319-4BD1-A383-A27D9B7FEFBD}"/>
    <cellStyle name="Note 2 3 3 3 3 2" xfId="4398" xr:uid="{0C1E5274-7BEC-4AFB-8EB0-BEC2B4894DC7}"/>
    <cellStyle name="Note 2 3 3 3 4" xfId="2814" xr:uid="{11E4E817-25A8-4F63-99EA-34694561FFDE}"/>
    <cellStyle name="Note 2 3 3 3 4 2" xfId="4884" xr:uid="{295F2410-3337-405C-8475-E49C91FA968C}"/>
    <cellStyle name="Note 2 3 3 3 5" xfId="3622" xr:uid="{A7D807B6-9FC9-4BE8-A726-005944C8BE01}"/>
    <cellStyle name="Note 2 3 3 4" xfId="1465" xr:uid="{03EB6B17-18FC-4A3F-AE76-7ED3C02F5FB1}"/>
    <cellStyle name="Note 2 3 3 4 2" xfId="3018" xr:uid="{FF57411C-B931-4203-84E9-6DE4634A46A5}"/>
    <cellStyle name="Note 2 3 3 4 2 2" xfId="5068" xr:uid="{7D4FAA71-0EA7-495A-8D4F-BE5B68404F2D}"/>
    <cellStyle name="Note 2 3 3 4 3" xfId="3800" xr:uid="{9AE86E9E-5E58-4E91-A09E-C5525232428D}"/>
    <cellStyle name="Note 2 3 3 5" xfId="1871" xr:uid="{9ECF36D2-322A-42C1-B7C5-A1564E1DAB2E}"/>
    <cellStyle name="Note 2 3 3 5 2" xfId="4188" xr:uid="{4D3ED788-F857-4E38-872A-1AD51CE7C759}"/>
    <cellStyle name="Note 2 3 3 6" xfId="2654" xr:uid="{97FDEA98-B76C-4524-8184-B037836F5581}"/>
    <cellStyle name="Note 2 3 3 6 2" xfId="4724" xr:uid="{0F500A2A-CA7C-443B-954F-93925E4D645C}"/>
    <cellStyle name="Note 2 3 3 7" xfId="3412" xr:uid="{DD3101E1-73A4-4026-99DB-3DBCEE4894F6}"/>
    <cellStyle name="Note 2 3 4" xfId="1084" xr:uid="{B6AD3AB4-87FC-4F89-B91D-072C37F42B3C}"/>
    <cellStyle name="Note 2 3 4 2" xfId="1501" xr:uid="{A20B06B5-3837-4D38-BF7B-BC8DACD99C11}"/>
    <cellStyle name="Note 2 3 4 2 2" xfId="3053" xr:uid="{0EC35C9B-C730-4268-A8F6-C48B5AA11A9E}"/>
    <cellStyle name="Note 2 3 4 2 2 2" xfId="5103" xr:uid="{5ED1F690-9583-4FDA-9A78-3A3066ABCE3B}"/>
    <cellStyle name="Note 2 3 4 2 3" xfId="3836" xr:uid="{D4679ABC-4074-4365-92BD-549DC9C8261D}"/>
    <cellStyle name="Note 2 3 4 3" xfId="1907" xr:uid="{C419257F-4FF1-45AC-9754-DADAB88D4A90}"/>
    <cellStyle name="Note 2 3 4 3 2" xfId="4224" xr:uid="{18B7529A-983D-4F8F-93C3-B394880F2DB1}"/>
    <cellStyle name="Note 2 3 4 4" xfId="2671" xr:uid="{E97D0473-EEBC-4149-9BFE-BB06B8E98985}"/>
    <cellStyle name="Note 2 3 4 4 2" xfId="4741" xr:uid="{DD8C4475-CC3A-4C67-A33D-7194F46BDB72}"/>
    <cellStyle name="Note 2 3 4 5" xfId="3448" xr:uid="{5470945E-990D-427D-AB28-4E7F6DF07515}"/>
    <cellStyle name="Note 2 3 5" xfId="1190" xr:uid="{B22E66BC-7C6C-46E3-B26B-55FEA25182EA}"/>
    <cellStyle name="Note 2 3 5 2" xfId="1606" xr:uid="{CC59F229-CF72-48E5-B8C2-75A409824734}"/>
    <cellStyle name="Note 2 3 5 2 2" xfId="3158" xr:uid="{5A50A1FA-28EC-4BB2-A9DD-246769825213}"/>
    <cellStyle name="Note 2 3 5 2 2 2" xfId="5207" xr:uid="{AE7DC475-7463-4078-A09F-B261B04EA34F}"/>
    <cellStyle name="Note 2 3 5 2 3" xfId="3941" xr:uid="{A07F657D-EE67-438B-994D-11B2E7117355}"/>
    <cellStyle name="Note 2 3 5 3" xfId="2012" xr:uid="{CC7AE95B-9B4F-46E3-B0B5-EE7983D2B510}"/>
    <cellStyle name="Note 2 3 5 3 2" xfId="4329" xr:uid="{E657CB0A-0CC3-455F-B6A3-B4FE80562A0E}"/>
    <cellStyle name="Note 2 3 5 4" xfId="2773" xr:uid="{18A7A4A8-42B4-4441-A173-834CC3A8A20B}"/>
    <cellStyle name="Note 2 3 5 4 2" xfId="4843" xr:uid="{92FACFB3-B343-405B-AA97-2FD30EF20797}"/>
    <cellStyle name="Note 2 3 5 5" xfId="3553" xr:uid="{0D143E25-B55D-440C-A084-A62CBF8C8E66}"/>
    <cellStyle name="Note 2 3 6" xfId="954" xr:uid="{A5CF48B6-1C11-49A2-BB40-A518E83D9758}"/>
    <cellStyle name="Note 2 3 6 2" xfId="1396" xr:uid="{682004D7-B2E7-45F8-8B01-31158994EBA8}"/>
    <cellStyle name="Note 2 3 6 2 2" xfId="2832" xr:uid="{353F4C97-6E8D-4937-8804-8FB3B664FF85}"/>
    <cellStyle name="Note 2 3 6 2 2 2" xfId="4891" xr:uid="{97725D3A-3B2D-48C0-95E9-D9048C6DD14D}"/>
    <cellStyle name="Note 2 3 6 2 3" xfId="3731" xr:uid="{0E79876B-42C5-446F-AEAB-C2D414603A68}"/>
    <cellStyle name="Note 2 3 6 3" xfId="1802" xr:uid="{3A6036AF-6ACF-498D-90DD-33DA23DE39CE}"/>
    <cellStyle name="Note 2 3 6 3 2" xfId="4119" xr:uid="{F7E66F07-D177-4ABE-A95F-2BCBE424B773}"/>
    <cellStyle name="Note 2 3 6 4" xfId="2528" xr:uid="{65DEDAC8-08D3-401F-A457-BBCA9438A608}"/>
    <cellStyle name="Note 2 3 6 4 2" xfId="4608" xr:uid="{83090F6C-84A0-4523-B694-38F5DEFB8295}"/>
    <cellStyle name="Note 2 3 6 5" xfId="3343" xr:uid="{CA2A89D5-31B3-44D5-BDEF-A1B49F593694}"/>
    <cellStyle name="Note 2 3 7" xfId="1323" xr:uid="{47B86ED5-F138-4B6D-BA26-6230D0D8DDFE}"/>
    <cellStyle name="Note 2 3 7 2" xfId="3659" xr:uid="{212CC4C5-3B89-4FA2-BA8B-6508137DB8FB}"/>
    <cellStyle name="Note 2 3 8" xfId="1730" xr:uid="{791C9647-7BD0-408F-B863-1BC0110190A2}"/>
    <cellStyle name="Note 2 3 8 2" xfId="4047" xr:uid="{4A27CD57-E311-4E19-9839-04E500371294}"/>
    <cellStyle name="Note 2 3 9" xfId="2192" xr:uid="{3C2F40B1-E836-400A-AF56-F426F8FE38EF}"/>
    <cellStyle name="Note 2 4" xfId="753" xr:uid="{BC2644E2-FA54-4422-B631-C52ECEE67182}"/>
    <cellStyle name="Note 2 4 2" xfId="2360" xr:uid="{9F603E6D-9557-487B-A50D-A4D6673F2BC6}"/>
    <cellStyle name="Note 2 4 3" xfId="2193" xr:uid="{76B4DB7E-A21B-4038-9C47-12DD53B8BEC5}"/>
    <cellStyle name="Note 2 5" xfId="754" xr:uid="{86A4CC00-F564-4C30-9532-F7C38A72814C}"/>
    <cellStyle name="Note 2 6" xfId="2210" xr:uid="{E619FF0A-221A-4277-BCFF-DC1778FF975C}"/>
    <cellStyle name="Note 2 6 2" xfId="2361" xr:uid="{2A0A9B65-E0AB-4E8D-A079-77F2EB4D4CCF}"/>
    <cellStyle name="Note 2 6 3" xfId="5366" xr:uid="{62AD2A1B-6094-4643-AA31-894B8D6E4C57}"/>
    <cellStyle name="Note 3" xfId="755" xr:uid="{DD2DCF36-688D-4A5E-A3FA-48CB6CF6DFD5}"/>
    <cellStyle name="Note 3 2" xfId="2362" xr:uid="{290C8345-A743-40A2-92B7-24532E0A6A1A}"/>
    <cellStyle name="Note 3 3" xfId="2194" xr:uid="{53AE308A-CAC2-4D2D-AB4D-0174541FFC77}"/>
    <cellStyle name="Note 4" xfId="756" xr:uid="{693683E5-212A-4FE4-998F-AFB85FB9BAFE}"/>
    <cellStyle name="Note 4 2" xfId="2363" xr:uid="{663C0735-3508-43C6-9B2C-63D8521167AA}"/>
    <cellStyle name="Note 4 3" xfId="2195" xr:uid="{3CDFEC93-40A1-4F9A-9680-B2A15757FDDF}"/>
    <cellStyle name="Note 5" xfId="757" xr:uid="{0F0964E8-2455-4C7E-8755-399BEFA22A3E}"/>
    <cellStyle name="Note 5 2" xfId="2364" xr:uid="{D8DCD89E-AB9B-4150-A88F-C93D895B1385}"/>
    <cellStyle name="Note 5 3" xfId="2196" xr:uid="{9F90E697-86D9-4A39-A043-2EAD222EBF2A}"/>
    <cellStyle name="Note 6" xfId="758" xr:uid="{41DA9FAC-210D-473D-859B-5EEA0382427C}"/>
    <cellStyle name="Note 6 2" xfId="2365" xr:uid="{3BB9768A-6AB8-4ED9-AB23-A26856BA5A3C}"/>
    <cellStyle name="Note 6 3" xfId="2197" xr:uid="{A4AF13DC-7C4C-40DE-8793-A131B3B15059}"/>
    <cellStyle name="Output 2" xfId="759" xr:uid="{7DF4758D-8BF1-438F-A00E-3B0F158D7005}"/>
    <cellStyle name="Output 2 2" xfId="760" xr:uid="{87E4EEDC-D8C1-4DFA-8F82-94C14B33D14F}"/>
    <cellStyle name="Output 2 3" xfId="761" xr:uid="{63542D8B-98B7-4E7E-AE8F-DA6C43B6E2B5}"/>
    <cellStyle name="Output 2 4" xfId="762" xr:uid="{CF7CC4AA-F202-4543-AD02-742E5C5E9713}"/>
    <cellStyle name="Output 2 5" xfId="763" xr:uid="{A69E8542-325C-4916-94FC-C86B6C7ADDA6}"/>
    <cellStyle name="Output 2 6" xfId="2366" xr:uid="{C3B3F4E2-86FB-4799-BEE6-A77BA2CC2F49}"/>
    <cellStyle name="Output 3" xfId="764" xr:uid="{9E56C36A-73AD-42FE-A355-45A85DF38B30}"/>
    <cellStyle name="Output 4" xfId="765" xr:uid="{95583197-3545-4805-AA00-7C3808930443}"/>
    <cellStyle name="Percent 10" xfId="766" xr:uid="{F1AF65D6-E896-47DE-BE6E-4BC56546BCA4}"/>
    <cellStyle name="Percent 2" xfId="767" xr:uid="{A6946279-FF6D-4249-BA82-B960A3DF598D}"/>
    <cellStyle name="Percent 2 2" xfId="768" xr:uid="{EDF8233D-A8D3-46A5-A010-D15430FCF160}"/>
    <cellStyle name="Percent 2 2 2" xfId="769" xr:uid="{5E530B87-CA74-4A41-B60C-3BC05C61C263}"/>
    <cellStyle name="Percent 2 3" xfId="770" xr:uid="{6E350F02-E8D6-4569-9AD5-C1F24747D3EB}"/>
    <cellStyle name="Percent 3" xfId="771" xr:uid="{14B044BF-046E-4024-B67F-08999790CC05}"/>
    <cellStyle name="Percent 3 2" xfId="772" xr:uid="{38259159-9006-4FCE-B4BD-8EB3C2527BBA}"/>
    <cellStyle name="Percent 3 2 2" xfId="773" xr:uid="{B23B6A5C-8FBC-4A64-99EE-E8B07C28FFB8}"/>
    <cellStyle name="Percent 3 2 2 2" xfId="774" xr:uid="{BC369EB6-A7CD-4BE2-9A7D-A3D836B7FC80}"/>
    <cellStyle name="Percent 3 2 3" xfId="775" xr:uid="{36028104-2050-4C6F-894D-78EBFA47775B}"/>
    <cellStyle name="Percent 3 2 3 2" xfId="776" xr:uid="{FDE8A28E-4FA4-42FD-BDE9-CBBB50FEE0B9}"/>
    <cellStyle name="Percent 3 2 4" xfId="777" xr:uid="{C1F898AA-A8D2-4D4E-A1E9-453DCE85CAA2}"/>
    <cellStyle name="Percent 3 3" xfId="778" xr:uid="{B7C2AF8D-9C91-473B-876E-DAB4F6D10153}"/>
    <cellStyle name="Percent 3 3 2" xfId="779" xr:uid="{6B52B72F-EF21-43C8-81EB-E2EE41F6AD7E}"/>
    <cellStyle name="Percent 3 3 3" xfId="2367" xr:uid="{13B2105F-C234-4FD1-86EB-BA57D1A6845E}"/>
    <cellStyle name="Percent 3 4" xfId="780" xr:uid="{FCE0A4F1-3FFA-4D2F-B946-F5AAE55181C4}"/>
    <cellStyle name="Percent 4" xfId="781" xr:uid="{DC3ECD98-36BF-4CD6-96DE-F7AEBB8C49B8}"/>
    <cellStyle name="Percent 4 2" xfId="782" xr:uid="{248FA831-042D-48A2-85F8-AE012DED2377}"/>
    <cellStyle name="Percent 4 3" xfId="783" xr:uid="{413970F5-84A7-45E8-806F-D073A5C3415C}"/>
    <cellStyle name="Percent 4 4" xfId="2368" xr:uid="{C7685071-86E7-428C-A3F2-EE79DE85285D}"/>
    <cellStyle name="Percent 5" xfId="784" xr:uid="{EC52575B-BDC5-430B-A0DE-D0C809F313E2}"/>
    <cellStyle name="Percent 5 2" xfId="785" xr:uid="{DAC12CEE-AF54-45B3-8A81-E038D62314F6}"/>
    <cellStyle name="Percent 5 2 2" xfId="786" xr:uid="{53B17A9E-55C1-4E13-B95E-EBC8475BAEA3}"/>
    <cellStyle name="Percent 5 3" xfId="787" xr:uid="{FBD417C0-2DC4-47EA-9B91-95EBA95992CC}"/>
    <cellStyle name="Percent 5 3 2" xfId="788" xr:uid="{6D226B98-67E8-4166-89F7-BA3A267A7660}"/>
    <cellStyle name="Percent 5 3 3" xfId="789" xr:uid="{7E87AD62-3F0A-4CA3-8769-8A72C3EB460E}"/>
    <cellStyle name="Percent 5 3 3 2" xfId="790" xr:uid="{C6E15368-7EB5-44F3-9DE5-BDF0BDA0CE71}"/>
    <cellStyle name="Percent 5 3 4" xfId="791" xr:uid="{367BF224-5839-4D5C-A69E-88DB50917293}"/>
    <cellStyle name="Percent 5 3 5" xfId="792" xr:uid="{646AD896-C75B-4D79-AB9A-9EB20267A6B4}"/>
    <cellStyle name="Percent 5 3 6" xfId="793" xr:uid="{299A71EA-0A78-40E6-8F2C-7CD6F7DF0B27}"/>
    <cellStyle name="Percent 5 3 6 2" xfId="2464" xr:uid="{1AB68CE0-6D32-4857-866E-F3D80AD05E19}"/>
    <cellStyle name="Percent 5 3 6 3" xfId="2369" xr:uid="{39576A2B-A667-45A5-8490-651722FBB30E}"/>
    <cellStyle name="Percent 5 3 7" xfId="2370" xr:uid="{09F9D4D4-8187-48AD-A7DC-E5A160A53B4B}"/>
    <cellStyle name="Percent 5 3 8" xfId="5333" xr:uid="{643C9B36-591B-47AB-9676-CD690CC5DB4C}"/>
    <cellStyle name="Percent 5 4" xfId="794" xr:uid="{49E66012-3D40-4D3E-ADC6-C1265A2A3F06}"/>
    <cellStyle name="Percent 5 5" xfId="795" xr:uid="{8F82E5B0-D7C6-4394-93D9-22650649EA65}"/>
    <cellStyle name="Percent 5 6" xfId="796" xr:uid="{DB70AFB2-A0CC-4650-B593-474AC269984F}"/>
    <cellStyle name="Percent 5 6 2" xfId="2465" xr:uid="{968176F4-0946-49A8-A229-350BB91C8D81}"/>
    <cellStyle name="Percent 5 6 3" xfId="2371" xr:uid="{3DD45F84-FC17-4F51-BE7A-9C537E2F1BA2}"/>
    <cellStyle name="Percent 5 7" xfId="5332" xr:uid="{1FA046FA-92E2-4B1F-9F33-C449E145E001}"/>
    <cellStyle name="Percent 6" xfId="797" xr:uid="{AC20376F-56DA-4EA5-B138-3B3DC0ED2609}"/>
    <cellStyle name="Percent 6 2" xfId="798" xr:uid="{FA941384-89AB-46BA-B461-FB8B5CFC7962}"/>
    <cellStyle name="Percent 7" xfId="799" xr:uid="{DD433015-5B9C-4D8F-B200-050DBACCACFE}"/>
    <cellStyle name="Percent 7 2" xfId="867" xr:uid="{F0034168-220A-4CD5-B3EB-2A63D5A0DA65}"/>
    <cellStyle name="Percent 7 2 2" xfId="1038" xr:uid="{82275BBC-5233-41CF-9C0C-D9A22060BE20}"/>
    <cellStyle name="Percent 7 2 3" xfId="2512" xr:uid="{03F26693-4117-4B35-8694-AFF101A8CF6B}"/>
    <cellStyle name="Percent 7 2 4" xfId="5352" xr:uid="{7918439A-F09E-4C6B-BEC4-6C9E1F427368}"/>
    <cellStyle name="Percent 7 2 5" xfId="5334" xr:uid="{B84FFC84-867A-415A-A0AD-55993AE2438F}"/>
    <cellStyle name="Percent 7 3" xfId="2198" xr:uid="{25570684-1AC8-4B20-9F1D-4787E9B55C36}"/>
    <cellStyle name="Percent 7 3 2" xfId="5362" xr:uid="{A9412553-EE5C-4588-BE3B-F845A2C74769}"/>
    <cellStyle name="Percent 7 3 3" xfId="5336" xr:uid="{289EB7AE-3857-4101-BE5E-D4C43986E0E2}"/>
    <cellStyle name="rf0" xfId="1306" xr:uid="{7AB241A7-B898-4544-9B9D-21D46EF14003}"/>
    <cellStyle name="rf1" xfId="1392" xr:uid="{85347D07-41D5-44EC-9C94-4A2CEE2EF1F3}"/>
    <cellStyle name="rf10" xfId="1316" xr:uid="{9BEBE203-6DEA-4273-BB75-7CC88AB8BB9B}"/>
    <cellStyle name="rf11" xfId="1313" xr:uid="{05BCFF63-3EDF-4266-A6B4-8A8D6EF2CBDA}"/>
    <cellStyle name="rf12" xfId="1312" xr:uid="{205C22CD-B947-46BD-9FCA-7F0F4480CC84}"/>
    <cellStyle name="rf13" xfId="1311" xr:uid="{B7A1B0FE-B547-4CAE-8909-E17C2FD45018}"/>
    <cellStyle name="rf14" xfId="1308" xr:uid="{3BEDB893-FBD2-46BD-AA53-D05586CBBC9D}"/>
    <cellStyle name="rf15" xfId="1310" xr:uid="{7B7B87D9-CB06-4A29-A721-F315A199F8B1}"/>
    <cellStyle name="rf16" xfId="1309" xr:uid="{C48AC3DB-9034-41E1-B133-79F8B9B45520}"/>
    <cellStyle name="rf17" xfId="1322" xr:uid="{A8986337-63E2-4AD4-8B88-A1E5AC2DFF63}"/>
    <cellStyle name="rf18" xfId="1678" xr:uid="{8AE67B8F-3E79-40F5-A3BF-79F416DA805F}"/>
    <cellStyle name="rf19" xfId="1305" xr:uid="{49BA8549-91FF-47EB-A98D-805AC46C4A9B}"/>
    <cellStyle name="rf2" xfId="1304" xr:uid="{4DEFC2B7-5887-4382-A7F9-36D88B81BB62}"/>
    <cellStyle name="rf20" xfId="1679" xr:uid="{C86291B4-8D44-409F-97A9-7559C3D94F1C}"/>
    <cellStyle name="rf21" xfId="1676" xr:uid="{8CB371D5-42BA-4EC4-B6BD-8D982F331179}"/>
    <cellStyle name="rf22" xfId="1303" xr:uid="{F6F42B17-D902-4F52-BEA8-768D323AD845}"/>
    <cellStyle name="rf23" xfId="1302" xr:uid="{84B31751-9E73-4569-8674-66E938A69653}"/>
    <cellStyle name="rf24" xfId="1276" xr:uid="{C3D7E1D7-F1F5-4408-AEEA-0E47B7AF9C3E}"/>
    <cellStyle name="rf25" xfId="1301" xr:uid="{1F1EB3DA-4472-4D41-9498-52B667E693CF}"/>
    <cellStyle name="rf26" xfId="1300" xr:uid="{DA5170B8-F107-4B85-AFE3-C127050FB8DA}"/>
    <cellStyle name="rf27" xfId="1275" xr:uid="{3C26865E-58E5-4A45-9E2C-C23B75C02865}"/>
    <cellStyle name="rf28" xfId="1684" xr:uid="{DF61350E-C56C-4166-BE85-19397851FE1B}"/>
    <cellStyle name="rf29" xfId="1687" xr:uid="{290E7B45-37A2-44B4-B94D-3FAC6C6837CD}"/>
    <cellStyle name="rf3" xfId="1680" xr:uid="{320C8C37-31D3-4EAA-B5A5-F43E76A07358}"/>
    <cellStyle name="rf30" xfId="1681" xr:uid="{6F09652B-12E5-4042-B337-C84A714BFAE5}"/>
    <cellStyle name="rf31" xfId="1685" xr:uid="{D3746CC1-C475-40E7-BDFB-46289895559D}"/>
    <cellStyle name="rf4" xfId="1688" xr:uid="{B6A815B1-5363-40E4-B7ED-D22FCBB6B0A7}"/>
    <cellStyle name="rf5" xfId="1682" xr:uid="{BA03B457-6B0F-4604-99D2-A7297C2AEFA1}"/>
    <cellStyle name="rf6" xfId="1686" xr:uid="{35A7292D-AEA8-4C24-90F5-8276AFE08198}"/>
    <cellStyle name="rf7" xfId="1689" xr:uid="{C6CE0BC5-743B-462E-A3E1-040A3E3D9424}"/>
    <cellStyle name="rf8" xfId="1677" xr:uid="{5A9AA618-C11E-4C91-A6C7-46C6B816C999}"/>
    <cellStyle name="rf9" xfId="1299" xr:uid="{F7A69630-EF72-4755-934B-3908A2CA789E}"/>
    <cellStyle name="Title 2" xfId="801" xr:uid="{620C3BD3-2594-4B0F-B663-FE6AB88AB1A5}"/>
    <cellStyle name="Title 3" xfId="802" xr:uid="{D5CB3C27-1461-43F2-A76D-367C23D5970B}"/>
    <cellStyle name="Title 4" xfId="800" xr:uid="{24158ADF-91AD-4539-A8FA-EB05EBAE871C}"/>
    <cellStyle name="Title 5" xfId="2106" xr:uid="{E28FF747-DF98-4620-8AE3-75DF0450EC37}"/>
    <cellStyle name="Total 2" xfId="803" xr:uid="{D16E24DD-8779-4ED6-B51A-CE1FD430A883}"/>
    <cellStyle name="Total 2 2" xfId="804" xr:uid="{8ADAC26D-718F-4C17-85B0-DCBF3D1A2AAB}"/>
    <cellStyle name="Total 2 3" xfId="805" xr:uid="{5F6803B9-DB69-4F69-A085-FC7B99C67D00}"/>
    <cellStyle name="Total 2 4" xfId="806" xr:uid="{7129B070-7BAF-4B07-82D0-20DDA98ECD1D}"/>
    <cellStyle name="Total 2 5" xfId="807" xr:uid="{1C22D109-7084-4E5B-A7D6-62F5F586140D}"/>
    <cellStyle name="Total 2 5 2" xfId="955" xr:uid="{1D2188FF-B729-45B3-AAD6-4F4D5A75779E}"/>
    <cellStyle name="Total 2 5 2 2" xfId="1683" xr:uid="{24E13B96-D796-41A4-8964-5021E6A98415}"/>
    <cellStyle name="Total 2 5 2 2 2" xfId="2964" xr:uid="{BC6E7DBE-6445-424B-99B4-B77E4333CACA}"/>
    <cellStyle name="Total 2 5 2 3" xfId="1716" xr:uid="{A39020E1-5190-4FA8-9F99-D61064B9F057}"/>
    <cellStyle name="Total 2 5 2 3 2" xfId="3228" xr:uid="{4CA30F7B-F046-4D02-90C6-0DFF44F7A41B}"/>
    <cellStyle name="Total 2 5 2 4" xfId="2098" xr:uid="{F961B716-C556-4F93-B29A-5EA4B5F789F3}"/>
    <cellStyle name="Total 2 5 3" xfId="946" xr:uid="{BB3DD6C3-B33E-4937-BA21-9AD84160D2B0}"/>
    <cellStyle name="Total 2 5 3 2" xfId="1318" xr:uid="{98B4BF21-D141-4C15-B9EA-1669ED7BC441}"/>
    <cellStyle name="Total 2 5 3 2 2" xfId="2845" xr:uid="{38166103-B886-4280-BB52-7F820F0B664F}"/>
    <cellStyle name="Total 2 5 3 3" xfId="2097" xr:uid="{04C05F92-664B-4529-A651-A315CF7D5C6A}"/>
    <cellStyle name="Total 2 5 3 3 2" xfId="2869" xr:uid="{6789CFC7-DD07-49B6-86A1-64036214DE5C}"/>
    <cellStyle name="Total 2 5 3 4" xfId="1720" xr:uid="{409C8DCD-C9D9-42FF-A3D5-6FB4A2039067}"/>
    <cellStyle name="Total 2 5 4" xfId="1314" xr:uid="{1E991946-2964-4C3F-99FA-4B0D1825F67C}"/>
    <cellStyle name="Total 2 5 4 2" xfId="2824" xr:uid="{7BC58514-D27E-4823-B316-5F20CCEE2771}"/>
    <cellStyle name="Total 2 5 5" xfId="1705" xr:uid="{2D364003-5980-4B5E-8DB2-8B8E8AF69BD1}"/>
    <cellStyle name="Total 2 5 5 2" xfId="2944" xr:uid="{226CFC7C-9A37-4A30-8874-AC70412275F7}"/>
    <cellStyle name="Total 2 5 6" xfId="2100" xr:uid="{DF80E8CC-19E5-4FF6-8FDB-3370A899DEFD}"/>
    <cellStyle name="Total 2 6" xfId="1307" xr:uid="{A23AFD65-50BD-4097-A5BD-43BF6239541A}"/>
    <cellStyle name="Total 2 6 2" xfId="2825" xr:uid="{30AF8DC0-8DFA-408A-8C8A-CE1EED30ADDD}"/>
    <cellStyle name="Total 2 6 3" xfId="3229" xr:uid="{F25B88EE-546B-4A1C-9579-665E3ACC7281}"/>
    <cellStyle name="Total 2 6 4" xfId="2372" xr:uid="{DDEBE430-855E-470F-956E-79E1EE23EC50}"/>
    <cellStyle name="Total 2 7" xfId="1725" xr:uid="{F6351C6E-63F6-4CD5-BB44-1DA27C9ED3B1}"/>
    <cellStyle name="Total 2 7 2" xfId="3054" xr:uid="{7C40AEF1-9803-44E3-AC83-FF34A2225A9C}"/>
    <cellStyle name="Total 2 8" xfId="2099" xr:uid="{EF2BE75D-C187-4FAB-8259-B6C366DECDFB}"/>
    <cellStyle name="Total 3" xfId="808" xr:uid="{8B2BB5FF-3B2E-4A6D-AC99-491F255BB18C}"/>
    <cellStyle name="Total 4" xfId="809" xr:uid="{0D8ADF1A-6AE5-4EB2-9C60-5E868F59AE7C}"/>
    <cellStyle name="Warning Text 2" xfId="810" xr:uid="{F713A884-AEDE-48AA-B319-CC4B1E2B63B3}"/>
    <cellStyle name="Warning Text 2 2" xfId="811" xr:uid="{D5439CC9-DD70-4FCF-AA4E-C67BFB63290A}"/>
    <cellStyle name="Warning Text 2 3" xfId="812" xr:uid="{7D6F98FC-629C-4469-BEE6-C5B7D765A82C}"/>
    <cellStyle name="Warning Text 3" xfId="813" xr:uid="{4D53D181-4B10-496B-9CE4-FBC379EB4D29}"/>
    <cellStyle name="Warning Text 4" xfId="814" xr:uid="{3997D64B-4BEC-4847-9C4B-18E772E0DEC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496832</xdr:colOff>
      <xdr:row>47</xdr:row>
      <xdr:rowOff>133350</xdr:rowOff>
    </xdr:to>
    <xdr:pic>
      <xdr:nvPicPr>
        <xdr:cNvPr id="3" name="Picture 2">
          <a:extLst>
            <a:ext uri="{FF2B5EF4-FFF2-40B4-BE49-F238E27FC236}">
              <a16:creationId xmlns:a16="http://schemas.microsoft.com/office/drawing/2014/main" id="{B0998580-977F-4362-BCC2-142641A4AA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5983231" cy="77438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5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CD866D0-C5DB-4C3C-8A26-FFF8A0AE32DD}"/>
            </a:ext>
          </a:extLst>
        </xdr:cNvPr>
        <xdr:cNvSpPr txBox="1">
          <a:spLocks noChangeArrowheads="1"/>
        </xdr:cNvSpPr>
      </xdr:nvSpPr>
      <xdr:spPr bwMode="auto">
        <a:xfrm>
          <a:off x="2323490" y="1704442"/>
          <a:ext cx="76200" cy="19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946480C-A834-42BC-AA02-BFFAB2C05245}"/>
            </a:ext>
          </a:extLst>
        </xdr:cNvPr>
        <xdr:cNvSpPr>
          <a:spLocks noChangeArrowheads="1"/>
        </xdr:cNvSpPr>
      </xdr:nvSpPr>
      <xdr:spPr bwMode="auto">
        <a:xfrm>
          <a:off x="3767328" y="1704442"/>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618876D-0586-4EA0-B1F3-61535FAB3010}"/>
            </a:ext>
          </a:extLst>
        </xdr:cNvPr>
        <xdr:cNvSpPr txBox="1">
          <a:spLocks noChangeArrowheads="1"/>
        </xdr:cNvSpPr>
      </xdr:nvSpPr>
      <xdr:spPr bwMode="auto">
        <a:xfrm>
          <a:off x="2323490" y="1704442"/>
          <a:ext cx="76200" cy="19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C1F861F-1262-4C59-B923-1689362C5BC8}"/>
            </a:ext>
          </a:extLst>
        </xdr:cNvPr>
        <xdr:cNvSpPr>
          <a:spLocks noChangeArrowheads="1"/>
        </xdr:cNvSpPr>
      </xdr:nvSpPr>
      <xdr:spPr bwMode="auto">
        <a:xfrm>
          <a:off x="3767328" y="1704442"/>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9" sqref="A19:H19"/>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1952</v>
      </c>
      <c r="B1" s="45"/>
      <c r="C1" s="45"/>
      <c r="D1" s="46"/>
      <c r="I1" s="1991" t="s">
        <v>405</v>
      </c>
      <c r="J1" s="1992"/>
      <c r="K1" s="1992"/>
      <c r="L1" s="1992"/>
      <c r="M1" s="1992"/>
      <c r="N1" s="1992"/>
      <c r="O1" s="1992"/>
      <c r="P1" s="1992"/>
      <c r="Q1" s="1992"/>
      <c r="R1" s="1992"/>
      <c r="S1" s="1992"/>
    </row>
    <row r="2" spans="1:28" ht="12" customHeight="1">
      <c r="A2" s="47" t="s">
        <v>1953</v>
      </c>
      <c r="D2" s="48"/>
      <c r="I2" s="1993" t="s">
        <v>979</v>
      </c>
      <c r="J2" s="1992"/>
      <c r="K2" s="1992"/>
      <c r="L2" s="1992"/>
      <c r="M2" s="1992"/>
      <c r="N2" s="1992"/>
      <c r="O2" s="1992"/>
      <c r="P2" s="1992"/>
      <c r="Q2" s="1992"/>
      <c r="R2" s="1992"/>
      <c r="S2" s="1992"/>
    </row>
    <row r="3" spans="1:28" ht="12" customHeight="1">
      <c r="A3" s="155" t="s">
        <v>1905</v>
      </c>
      <c r="B3" s="156"/>
      <c r="C3" s="156"/>
      <c r="D3" s="157"/>
      <c r="I3" s="1993" t="s">
        <v>52</v>
      </c>
      <c r="J3" s="1992"/>
      <c r="K3" s="1992"/>
      <c r="L3" s="1992"/>
      <c r="M3" s="1992"/>
      <c r="N3" s="1992"/>
      <c r="O3" s="1992"/>
      <c r="P3" s="1992"/>
      <c r="Q3" s="1992"/>
      <c r="R3" s="1992"/>
      <c r="S3" s="1992"/>
    </row>
    <row r="4" spans="1:28" ht="12" customHeight="1">
      <c r="A4" s="37"/>
      <c r="I4" s="1993" t="s">
        <v>524</v>
      </c>
      <c r="J4" s="1992"/>
      <c r="K4" s="1992"/>
      <c r="L4" s="1992"/>
      <c r="M4" s="1992"/>
      <c r="N4" s="1992"/>
      <c r="O4" s="1992"/>
      <c r="P4" s="1992"/>
      <c r="Q4" s="1992"/>
      <c r="R4" s="1992"/>
      <c r="S4" s="1992"/>
    </row>
    <row r="5" spans="1:28" ht="14.1" customHeight="1">
      <c r="B5" s="104" t="s">
        <v>2032</v>
      </c>
      <c r="C5" s="26" t="s">
        <v>910</v>
      </c>
      <c r="D5" s="84"/>
      <c r="E5" s="84"/>
      <c r="H5" s="38"/>
      <c r="I5" s="2001" t="s">
        <v>680</v>
      </c>
      <c r="J5" s="2000"/>
      <c r="K5" s="2000"/>
      <c r="L5" s="2000"/>
      <c r="M5" s="2000"/>
      <c r="N5" s="2000"/>
      <c r="O5" s="2000"/>
      <c r="P5" s="2000"/>
      <c r="Q5" s="2000"/>
      <c r="R5" s="2000"/>
      <c r="S5" s="2000"/>
    </row>
    <row r="6" spans="1:28" ht="14.1" customHeight="1">
      <c r="B6" s="104"/>
      <c r="C6" s="26" t="s">
        <v>911</v>
      </c>
      <c r="D6" s="84"/>
      <c r="E6" s="84"/>
      <c r="I6" s="1999" t="s">
        <v>883</v>
      </c>
      <c r="J6" s="2000"/>
      <c r="K6" s="2000"/>
      <c r="L6" s="2000"/>
      <c r="M6" s="2000"/>
      <c r="N6" s="2000"/>
      <c r="O6" s="2000"/>
      <c r="P6" s="2000"/>
      <c r="Q6" s="2000"/>
      <c r="R6" s="2000"/>
      <c r="S6" s="2000"/>
    </row>
    <row r="7" spans="1:28" ht="12.2" customHeight="1">
      <c r="I7" s="1994">
        <v>43646</v>
      </c>
      <c r="J7" s="1995"/>
      <c r="K7" s="1995"/>
      <c r="L7" s="1995"/>
      <c r="M7" s="1995"/>
      <c r="N7" s="1995"/>
      <c r="O7" s="1995"/>
      <c r="P7" s="1995"/>
      <c r="Q7" s="1995"/>
      <c r="R7" s="1995"/>
      <c r="S7" s="1995"/>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c r="A11" s="2022" t="s">
        <v>955</v>
      </c>
      <c r="B11" s="2023"/>
      <c r="C11" s="2023"/>
      <c r="D11" s="2023"/>
      <c r="E11" s="2023"/>
      <c r="F11" s="2023"/>
      <c r="G11" s="2023"/>
      <c r="H11" s="2024"/>
      <c r="I11" s="27"/>
      <c r="J11" s="74"/>
      <c r="K11" s="27"/>
      <c r="O11" s="148"/>
      <c r="P11" s="100" t="s">
        <v>201</v>
      </c>
      <c r="Q11" s="30"/>
      <c r="R11" s="28"/>
      <c r="S11" s="27"/>
      <c r="T11" s="2016"/>
      <c r="U11" s="2017"/>
      <c r="V11" s="2017"/>
      <c r="W11" s="2017"/>
      <c r="X11" s="2017"/>
      <c r="Y11" s="2017"/>
      <c r="Z11" s="2017"/>
      <c r="AA11" s="2018"/>
    </row>
    <row r="12" spans="1:28" ht="13.5" customHeight="1">
      <c r="A12" s="85" t="s">
        <v>925</v>
      </c>
      <c r="B12" s="76"/>
      <c r="C12" s="76"/>
      <c r="D12" s="76"/>
      <c r="E12" s="76"/>
      <c r="F12" s="76"/>
      <c r="G12" s="76"/>
      <c r="H12" s="53"/>
      <c r="I12" s="29"/>
      <c r="J12" s="30"/>
      <c r="K12" s="28"/>
      <c r="O12" s="149" t="s">
        <v>2032</v>
      </c>
      <c r="P12" s="100" t="s">
        <v>202</v>
      </c>
      <c r="Q12" s="74"/>
      <c r="R12" s="30"/>
      <c r="S12" s="30"/>
      <c r="T12" s="85" t="s">
        <v>265</v>
      </c>
      <c r="U12" s="51"/>
      <c r="V12" s="51"/>
      <c r="W12" s="51"/>
      <c r="X12" s="51"/>
      <c r="Y12" s="45"/>
      <c r="Z12" s="45"/>
      <c r="AA12" s="46"/>
    </row>
    <row r="13" spans="1:28" ht="13.5" customHeight="1">
      <c r="A13" s="2026">
        <v>47052170022</v>
      </c>
      <c r="B13" s="2027"/>
      <c r="C13" s="2027"/>
      <c r="D13" s="2027"/>
      <c r="E13" s="2027"/>
      <c r="F13" s="2027"/>
      <c r="G13" s="2027"/>
      <c r="H13" s="2028"/>
      <c r="I13" s="31"/>
      <c r="J13" s="30"/>
      <c r="K13" s="28"/>
      <c r="L13" s="30"/>
      <c r="M13" s="30"/>
      <c r="N13" s="30"/>
      <c r="O13" s="30"/>
      <c r="P13" s="30"/>
      <c r="Q13" s="30"/>
      <c r="R13" s="30"/>
      <c r="S13" s="30"/>
      <c r="T13" s="2031" t="s">
        <v>2024</v>
      </c>
      <c r="U13" s="2032"/>
      <c r="V13" s="2032"/>
      <c r="W13" s="2032"/>
      <c r="X13" s="2032"/>
      <c r="Y13" s="2033"/>
      <c r="Z13" s="2033"/>
      <c r="AA13" s="2034"/>
    </row>
    <row r="14" spans="1:28" ht="14.1" customHeight="1">
      <c r="A14" s="85" t="s">
        <v>713</v>
      </c>
      <c r="B14" s="76"/>
      <c r="C14" s="76"/>
      <c r="D14" s="76"/>
      <c r="E14" s="76"/>
      <c r="F14" s="76"/>
      <c r="G14" s="76"/>
      <c r="H14" s="53"/>
      <c r="I14" s="116"/>
      <c r="S14" s="48"/>
      <c r="T14" s="85" t="s">
        <v>1308</v>
      </c>
      <c r="U14" s="51"/>
      <c r="V14" s="51"/>
      <c r="W14" s="51"/>
      <c r="X14" s="51"/>
      <c r="Y14" s="45"/>
      <c r="Z14" s="45"/>
      <c r="AA14" s="46"/>
    </row>
    <row r="15" spans="1:28" ht="13.5" customHeight="1">
      <c r="A15" s="2025" t="s">
        <v>2034</v>
      </c>
      <c r="B15" s="2029"/>
      <c r="C15" s="2029"/>
      <c r="D15" s="2029"/>
      <c r="E15" s="2029"/>
      <c r="F15" s="2029"/>
      <c r="G15" s="2029"/>
      <c r="H15" s="2030"/>
      <c r="T15" s="2035" t="s">
        <v>2042</v>
      </c>
      <c r="U15" s="1979"/>
      <c r="V15" s="1979"/>
      <c r="W15" s="1979"/>
      <c r="X15" s="1979"/>
      <c r="Y15" s="2036"/>
      <c r="Z15" s="2036"/>
      <c r="AA15" s="2037"/>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85" t="s">
        <v>2182</v>
      </c>
      <c r="B17" s="1986"/>
      <c r="C17" s="1986"/>
      <c r="D17" s="1986"/>
      <c r="E17" s="1986"/>
      <c r="F17" s="1986"/>
      <c r="G17" s="1986"/>
      <c r="H17" s="2011"/>
      <c r="T17" s="2042" t="s">
        <v>2025</v>
      </c>
      <c r="U17" s="2043"/>
      <c r="V17" s="2043"/>
      <c r="W17" s="2043"/>
      <c r="X17" s="2043"/>
      <c r="Y17" s="2043"/>
      <c r="Z17" s="2043"/>
      <c r="AA17" s="2044"/>
    </row>
    <row r="18" spans="1:27" ht="13.5" customHeight="1">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c r="A19" s="2025" t="s">
        <v>2035</v>
      </c>
      <c r="B19" s="1971"/>
      <c r="C19" s="1971"/>
      <c r="D19" s="1971"/>
      <c r="E19" s="1971"/>
      <c r="F19" s="1971"/>
      <c r="G19" s="1971"/>
      <c r="H19" s="1951"/>
      <c r="I19" s="30"/>
      <c r="J19" s="99"/>
      <c r="K19" s="40"/>
      <c r="L19" s="38"/>
      <c r="M19" s="112" t="s">
        <v>315</v>
      </c>
      <c r="P19" s="27"/>
      <c r="Q19" s="27"/>
      <c r="R19" s="27"/>
      <c r="S19" s="31"/>
      <c r="T19" s="2025" t="s">
        <v>2026</v>
      </c>
      <c r="U19" s="1950"/>
      <c r="V19" s="1950"/>
      <c r="W19" s="1951"/>
      <c r="X19" s="2040" t="s">
        <v>2027</v>
      </c>
      <c r="Y19" s="2041"/>
      <c r="Z19" s="2038">
        <v>61081</v>
      </c>
      <c r="AA19" s="2039"/>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49" t="s">
        <v>2036</v>
      </c>
      <c r="B21" s="1950"/>
      <c r="C21" s="1950"/>
      <c r="D21" s="1950"/>
      <c r="E21" s="1950"/>
      <c r="F21" s="1950"/>
      <c r="G21" s="1950"/>
      <c r="H21" s="1951"/>
      <c r="I21" s="2005" t="s">
        <v>678</v>
      </c>
      <c r="J21" s="2000"/>
      <c r="K21" s="2000"/>
      <c r="L21" s="2000"/>
      <c r="M21" s="2000"/>
      <c r="N21" s="2000"/>
      <c r="O21" s="2000"/>
      <c r="P21" s="2000"/>
      <c r="Q21" s="2000"/>
      <c r="R21" s="2000"/>
      <c r="S21" s="2006"/>
      <c r="T21" s="2049" t="s">
        <v>2028</v>
      </c>
      <c r="U21" s="2050"/>
      <c r="V21" s="2050"/>
      <c r="W21" s="2050"/>
      <c r="X21" s="2055" t="s">
        <v>2029</v>
      </c>
      <c r="Y21" s="2056"/>
      <c r="Z21" s="2056"/>
      <c r="AA21" s="2057"/>
    </row>
    <row r="22" spans="1:27" ht="13.5" customHeight="1">
      <c r="A22" s="87" t="s">
        <v>531</v>
      </c>
      <c r="B22" s="59"/>
      <c r="C22" s="59"/>
      <c r="D22" s="59"/>
      <c r="E22" s="59"/>
      <c r="F22" s="59"/>
      <c r="G22" s="59"/>
      <c r="H22" s="60"/>
      <c r="I22" s="2007" t="s">
        <v>1408</v>
      </c>
      <c r="J22" s="2008"/>
      <c r="K22" s="2008"/>
      <c r="L22" s="2008"/>
      <c r="M22" s="2008"/>
      <c r="N22" s="2008"/>
      <c r="O22" s="2008"/>
      <c r="P22" s="2008"/>
      <c r="Q22" s="2008"/>
      <c r="R22" s="2008"/>
      <c r="S22" s="2009"/>
      <c r="T22" s="85" t="s">
        <v>1495</v>
      </c>
      <c r="U22" s="51"/>
      <c r="V22" s="72"/>
      <c r="W22" s="51"/>
      <c r="X22" s="160" t="s">
        <v>1297</v>
      </c>
      <c r="Z22" s="45"/>
      <c r="AA22" s="46"/>
    </row>
    <row r="23" spans="1:27" ht="13.5" customHeight="1">
      <c r="A23" s="2002" t="s">
        <v>2037</v>
      </c>
      <c r="B23" s="2003"/>
      <c r="C23" s="2003"/>
      <c r="D23" s="2003"/>
      <c r="E23" s="2003"/>
      <c r="F23" s="2003"/>
      <c r="G23" s="2003"/>
      <c r="H23" s="2004"/>
      <c r="T23" s="1985" t="s">
        <v>2030</v>
      </c>
      <c r="U23" s="2048"/>
      <c r="V23" s="2048"/>
      <c r="W23" s="2048"/>
      <c r="X23" s="2052">
        <v>44530</v>
      </c>
      <c r="Y23" s="2053"/>
      <c r="Z23" s="2053"/>
      <c r="AA23" s="2054"/>
    </row>
    <row r="24" spans="1:27" ht="14.1" customHeight="1">
      <c r="A24" s="88" t="s">
        <v>677</v>
      </c>
      <c r="B24" s="49"/>
      <c r="C24" s="49"/>
      <c r="D24" s="49"/>
      <c r="E24" s="49"/>
      <c r="F24" s="49"/>
      <c r="G24" s="49"/>
      <c r="H24" s="61"/>
      <c r="J24" s="1972">
        <f>IF(B5="x",IF(AUDITCHECK!D29="AFR form Incomplete.","",IF(AUDITCHECK!D29="Deficit reduction plan is required.","School District must complete a deficit reduction plan in the 2019-2020 Budget",)),"")</f>
        <v>0</v>
      </c>
      <c r="K24" s="1972"/>
      <c r="L24" s="1972"/>
      <c r="M24" s="1972"/>
      <c r="N24" s="1972"/>
      <c r="O24" s="1972"/>
      <c r="P24" s="1972"/>
      <c r="Q24" s="1972"/>
      <c r="R24" s="1972"/>
      <c r="S24" s="1973"/>
      <c r="T24" s="105" t="s">
        <v>531</v>
      </c>
      <c r="U24" s="106"/>
      <c r="V24" s="106"/>
      <c r="W24" s="106"/>
      <c r="X24" s="107"/>
      <c r="Y24" s="107"/>
      <c r="Z24" s="107"/>
      <c r="AA24" s="108"/>
    </row>
    <row r="25" spans="1:27" ht="14.1" customHeight="1">
      <c r="A25" s="1949">
        <v>61021</v>
      </c>
      <c r="B25" s="1950"/>
      <c r="C25" s="1950"/>
      <c r="D25" s="1950"/>
      <c r="E25" s="1950"/>
      <c r="F25" s="1950"/>
      <c r="G25" s="1950"/>
      <c r="H25" s="1951"/>
      <c r="I25" s="113"/>
      <c r="J25" s="1974"/>
      <c r="K25" s="1974"/>
      <c r="L25" s="1974"/>
      <c r="M25" s="1974"/>
      <c r="N25" s="1974"/>
      <c r="O25" s="1974"/>
      <c r="P25" s="1974"/>
      <c r="Q25" s="1974"/>
      <c r="R25" s="1974"/>
      <c r="S25" s="1975"/>
      <c r="T25" s="2045" t="s">
        <v>2031</v>
      </c>
      <c r="U25" s="2046"/>
      <c r="V25" s="2046"/>
      <c r="W25" s="2046"/>
      <c r="X25" s="2046"/>
      <c r="Y25" s="2046"/>
      <c r="Z25" s="2046"/>
      <c r="AA25" s="2047"/>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60" t="s">
        <v>1490</v>
      </c>
      <c r="J27" s="1961"/>
      <c r="K27" s="1961"/>
      <c r="L27" s="1961"/>
      <c r="M27" s="1961"/>
      <c r="N27" s="1961"/>
      <c r="O27" s="1961"/>
      <c r="P27" s="1961"/>
      <c r="Q27" s="1961"/>
      <c r="R27" s="1961"/>
      <c r="S27" s="1962"/>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2032</v>
      </c>
      <c r="F29" s="141" t="s">
        <v>1295</v>
      </c>
      <c r="G29" s="114"/>
      <c r="I29" s="54"/>
      <c r="J29" s="148" t="s">
        <v>2032</v>
      </c>
      <c r="K29" s="28" t="s">
        <v>576</v>
      </c>
      <c r="L29" s="102"/>
      <c r="M29" s="40" t="s">
        <v>99</v>
      </c>
      <c r="N29" s="32" t="s">
        <v>1502</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2032</v>
      </c>
      <c r="K30" s="28" t="s">
        <v>576</v>
      </c>
      <c r="L30" s="102"/>
      <c r="M30" s="40" t="s">
        <v>99</v>
      </c>
      <c r="N30" s="32" t="s">
        <v>1491</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2032</v>
      </c>
      <c r="K31" s="40" t="s">
        <v>885</v>
      </c>
      <c r="L31" s="102"/>
      <c r="M31" s="40" t="s">
        <v>99</v>
      </c>
      <c r="N31" s="32" t="s">
        <v>1573</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2032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85" t="s">
        <v>2038</v>
      </c>
      <c r="B38" s="1986"/>
      <c r="C38" s="1986"/>
      <c r="D38" s="1986"/>
      <c r="E38" s="1986"/>
      <c r="F38" s="1950"/>
      <c r="G38" s="1950"/>
      <c r="H38" s="1951"/>
      <c r="I38" s="1978"/>
      <c r="J38" s="1979"/>
      <c r="K38" s="1979"/>
      <c r="L38" s="1979"/>
      <c r="M38" s="1979"/>
      <c r="N38" s="1979"/>
      <c r="O38" s="1979"/>
      <c r="P38" s="1980"/>
      <c r="Q38" s="1980"/>
      <c r="R38" s="1980"/>
      <c r="S38" s="1981"/>
      <c r="T38" s="2035"/>
      <c r="U38" s="1979"/>
      <c r="V38" s="1979"/>
      <c r="W38" s="1979"/>
      <c r="X38" s="1980"/>
      <c r="Y38" s="1980"/>
      <c r="Z38" s="1980"/>
      <c r="AA38" s="1981"/>
    </row>
    <row r="39" spans="1:27" ht="12" customHeight="1">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c r="A40" s="1963" t="s">
        <v>2039</v>
      </c>
      <c r="B40" s="1964"/>
      <c r="C40" s="1965"/>
      <c r="D40" s="1965"/>
      <c r="E40" s="1965"/>
      <c r="F40" s="1966"/>
      <c r="G40" s="1966"/>
      <c r="H40" s="1967"/>
      <c r="I40" s="1988"/>
      <c r="J40" s="1989"/>
      <c r="K40" s="1989"/>
      <c r="L40" s="1989"/>
      <c r="M40" s="1989"/>
      <c r="N40" s="1989"/>
      <c r="O40" s="1989"/>
      <c r="P40" s="1989"/>
      <c r="Q40" s="1989"/>
      <c r="R40" s="1989"/>
      <c r="S40" s="1990"/>
      <c r="T40" s="1988"/>
      <c r="U40" s="2051"/>
      <c r="V40" s="1989"/>
      <c r="W40" s="1989"/>
      <c r="X40" s="1989"/>
      <c r="Y40" s="1989"/>
      <c r="Z40" s="1989"/>
      <c r="AA40" s="1990"/>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77" t="s">
        <v>2040</v>
      </c>
      <c r="B42" s="1969"/>
      <c r="C42" s="1970"/>
      <c r="D42" s="1968" t="s">
        <v>2041</v>
      </c>
      <c r="E42" s="1969"/>
      <c r="F42" s="1969"/>
      <c r="G42" s="1969"/>
      <c r="H42" s="1970"/>
      <c r="I42" s="1952"/>
      <c r="J42" s="1953"/>
      <c r="K42" s="1953"/>
      <c r="L42" s="1953"/>
      <c r="M42" s="1953"/>
      <c r="N42" s="1953"/>
      <c r="O42" s="1954"/>
      <c r="P42" s="1987"/>
      <c r="Q42" s="1953"/>
      <c r="R42" s="1953"/>
      <c r="S42" s="1954"/>
      <c r="T42" s="1952"/>
      <c r="U42" s="1953"/>
      <c r="V42" s="1953"/>
      <c r="W42" s="1954"/>
      <c r="X42" s="1987"/>
      <c r="Y42" s="1953"/>
      <c r="Z42" s="1953"/>
      <c r="AA42" s="1954"/>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c r="A45" s="41" t="s">
        <v>186</v>
      </c>
      <c r="Q45" s="41" t="s">
        <v>1398</v>
      </c>
      <c r="R45" s="41"/>
      <c r="S45" s="41"/>
      <c r="T45" s="147"/>
      <c r="U45" s="41"/>
      <c r="V45" s="41"/>
      <c r="W45" s="41"/>
      <c r="X45" s="41"/>
      <c r="Y45" s="41"/>
      <c r="Z45" s="41"/>
      <c r="AA45" s="41"/>
    </row>
    <row r="46" spans="1:27" ht="10.5" customHeight="1">
      <c r="A46" s="42" t="s">
        <v>1904</v>
      </c>
      <c r="D46" s="41"/>
      <c r="E46" s="41"/>
      <c r="F46" s="41"/>
      <c r="G46" s="41"/>
      <c r="Q46" s="29" t="s">
        <v>1399</v>
      </c>
      <c r="R46" s="41"/>
      <c r="S46" s="41"/>
      <c r="T46" s="41"/>
      <c r="U46" s="41"/>
      <c r="V46" s="41"/>
      <c r="W46" s="41"/>
      <c r="X46" s="41"/>
      <c r="Y46" s="41"/>
      <c r="Z46" s="41"/>
      <c r="AA46" s="41"/>
    </row>
    <row r="47" spans="1:27">
      <c r="A47" s="137"/>
      <c r="Q47" s="41" t="s">
        <v>1886</v>
      </c>
      <c r="R47" s="41"/>
      <c r="S47" s="41"/>
      <c r="T47" s="41"/>
      <c r="U47" s="41"/>
      <c r="V47" s="41"/>
      <c r="W47" s="41"/>
      <c r="X47" s="41"/>
      <c r="Y47" s="41"/>
      <c r="Z47" s="41"/>
      <c r="AA47" s="41"/>
    </row>
    <row r="48" spans="1:27">
      <c r="Q48" s="41" t="s">
        <v>1887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8" activePane="bottomLeft" state="frozen"/>
      <selection activeCell="T15" sqref="T15:AA15"/>
      <selection pane="bottomLeft" activeCell="T15" sqref="T15:AA15"/>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32"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72" t="s">
        <v>297</v>
      </c>
      <c r="B3" s="2173"/>
      <c r="C3" s="1481"/>
      <c r="D3" s="1481"/>
      <c r="E3" s="1481"/>
      <c r="F3" s="1481"/>
      <c r="G3" s="1481"/>
      <c r="H3" s="1481"/>
      <c r="I3" s="1481"/>
      <c r="J3" s="1481"/>
      <c r="K3" s="1482"/>
      <c r="L3" s="1483"/>
      <c r="M3" s="609"/>
      <c r="N3" s="609"/>
    </row>
    <row r="4" spans="1:14" s="259" customFormat="1" ht="15.75" customHeight="1">
      <c r="A4" s="1539" t="s">
        <v>44</v>
      </c>
      <c r="B4" s="1540" t="s">
        <v>570</v>
      </c>
      <c r="C4" s="610"/>
      <c r="D4" s="610"/>
      <c r="E4" s="610"/>
      <c r="F4" s="610"/>
      <c r="G4" s="610"/>
      <c r="H4" s="610"/>
      <c r="I4" s="611"/>
      <c r="J4" s="610"/>
      <c r="K4" s="612"/>
      <c r="L4" s="610"/>
      <c r="M4" s="613"/>
      <c r="N4" s="613"/>
    </row>
    <row r="5" spans="1:14">
      <c r="A5" s="1437" t="s">
        <v>961</v>
      </c>
      <c r="B5" s="614">
        <v>1100</v>
      </c>
      <c r="C5" s="466">
        <v>7890590</v>
      </c>
      <c r="D5" s="466">
        <v>2328703</v>
      </c>
      <c r="E5" s="466">
        <v>104748</v>
      </c>
      <c r="F5" s="466">
        <v>69654</v>
      </c>
      <c r="G5" s="466">
        <v>199683</v>
      </c>
      <c r="H5" s="466">
        <v>24666</v>
      </c>
      <c r="I5" s="467"/>
      <c r="J5" s="467"/>
      <c r="K5" s="1603">
        <f>SUM(C5:J5)</f>
        <v>10618044</v>
      </c>
      <c r="L5" s="466">
        <v>12488601</v>
      </c>
    </row>
    <row r="6" spans="1:14">
      <c r="A6" s="1437" t="s">
        <v>1412</v>
      </c>
      <c r="B6" s="614" t="s">
        <v>1410</v>
      </c>
      <c r="C6" s="477"/>
      <c r="D6" s="477"/>
      <c r="E6" s="466"/>
      <c r="F6" s="477"/>
      <c r="G6" s="477"/>
      <c r="H6" s="477"/>
      <c r="I6" s="477"/>
      <c r="J6" s="477"/>
      <c r="K6" s="1603">
        <f>SUM(C6,E6)</f>
        <v>0</v>
      </c>
      <c r="L6" s="466">
        <v>109527</v>
      </c>
    </row>
    <row r="7" spans="1:14">
      <c r="A7" s="1437" t="s">
        <v>163</v>
      </c>
      <c r="B7" s="614" t="s">
        <v>967</v>
      </c>
      <c r="C7" s="467">
        <v>123361</v>
      </c>
      <c r="D7" s="467">
        <v>68891</v>
      </c>
      <c r="E7" s="467">
        <v>811</v>
      </c>
      <c r="F7" s="467">
        <v>6021</v>
      </c>
      <c r="G7" s="467"/>
      <c r="H7" s="467"/>
      <c r="I7" s="467"/>
      <c r="J7" s="467"/>
      <c r="K7" s="1603">
        <f t="shared" ref="K7:K32" si="0">SUM(C7:J7)</f>
        <v>199084</v>
      </c>
      <c r="L7" s="466">
        <v>212056</v>
      </c>
    </row>
    <row r="8" spans="1:14">
      <c r="A8" s="1437" t="s">
        <v>164</v>
      </c>
      <c r="B8" s="614">
        <v>1200</v>
      </c>
      <c r="C8" s="466">
        <v>1791087</v>
      </c>
      <c r="D8" s="466">
        <v>1064819</v>
      </c>
      <c r="E8" s="466"/>
      <c r="F8" s="466">
        <v>429</v>
      </c>
      <c r="G8" s="466"/>
      <c r="H8" s="466"/>
      <c r="I8" s="467"/>
      <c r="J8" s="467"/>
      <c r="K8" s="1603">
        <f t="shared" si="0"/>
        <v>2856335</v>
      </c>
      <c r="L8" s="466">
        <v>2008467</v>
      </c>
    </row>
    <row r="9" spans="1:14">
      <c r="A9" s="1437" t="s">
        <v>721</v>
      </c>
      <c r="B9" s="614" t="s">
        <v>968</v>
      </c>
      <c r="C9" s="467"/>
      <c r="D9" s="467"/>
      <c r="E9" s="467"/>
      <c r="F9" s="467"/>
      <c r="G9" s="467"/>
      <c r="H9" s="467"/>
      <c r="I9" s="467"/>
      <c r="J9" s="467"/>
      <c r="K9" s="1603">
        <f t="shared" si="0"/>
        <v>0</v>
      </c>
      <c r="L9" s="466">
        <v>0</v>
      </c>
    </row>
    <row r="10" spans="1:14">
      <c r="A10" s="1437" t="s">
        <v>722</v>
      </c>
      <c r="B10" s="614">
        <v>1250</v>
      </c>
      <c r="C10" s="466">
        <v>235467</v>
      </c>
      <c r="D10" s="466">
        <v>148370</v>
      </c>
      <c r="E10" s="466"/>
      <c r="F10" s="466">
        <v>16665</v>
      </c>
      <c r="G10" s="466"/>
      <c r="H10" s="466"/>
      <c r="I10" s="467"/>
      <c r="J10" s="467"/>
      <c r="K10" s="1603">
        <f t="shared" si="0"/>
        <v>400502</v>
      </c>
      <c r="L10" s="466">
        <v>571958</v>
      </c>
    </row>
    <row r="11" spans="1:14">
      <c r="A11" s="1437" t="s">
        <v>1130</v>
      </c>
      <c r="B11" s="614" t="s">
        <v>161</v>
      </c>
      <c r="C11" s="467"/>
      <c r="D11" s="467"/>
      <c r="E11" s="467"/>
      <c r="F11" s="467"/>
      <c r="G11" s="467"/>
      <c r="H11" s="467"/>
      <c r="I11" s="467"/>
      <c r="J11" s="467"/>
      <c r="K11" s="1603">
        <f t="shared" si="0"/>
        <v>0</v>
      </c>
      <c r="L11" s="466">
        <v>0</v>
      </c>
    </row>
    <row r="12" spans="1:14">
      <c r="A12" s="1437" t="s">
        <v>962</v>
      </c>
      <c r="B12" s="614">
        <v>1300</v>
      </c>
      <c r="C12" s="466"/>
      <c r="D12" s="466"/>
      <c r="E12" s="466"/>
      <c r="F12" s="466"/>
      <c r="G12" s="466"/>
      <c r="H12" s="466"/>
      <c r="I12" s="467"/>
      <c r="J12" s="467"/>
      <c r="K12" s="1603">
        <f t="shared" si="0"/>
        <v>0</v>
      </c>
      <c r="L12" s="466">
        <v>0</v>
      </c>
    </row>
    <row r="13" spans="1:14">
      <c r="A13" s="1437" t="s">
        <v>723</v>
      </c>
      <c r="B13" s="614">
        <v>1400</v>
      </c>
      <c r="C13" s="466">
        <v>150400</v>
      </c>
      <c r="D13" s="466">
        <v>69114</v>
      </c>
      <c r="E13" s="466"/>
      <c r="F13" s="466">
        <v>9489</v>
      </c>
      <c r="G13" s="466"/>
      <c r="H13" s="466"/>
      <c r="I13" s="467"/>
      <c r="J13" s="467"/>
      <c r="K13" s="1603">
        <f t="shared" si="0"/>
        <v>229003</v>
      </c>
      <c r="L13" s="466">
        <v>177450</v>
      </c>
    </row>
    <row r="14" spans="1:14">
      <c r="A14" s="1437" t="s">
        <v>963</v>
      </c>
      <c r="B14" s="614">
        <v>1500</v>
      </c>
      <c r="C14" s="466">
        <v>446496</v>
      </c>
      <c r="D14" s="466">
        <v>37248</v>
      </c>
      <c r="E14" s="466">
        <v>47771</v>
      </c>
      <c r="F14" s="466">
        <v>21206</v>
      </c>
      <c r="G14" s="466"/>
      <c r="H14" s="466">
        <v>27646</v>
      </c>
      <c r="I14" s="467"/>
      <c r="J14" s="467"/>
      <c r="K14" s="1603">
        <f t="shared" si="0"/>
        <v>580367</v>
      </c>
      <c r="L14" s="466">
        <v>550087</v>
      </c>
    </row>
    <row r="15" spans="1:14">
      <c r="A15" s="1437" t="s">
        <v>964</v>
      </c>
      <c r="B15" s="614">
        <v>1600</v>
      </c>
      <c r="C15" s="466">
        <v>11200</v>
      </c>
      <c r="D15" s="466">
        <v>1306</v>
      </c>
      <c r="E15" s="466"/>
      <c r="F15" s="466"/>
      <c r="G15" s="466"/>
      <c r="H15" s="466"/>
      <c r="I15" s="467"/>
      <c r="J15" s="467"/>
      <c r="K15" s="1603">
        <f t="shared" si="0"/>
        <v>12506</v>
      </c>
      <c r="L15" s="466">
        <v>23650</v>
      </c>
    </row>
    <row r="16" spans="1:14">
      <c r="A16" s="1437" t="s">
        <v>987</v>
      </c>
      <c r="B16" s="614" t="s">
        <v>424</v>
      </c>
      <c r="C16" s="466"/>
      <c r="D16" s="466"/>
      <c r="E16" s="466"/>
      <c r="F16" s="466"/>
      <c r="G16" s="466"/>
      <c r="H16" s="466"/>
      <c r="I16" s="467"/>
      <c r="J16" s="467"/>
      <c r="K16" s="1603">
        <f t="shared" si="0"/>
        <v>0</v>
      </c>
      <c r="L16" s="466">
        <v>0</v>
      </c>
    </row>
    <row r="17" spans="1:12">
      <c r="A17" s="1437" t="s">
        <v>724</v>
      </c>
      <c r="B17" s="614" t="s">
        <v>162</v>
      </c>
      <c r="C17" s="467"/>
      <c r="D17" s="467"/>
      <c r="E17" s="467"/>
      <c r="F17" s="467"/>
      <c r="G17" s="467"/>
      <c r="H17" s="467"/>
      <c r="I17" s="467"/>
      <c r="J17" s="467"/>
      <c r="K17" s="1603">
        <f t="shared" si="0"/>
        <v>0</v>
      </c>
      <c r="L17" s="466">
        <v>0</v>
      </c>
    </row>
    <row r="18" spans="1:12">
      <c r="A18" s="1437" t="s">
        <v>1087</v>
      </c>
      <c r="B18" s="614">
        <v>1800</v>
      </c>
      <c r="C18" s="466"/>
      <c r="D18" s="466"/>
      <c r="E18" s="466"/>
      <c r="F18" s="466"/>
      <c r="G18" s="466"/>
      <c r="H18" s="466"/>
      <c r="I18" s="467"/>
      <c r="J18" s="467"/>
      <c r="K18" s="1603">
        <f t="shared" si="0"/>
        <v>0</v>
      </c>
      <c r="L18" s="466">
        <v>0</v>
      </c>
    </row>
    <row r="19" spans="1:12">
      <c r="A19" s="1437" t="s">
        <v>134</v>
      </c>
      <c r="B19" s="614">
        <v>1900</v>
      </c>
      <c r="C19" s="466"/>
      <c r="D19" s="466"/>
      <c r="E19" s="466"/>
      <c r="F19" s="466"/>
      <c r="G19" s="466"/>
      <c r="H19" s="466"/>
      <c r="I19" s="467"/>
      <c r="J19" s="467"/>
      <c r="K19" s="1603">
        <f t="shared" si="0"/>
        <v>0</v>
      </c>
      <c r="L19" s="466">
        <v>0</v>
      </c>
    </row>
    <row r="20" spans="1:12">
      <c r="A20" s="1438" t="s">
        <v>738</v>
      </c>
      <c r="B20" s="602" t="s">
        <v>725</v>
      </c>
      <c r="C20" s="477"/>
      <c r="D20" s="477"/>
      <c r="E20" s="477"/>
      <c r="F20" s="477"/>
      <c r="G20" s="477"/>
      <c r="H20" s="474"/>
      <c r="I20" s="616"/>
      <c r="J20" s="475"/>
      <c r="K20" s="1603">
        <f t="shared" si="0"/>
        <v>0</v>
      </c>
      <c r="L20" s="471">
        <v>0</v>
      </c>
    </row>
    <row r="21" spans="1:12">
      <c r="A21" s="1438" t="s">
        <v>739</v>
      </c>
      <c r="B21" s="602" t="s">
        <v>726</v>
      </c>
      <c r="C21" s="477"/>
      <c r="D21" s="477"/>
      <c r="E21" s="477"/>
      <c r="F21" s="477"/>
      <c r="G21" s="477"/>
      <c r="H21" s="474"/>
      <c r="I21" s="616"/>
      <c r="J21" s="477"/>
      <c r="K21" s="1603">
        <f t="shared" si="0"/>
        <v>0</v>
      </c>
      <c r="L21" s="471">
        <v>0</v>
      </c>
    </row>
    <row r="22" spans="1:12">
      <c r="A22" s="1438" t="s">
        <v>740</v>
      </c>
      <c r="B22" s="602" t="s">
        <v>727</v>
      </c>
      <c r="C22" s="477"/>
      <c r="D22" s="477"/>
      <c r="E22" s="477"/>
      <c r="F22" s="477"/>
      <c r="G22" s="477"/>
      <c r="H22" s="474"/>
      <c r="I22" s="616"/>
      <c r="J22" s="477"/>
      <c r="K22" s="1603">
        <f t="shared" si="0"/>
        <v>0</v>
      </c>
      <c r="L22" s="471">
        <v>0</v>
      </c>
    </row>
    <row r="23" spans="1:12">
      <c r="A23" s="1438" t="s">
        <v>741</v>
      </c>
      <c r="B23" s="602" t="s">
        <v>728</v>
      </c>
      <c r="C23" s="477"/>
      <c r="D23" s="477"/>
      <c r="E23" s="477"/>
      <c r="F23" s="477"/>
      <c r="G23" s="477"/>
      <c r="H23" s="474"/>
      <c r="I23" s="616"/>
      <c r="J23" s="477"/>
      <c r="K23" s="1603">
        <f t="shared" si="0"/>
        <v>0</v>
      </c>
      <c r="L23" s="471">
        <v>0</v>
      </c>
    </row>
    <row r="24" spans="1:12" ht="13.15" customHeight="1">
      <c r="A24" s="1438" t="s">
        <v>742</v>
      </c>
      <c r="B24" s="602" t="s">
        <v>729</v>
      </c>
      <c r="C24" s="477"/>
      <c r="D24" s="477"/>
      <c r="E24" s="477"/>
      <c r="F24" s="477"/>
      <c r="G24" s="477"/>
      <c r="H24" s="474"/>
      <c r="I24" s="616"/>
      <c r="J24" s="477"/>
      <c r="K24" s="1603">
        <f t="shared" si="0"/>
        <v>0</v>
      </c>
      <c r="L24" s="471">
        <v>0</v>
      </c>
    </row>
    <row r="25" spans="1:12" ht="13.15" customHeight="1">
      <c r="A25" s="1438" t="s">
        <v>802</v>
      </c>
      <c r="B25" s="602" t="s">
        <v>730</v>
      </c>
      <c r="C25" s="477"/>
      <c r="D25" s="477"/>
      <c r="E25" s="477"/>
      <c r="F25" s="477"/>
      <c r="G25" s="477"/>
      <c r="H25" s="474"/>
      <c r="I25" s="616"/>
      <c r="J25" s="477"/>
      <c r="K25" s="1603">
        <f t="shared" si="0"/>
        <v>0</v>
      </c>
      <c r="L25" s="471">
        <v>0</v>
      </c>
    </row>
    <row r="26" spans="1:12">
      <c r="A26" s="1438" t="s">
        <v>622</v>
      </c>
      <c r="B26" s="602" t="s">
        <v>731</v>
      </c>
      <c r="C26" s="477"/>
      <c r="D26" s="477"/>
      <c r="E26" s="477"/>
      <c r="F26" s="477"/>
      <c r="G26" s="477"/>
      <c r="H26" s="474"/>
      <c r="I26" s="616"/>
      <c r="J26" s="477"/>
      <c r="K26" s="1603">
        <f t="shared" si="0"/>
        <v>0</v>
      </c>
      <c r="L26" s="471">
        <v>0</v>
      </c>
    </row>
    <row r="27" spans="1:12">
      <c r="A27" s="1438" t="s">
        <v>623</v>
      </c>
      <c r="B27" s="602" t="s">
        <v>732</v>
      </c>
      <c r="C27" s="477"/>
      <c r="D27" s="477"/>
      <c r="E27" s="477"/>
      <c r="F27" s="477"/>
      <c r="G27" s="477"/>
      <c r="H27" s="474"/>
      <c r="I27" s="616"/>
      <c r="J27" s="477"/>
      <c r="K27" s="1603">
        <f t="shared" si="0"/>
        <v>0</v>
      </c>
      <c r="L27" s="471">
        <v>0</v>
      </c>
    </row>
    <row r="28" spans="1:12">
      <c r="A28" s="1438" t="s">
        <v>150</v>
      </c>
      <c r="B28" s="602" t="s">
        <v>733</v>
      </c>
      <c r="C28" s="477"/>
      <c r="D28" s="477"/>
      <c r="E28" s="477"/>
      <c r="F28" s="477"/>
      <c r="G28" s="477"/>
      <c r="H28" s="474"/>
      <c r="I28" s="616"/>
      <c r="J28" s="477"/>
      <c r="K28" s="1603">
        <f t="shared" si="0"/>
        <v>0</v>
      </c>
      <c r="L28" s="471">
        <v>0</v>
      </c>
    </row>
    <row r="29" spans="1:12">
      <c r="A29" s="1438" t="s">
        <v>151</v>
      </c>
      <c r="B29" s="602" t="s">
        <v>734</v>
      </c>
      <c r="C29" s="477"/>
      <c r="D29" s="477"/>
      <c r="E29" s="477"/>
      <c r="F29" s="477"/>
      <c r="G29" s="477"/>
      <c r="H29" s="474"/>
      <c r="I29" s="616"/>
      <c r="J29" s="477"/>
      <c r="K29" s="1603">
        <f t="shared" si="0"/>
        <v>0</v>
      </c>
      <c r="L29" s="471">
        <v>0</v>
      </c>
    </row>
    <row r="30" spans="1:12">
      <c r="A30" s="1438" t="s">
        <v>152</v>
      </c>
      <c r="B30" s="602" t="s">
        <v>735</v>
      </c>
      <c r="C30" s="477"/>
      <c r="D30" s="477"/>
      <c r="E30" s="477"/>
      <c r="F30" s="477"/>
      <c r="G30" s="477"/>
      <c r="H30" s="474"/>
      <c r="I30" s="616"/>
      <c r="J30" s="477"/>
      <c r="K30" s="1603">
        <f t="shared" si="0"/>
        <v>0</v>
      </c>
      <c r="L30" s="471">
        <v>0</v>
      </c>
    </row>
    <row r="31" spans="1:12">
      <c r="A31" s="1438" t="s">
        <v>153</v>
      </c>
      <c r="B31" s="602" t="s">
        <v>736</v>
      </c>
      <c r="C31" s="477"/>
      <c r="D31" s="477"/>
      <c r="E31" s="477"/>
      <c r="F31" s="477"/>
      <c r="G31" s="477"/>
      <c r="H31" s="474"/>
      <c r="I31" s="616"/>
      <c r="J31" s="477"/>
      <c r="K31" s="1603">
        <f t="shared" si="0"/>
        <v>0</v>
      </c>
      <c r="L31" s="471">
        <v>0</v>
      </c>
    </row>
    <row r="32" spans="1:12">
      <c r="A32" s="1439" t="s">
        <v>1129</v>
      </c>
      <c r="B32" s="614" t="s">
        <v>737</v>
      </c>
      <c r="C32" s="477"/>
      <c r="D32" s="477"/>
      <c r="E32" s="477"/>
      <c r="F32" s="477"/>
      <c r="G32" s="477"/>
      <c r="H32" s="474"/>
      <c r="I32" s="616"/>
      <c r="J32" s="480"/>
      <c r="K32" s="1603">
        <f t="shared" si="0"/>
        <v>0</v>
      </c>
      <c r="L32" s="471">
        <v>0</v>
      </c>
    </row>
    <row r="33" spans="1:14" ht="13.15" customHeight="1" thickBot="1">
      <c r="A33" s="1600" t="s">
        <v>1641</v>
      </c>
      <c r="B33" s="1601" t="s">
        <v>570</v>
      </c>
      <c r="C33" s="1602">
        <f>SUM(C5:C32)</f>
        <v>10648601</v>
      </c>
      <c r="D33" s="1602">
        <f t="shared" ref="D33:L33" si="1">SUM(D5:D32)</f>
        <v>3718451</v>
      </c>
      <c r="E33" s="1602">
        <f t="shared" si="1"/>
        <v>153330</v>
      </c>
      <c r="F33" s="1602">
        <f t="shared" si="1"/>
        <v>123464</v>
      </c>
      <c r="G33" s="1602">
        <f t="shared" si="1"/>
        <v>199683</v>
      </c>
      <c r="H33" s="1602">
        <f t="shared" si="1"/>
        <v>52312</v>
      </c>
      <c r="I33" s="1602">
        <f t="shared" si="1"/>
        <v>0</v>
      </c>
      <c r="J33" s="1602">
        <f t="shared" si="1"/>
        <v>0</v>
      </c>
      <c r="K33" s="1602">
        <f t="shared" si="1"/>
        <v>14895841</v>
      </c>
      <c r="L33" s="1602">
        <f t="shared" si="1"/>
        <v>16141796</v>
      </c>
    </row>
    <row r="34" spans="1:14" s="620" customFormat="1" ht="15.75" customHeight="1" thickTop="1">
      <c r="A34" s="1541" t="s">
        <v>46</v>
      </c>
      <c r="B34" s="1542"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7" t="s">
        <v>1089</v>
      </c>
      <c r="B36" s="614">
        <v>2110</v>
      </c>
      <c r="C36" s="481"/>
      <c r="D36" s="481"/>
      <c r="E36" s="481"/>
      <c r="F36" s="481"/>
      <c r="G36" s="481"/>
      <c r="H36" s="481"/>
      <c r="I36" s="467"/>
      <c r="J36" s="467"/>
      <c r="K36" s="1603">
        <f t="shared" ref="K36:K41" si="2">SUM(C36:J36)</f>
        <v>0</v>
      </c>
      <c r="L36" s="466">
        <v>0</v>
      </c>
    </row>
    <row r="37" spans="1:14">
      <c r="A37" s="1437" t="s">
        <v>1090</v>
      </c>
      <c r="B37" s="614">
        <v>2120</v>
      </c>
      <c r="C37" s="466">
        <v>444634</v>
      </c>
      <c r="D37" s="466">
        <v>352106</v>
      </c>
      <c r="E37" s="466"/>
      <c r="F37" s="466"/>
      <c r="G37" s="466"/>
      <c r="H37" s="466"/>
      <c r="I37" s="467"/>
      <c r="J37" s="467"/>
      <c r="K37" s="1603">
        <f t="shared" si="2"/>
        <v>796740</v>
      </c>
      <c r="L37" s="466">
        <v>482125</v>
      </c>
    </row>
    <row r="38" spans="1:14">
      <c r="A38" s="1437" t="s">
        <v>198</v>
      </c>
      <c r="B38" s="614">
        <v>2130</v>
      </c>
      <c r="C38" s="466">
        <v>156159</v>
      </c>
      <c r="D38" s="466"/>
      <c r="E38" s="466">
        <v>1038</v>
      </c>
      <c r="F38" s="466">
        <v>5361</v>
      </c>
      <c r="G38" s="466"/>
      <c r="H38" s="466"/>
      <c r="I38" s="467"/>
      <c r="J38" s="467"/>
      <c r="K38" s="1603">
        <f t="shared" si="2"/>
        <v>162558</v>
      </c>
      <c r="L38" s="466">
        <v>114500</v>
      </c>
    </row>
    <row r="39" spans="1:14">
      <c r="A39" s="1437" t="s">
        <v>199</v>
      </c>
      <c r="B39" s="614">
        <v>2140</v>
      </c>
      <c r="C39" s="466"/>
      <c r="D39" s="466"/>
      <c r="E39" s="466"/>
      <c r="F39" s="466"/>
      <c r="G39" s="466"/>
      <c r="H39" s="466"/>
      <c r="I39" s="467"/>
      <c r="J39" s="467"/>
      <c r="K39" s="1603">
        <f t="shared" si="2"/>
        <v>0</v>
      </c>
      <c r="L39" s="466">
        <v>0</v>
      </c>
    </row>
    <row r="40" spans="1:14">
      <c r="A40" s="1437" t="s">
        <v>200</v>
      </c>
      <c r="B40" s="614">
        <v>2150</v>
      </c>
      <c r="C40" s="466">
        <v>79446</v>
      </c>
      <c r="D40" s="466">
        <v>9802</v>
      </c>
      <c r="E40" s="466"/>
      <c r="F40" s="466"/>
      <c r="G40" s="466"/>
      <c r="H40" s="466"/>
      <c r="I40" s="467"/>
      <c r="J40" s="467"/>
      <c r="K40" s="1603">
        <f t="shared" si="2"/>
        <v>89248</v>
      </c>
      <c r="L40" s="466">
        <v>89220</v>
      </c>
    </row>
    <row r="41" spans="1:14">
      <c r="A41" s="1437" t="s">
        <v>1642</v>
      </c>
      <c r="B41" s="614">
        <v>2190</v>
      </c>
      <c r="C41" s="466">
        <v>9028</v>
      </c>
      <c r="D41" s="466">
        <v>116</v>
      </c>
      <c r="E41" s="466"/>
      <c r="F41" s="466"/>
      <c r="G41" s="466"/>
      <c r="H41" s="466"/>
      <c r="I41" s="467"/>
      <c r="J41" s="467"/>
      <c r="K41" s="1603">
        <f t="shared" si="2"/>
        <v>9144</v>
      </c>
      <c r="L41" s="466">
        <v>0</v>
      </c>
    </row>
    <row r="42" spans="1:14" ht="13.15" customHeight="1" thickBot="1">
      <c r="A42" s="1600" t="s">
        <v>560</v>
      </c>
      <c r="B42" s="1601" t="s">
        <v>716</v>
      </c>
      <c r="C42" s="1602">
        <f>SUM(C36:C41)</f>
        <v>689267</v>
      </c>
      <c r="D42" s="1602">
        <f t="shared" ref="D42:L42" si="3">SUM(D36:D41)</f>
        <v>362024</v>
      </c>
      <c r="E42" s="1602">
        <f t="shared" si="3"/>
        <v>1038</v>
      </c>
      <c r="F42" s="1602">
        <f t="shared" si="3"/>
        <v>5361</v>
      </c>
      <c r="G42" s="1602">
        <f t="shared" si="3"/>
        <v>0</v>
      </c>
      <c r="H42" s="1602">
        <f t="shared" si="3"/>
        <v>0</v>
      </c>
      <c r="I42" s="1602">
        <f t="shared" si="3"/>
        <v>0</v>
      </c>
      <c r="J42" s="1602">
        <f t="shared" si="3"/>
        <v>0</v>
      </c>
      <c r="K42" s="1602">
        <f t="shared" si="3"/>
        <v>1057690</v>
      </c>
      <c r="L42" s="1602">
        <f t="shared" si="3"/>
        <v>685845</v>
      </c>
    </row>
    <row r="43" spans="1:14" ht="15.75" customHeight="1" thickTop="1">
      <c r="A43" s="624" t="s">
        <v>592</v>
      </c>
      <c r="B43" s="625"/>
      <c r="C43" s="626"/>
      <c r="D43" s="626"/>
      <c r="E43" s="626"/>
      <c r="F43" s="626"/>
      <c r="G43" s="626"/>
      <c r="H43" s="626"/>
      <c r="I43" s="616"/>
      <c r="J43" s="616"/>
      <c r="K43" s="626"/>
      <c r="L43" s="626"/>
    </row>
    <row r="44" spans="1:14">
      <c r="A44" s="1437" t="s">
        <v>814</v>
      </c>
      <c r="B44" s="614">
        <v>2210</v>
      </c>
      <c r="C44" s="481">
        <v>204979</v>
      </c>
      <c r="D44" s="481">
        <v>76384</v>
      </c>
      <c r="E44" s="481">
        <v>62720</v>
      </c>
      <c r="F44" s="481">
        <v>109688</v>
      </c>
      <c r="G44" s="481"/>
      <c r="H44" s="481">
        <v>13555</v>
      </c>
      <c r="I44" s="467"/>
      <c r="J44" s="467"/>
      <c r="K44" s="1604">
        <f>SUM(C44:J44)</f>
        <v>467326</v>
      </c>
      <c r="L44" s="481">
        <v>449019</v>
      </c>
    </row>
    <row r="45" spans="1:14">
      <c r="A45" s="1437" t="s">
        <v>815</v>
      </c>
      <c r="B45" s="614">
        <v>2220</v>
      </c>
      <c r="C45" s="466">
        <v>44060</v>
      </c>
      <c r="D45" s="466"/>
      <c r="E45" s="466">
        <v>153</v>
      </c>
      <c r="F45" s="466">
        <v>18735</v>
      </c>
      <c r="G45" s="466"/>
      <c r="H45" s="466"/>
      <c r="I45" s="467"/>
      <c r="J45" s="467"/>
      <c r="K45" s="1604">
        <f>SUM(C45:J45)</f>
        <v>62948</v>
      </c>
      <c r="L45" s="466">
        <v>61165</v>
      </c>
    </row>
    <row r="46" spans="1:14">
      <c r="A46" s="1437" t="s">
        <v>816</v>
      </c>
      <c r="B46" s="614">
        <v>2230</v>
      </c>
      <c r="C46" s="466"/>
      <c r="D46" s="466"/>
      <c r="E46" s="466">
        <v>98430</v>
      </c>
      <c r="F46" s="466"/>
      <c r="G46" s="466"/>
      <c r="H46" s="466"/>
      <c r="I46" s="467"/>
      <c r="J46" s="467"/>
      <c r="K46" s="1604">
        <f>SUM(C46:J46)</f>
        <v>98430</v>
      </c>
      <c r="L46" s="466">
        <v>0</v>
      </c>
    </row>
    <row r="47" spans="1:14" ht="13.15" customHeight="1" thickBot="1">
      <c r="A47" s="1600" t="s">
        <v>561</v>
      </c>
      <c r="B47" s="1601" t="s">
        <v>32</v>
      </c>
      <c r="C47" s="1602">
        <f>SUM(C44:C46)</f>
        <v>249039</v>
      </c>
      <c r="D47" s="1602">
        <f t="shared" ref="D47:K47" si="4">SUM(D44:D46)</f>
        <v>76384</v>
      </c>
      <c r="E47" s="1602">
        <f t="shared" si="4"/>
        <v>161303</v>
      </c>
      <c r="F47" s="1602">
        <f t="shared" si="4"/>
        <v>128423</v>
      </c>
      <c r="G47" s="1602">
        <f t="shared" si="4"/>
        <v>0</v>
      </c>
      <c r="H47" s="1602">
        <f t="shared" si="4"/>
        <v>13555</v>
      </c>
      <c r="I47" s="1602">
        <f t="shared" si="4"/>
        <v>0</v>
      </c>
      <c r="J47" s="1602">
        <f t="shared" si="4"/>
        <v>0</v>
      </c>
      <c r="K47" s="1602">
        <f t="shared" si="4"/>
        <v>628704</v>
      </c>
      <c r="L47" s="1602">
        <f>SUM(L44:L46)</f>
        <v>510184</v>
      </c>
    </row>
    <row r="48" spans="1:14" ht="15.75" customHeight="1" thickTop="1">
      <c r="A48" s="624" t="s">
        <v>610</v>
      </c>
      <c r="B48" s="625"/>
      <c r="C48" s="626"/>
      <c r="D48" s="626"/>
      <c r="E48" s="626"/>
      <c r="F48" s="626"/>
      <c r="G48" s="626"/>
      <c r="H48" s="626"/>
      <c r="I48" s="616"/>
      <c r="J48" s="616"/>
      <c r="K48" s="626"/>
      <c r="L48" s="626"/>
    </row>
    <row r="49" spans="1:14">
      <c r="A49" s="1437" t="s">
        <v>817</v>
      </c>
      <c r="B49" s="614">
        <v>2310</v>
      </c>
      <c r="C49" s="481"/>
      <c r="D49" s="481"/>
      <c r="E49" s="481">
        <v>164754</v>
      </c>
      <c r="F49" s="481">
        <v>66790</v>
      </c>
      <c r="G49" s="481"/>
      <c r="H49" s="481">
        <v>10114</v>
      </c>
      <c r="I49" s="467"/>
      <c r="J49" s="467"/>
      <c r="K49" s="1604">
        <f>SUM(C49:J49)</f>
        <v>241658</v>
      </c>
      <c r="L49" s="481">
        <v>234260</v>
      </c>
    </row>
    <row r="50" spans="1:14">
      <c r="A50" s="1437" t="s">
        <v>818</v>
      </c>
      <c r="B50" s="614">
        <v>2320</v>
      </c>
      <c r="C50" s="466">
        <v>193683</v>
      </c>
      <c r="D50" s="466">
        <v>94529</v>
      </c>
      <c r="E50" s="466">
        <v>1099</v>
      </c>
      <c r="F50" s="466">
        <v>1280</v>
      </c>
      <c r="G50" s="466"/>
      <c r="H50" s="466">
        <v>1993</v>
      </c>
      <c r="I50" s="467"/>
      <c r="J50" s="467"/>
      <c r="K50" s="1604">
        <f>SUM(C50:J50)</f>
        <v>292584</v>
      </c>
      <c r="L50" s="466">
        <v>207052</v>
      </c>
    </row>
    <row r="51" spans="1:14">
      <c r="A51" s="1437" t="s">
        <v>42</v>
      </c>
      <c r="B51" s="614">
        <v>2330</v>
      </c>
      <c r="C51" s="466"/>
      <c r="D51" s="466"/>
      <c r="E51" s="466"/>
      <c r="F51" s="466"/>
      <c r="G51" s="466"/>
      <c r="H51" s="466"/>
      <c r="I51" s="467"/>
      <c r="J51" s="467"/>
      <c r="K51" s="1604">
        <f>SUM(C51:J51)</f>
        <v>0</v>
      </c>
      <c r="L51" s="466">
        <v>0</v>
      </c>
    </row>
    <row r="52" spans="1:14" ht="22.5">
      <c r="A52" s="1438" t="s">
        <v>298</v>
      </c>
      <c r="B52" s="627" t="s">
        <v>366</v>
      </c>
      <c r="C52" s="474"/>
      <c r="D52" s="474"/>
      <c r="E52" s="474"/>
      <c r="F52" s="474"/>
      <c r="G52" s="474"/>
      <c r="H52" s="474"/>
      <c r="I52" s="474"/>
      <c r="J52" s="474"/>
      <c r="K52" s="1604">
        <f>SUM(C52:J52)</f>
        <v>0</v>
      </c>
      <c r="L52" s="474">
        <v>0</v>
      </c>
    </row>
    <row r="53" spans="1:14" ht="13.15" customHeight="1" thickBot="1">
      <c r="A53" s="1600" t="s">
        <v>717</v>
      </c>
      <c r="B53" s="1601" t="s">
        <v>33</v>
      </c>
      <c r="C53" s="1602">
        <f>SUM(C49:C52)</f>
        <v>193683</v>
      </c>
      <c r="D53" s="1602">
        <f t="shared" ref="D53:L53" si="5">SUM(D49:D52)</f>
        <v>94529</v>
      </c>
      <c r="E53" s="1602">
        <f t="shared" si="5"/>
        <v>165853</v>
      </c>
      <c r="F53" s="1602">
        <f t="shared" si="5"/>
        <v>68070</v>
      </c>
      <c r="G53" s="1602">
        <f t="shared" si="5"/>
        <v>0</v>
      </c>
      <c r="H53" s="1602">
        <f t="shared" si="5"/>
        <v>12107</v>
      </c>
      <c r="I53" s="1602">
        <f t="shared" si="5"/>
        <v>0</v>
      </c>
      <c r="J53" s="1602">
        <f t="shared" si="5"/>
        <v>0</v>
      </c>
      <c r="K53" s="1602">
        <f t="shared" si="5"/>
        <v>534242</v>
      </c>
      <c r="L53" s="1602">
        <f t="shared" si="5"/>
        <v>441312</v>
      </c>
    </row>
    <row r="54" spans="1:14" ht="15.75" customHeight="1" thickTop="1">
      <c r="A54" s="624" t="s">
        <v>611</v>
      </c>
      <c r="B54" s="625"/>
      <c r="C54" s="626"/>
      <c r="D54" s="626"/>
      <c r="E54" s="626"/>
      <c r="F54" s="626"/>
      <c r="G54" s="626"/>
      <c r="H54" s="626"/>
      <c r="I54" s="616"/>
      <c r="J54" s="616"/>
      <c r="K54" s="626"/>
      <c r="L54" s="626"/>
    </row>
    <row r="55" spans="1:14">
      <c r="A55" s="1437" t="s">
        <v>1067</v>
      </c>
      <c r="B55" s="614">
        <v>2410</v>
      </c>
      <c r="C55" s="481">
        <v>975034</v>
      </c>
      <c r="D55" s="481">
        <v>467025</v>
      </c>
      <c r="E55" s="481">
        <v>70120</v>
      </c>
      <c r="F55" s="481">
        <v>50526</v>
      </c>
      <c r="G55" s="481">
        <v>2776</v>
      </c>
      <c r="H55" s="481">
        <v>3926</v>
      </c>
      <c r="I55" s="467"/>
      <c r="J55" s="467"/>
      <c r="K55" s="1604">
        <f>SUM(C55:J55)</f>
        <v>1569407</v>
      </c>
      <c r="L55" s="481">
        <v>1197084</v>
      </c>
    </row>
    <row r="56" spans="1:14" ht="13.15" customHeight="1">
      <c r="A56" s="1441" t="s">
        <v>376</v>
      </c>
      <c r="B56" s="628">
        <v>2490</v>
      </c>
      <c r="C56" s="466"/>
      <c r="D56" s="466"/>
      <c r="E56" s="466"/>
      <c r="F56" s="466"/>
      <c r="G56" s="466"/>
      <c r="H56" s="466"/>
      <c r="I56" s="467"/>
      <c r="J56" s="467"/>
      <c r="K56" s="1604">
        <f>SUM(C56:J56)</f>
        <v>0</v>
      </c>
      <c r="L56" s="466">
        <v>0</v>
      </c>
    </row>
    <row r="57" spans="1:14" s="343" customFormat="1" ht="13.15" customHeight="1" thickBot="1">
      <c r="A57" s="1600" t="s">
        <v>263</v>
      </c>
      <c r="B57" s="1605" t="s">
        <v>34</v>
      </c>
      <c r="C57" s="1606">
        <f>SUM(C55:C56)</f>
        <v>975034</v>
      </c>
      <c r="D57" s="1606">
        <f t="shared" ref="D57:K57" si="6">SUM(D55:D56)</f>
        <v>467025</v>
      </c>
      <c r="E57" s="1606">
        <f t="shared" si="6"/>
        <v>70120</v>
      </c>
      <c r="F57" s="1606">
        <f t="shared" si="6"/>
        <v>50526</v>
      </c>
      <c r="G57" s="1606">
        <f t="shared" si="6"/>
        <v>2776</v>
      </c>
      <c r="H57" s="1606">
        <f t="shared" si="6"/>
        <v>3926</v>
      </c>
      <c r="I57" s="1606">
        <f t="shared" si="6"/>
        <v>0</v>
      </c>
      <c r="J57" s="1606">
        <f t="shared" si="6"/>
        <v>0</v>
      </c>
      <c r="K57" s="1606">
        <f t="shared" si="6"/>
        <v>1569407</v>
      </c>
      <c r="L57" s="1602">
        <f>SUM(L55:L56)</f>
        <v>1197084</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7" t="s">
        <v>1068</v>
      </c>
      <c r="B59" s="614">
        <v>2510</v>
      </c>
      <c r="C59" s="481">
        <v>112848</v>
      </c>
      <c r="D59" s="481">
        <v>70668</v>
      </c>
      <c r="E59" s="481">
        <v>305</v>
      </c>
      <c r="F59" s="481">
        <v>1847</v>
      </c>
      <c r="G59" s="481"/>
      <c r="H59" s="481">
        <v>885</v>
      </c>
      <c r="I59" s="467"/>
      <c r="J59" s="467"/>
      <c r="K59" s="1604">
        <f t="shared" ref="K59:K64" si="7">SUM(C59:J59)</f>
        <v>186553</v>
      </c>
      <c r="L59" s="481">
        <v>108570</v>
      </c>
      <c r="M59" s="609"/>
      <c r="N59" s="609"/>
    </row>
    <row r="60" spans="1:14" s="343" customFormat="1">
      <c r="A60" s="1437" t="s">
        <v>463</v>
      </c>
      <c r="B60" s="614">
        <v>2520</v>
      </c>
      <c r="C60" s="466">
        <v>36718</v>
      </c>
      <c r="D60" s="466"/>
      <c r="E60" s="466">
        <v>336</v>
      </c>
      <c r="F60" s="466"/>
      <c r="G60" s="466"/>
      <c r="H60" s="466"/>
      <c r="I60" s="467"/>
      <c r="J60" s="467"/>
      <c r="K60" s="1604">
        <f t="shared" si="7"/>
        <v>37054</v>
      </c>
      <c r="L60" s="466">
        <v>35225</v>
      </c>
      <c r="M60" s="609"/>
      <c r="N60" s="609"/>
    </row>
    <row r="61" spans="1:14" s="343" customFormat="1">
      <c r="A61" s="1437" t="s">
        <v>197</v>
      </c>
      <c r="B61" s="614">
        <v>2540</v>
      </c>
      <c r="C61" s="466"/>
      <c r="D61" s="466"/>
      <c r="E61" s="466"/>
      <c r="F61" s="466"/>
      <c r="G61" s="466"/>
      <c r="H61" s="466"/>
      <c r="I61" s="467"/>
      <c r="J61" s="467"/>
      <c r="K61" s="1604">
        <f t="shared" si="7"/>
        <v>0</v>
      </c>
      <c r="L61" s="466">
        <v>0</v>
      </c>
      <c r="M61" s="609"/>
      <c r="N61" s="609"/>
    </row>
    <row r="62" spans="1:14" s="343" customFormat="1">
      <c r="A62" s="1437" t="s">
        <v>953</v>
      </c>
      <c r="B62" s="614">
        <v>2550</v>
      </c>
      <c r="C62" s="466"/>
      <c r="D62" s="466"/>
      <c r="E62" s="466"/>
      <c r="F62" s="466"/>
      <c r="G62" s="466"/>
      <c r="H62" s="466"/>
      <c r="I62" s="467"/>
      <c r="J62" s="467"/>
      <c r="K62" s="1604">
        <f t="shared" si="7"/>
        <v>0</v>
      </c>
      <c r="L62" s="466">
        <v>0</v>
      </c>
      <c r="M62" s="609"/>
      <c r="N62" s="609"/>
    </row>
    <row r="63" spans="1:14" s="609" customFormat="1">
      <c r="A63" s="1437" t="s">
        <v>100</v>
      </c>
      <c r="B63" s="614">
        <v>2560</v>
      </c>
      <c r="C63" s="466"/>
      <c r="D63" s="466"/>
      <c r="E63" s="466">
        <v>622673</v>
      </c>
      <c r="F63" s="466">
        <v>10879</v>
      </c>
      <c r="G63" s="466"/>
      <c r="H63" s="466"/>
      <c r="I63" s="467"/>
      <c r="J63" s="467"/>
      <c r="K63" s="1604">
        <f t="shared" si="7"/>
        <v>633552</v>
      </c>
      <c r="L63" s="466">
        <v>649525</v>
      </c>
    </row>
    <row r="64" spans="1:14" s="609" customFormat="1">
      <c r="A64" s="1442" t="s">
        <v>101</v>
      </c>
      <c r="B64" s="630">
        <v>2570</v>
      </c>
      <c r="C64" s="481">
        <v>39487</v>
      </c>
      <c r="D64" s="481"/>
      <c r="E64" s="481"/>
      <c r="F64" s="481">
        <v>493</v>
      </c>
      <c r="G64" s="481"/>
      <c r="H64" s="481"/>
      <c r="I64" s="467"/>
      <c r="J64" s="467"/>
      <c r="K64" s="1604">
        <f t="shared" si="7"/>
        <v>39980</v>
      </c>
      <c r="L64" s="481">
        <v>37275</v>
      </c>
    </row>
    <row r="65" spans="1:14" s="343" customFormat="1" ht="13.15" customHeight="1" thickBot="1">
      <c r="A65" s="1600" t="s">
        <v>719</v>
      </c>
      <c r="B65" s="1601" t="s">
        <v>35</v>
      </c>
      <c r="C65" s="1602">
        <f>SUM(C59:C64)</f>
        <v>189053</v>
      </c>
      <c r="D65" s="1602">
        <f t="shared" ref="D65:L65" si="8">SUM(D59:D64)</f>
        <v>70668</v>
      </c>
      <c r="E65" s="1602">
        <f t="shared" si="8"/>
        <v>623314</v>
      </c>
      <c r="F65" s="1602">
        <f t="shared" si="8"/>
        <v>13219</v>
      </c>
      <c r="G65" s="1602">
        <f t="shared" si="8"/>
        <v>0</v>
      </c>
      <c r="H65" s="1602">
        <f t="shared" si="8"/>
        <v>885</v>
      </c>
      <c r="I65" s="1602">
        <f t="shared" si="8"/>
        <v>0</v>
      </c>
      <c r="J65" s="1602">
        <f t="shared" si="8"/>
        <v>0</v>
      </c>
      <c r="K65" s="1602">
        <f t="shared" si="8"/>
        <v>897139</v>
      </c>
      <c r="L65" s="1602">
        <f t="shared" si="8"/>
        <v>830595</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7" t="s">
        <v>1060</v>
      </c>
      <c r="B67" s="614">
        <v>2610</v>
      </c>
      <c r="C67" s="466"/>
      <c r="D67" s="466"/>
      <c r="E67" s="466"/>
      <c r="F67" s="466"/>
      <c r="G67" s="466"/>
      <c r="H67" s="466"/>
      <c r="I67" s="467"/>
      <c r="J67" s="467"/>
      <c r="K67" s="1604">
        <f>SUM(C67:J67)</f>
        <v>0</v>
      </c>
      <c r="L67" s="481">
        <v>0</v>
      </c>
      <c r="M67" s="609"/>
      <c r="N67" s="609"/>
    </row>
    <row r="68" spans="1:14" s="343" customFormat="1">
      <c r="A68" s="1437" t="s">
        <v>607</v>
      </c>
      <c r="B68" s="614">
        <v>2620</v>
      </c>
      <c r="C68" s="466"/>
      <c r="D68" s="466"/>
      <c r="E68" s="466"/>
      <c r="F68" s="466"/>
      <c r="G68" s="466"/>
      <c r="H68" s="466"/>
      <c r="I68" s="467"/>
      <c r="J68" s="467"/>
      <c r="K68" s="1604">
        <f>SUM(C68:J68)</f>
        <v>0</v>
      </c>
      <c r="L68" s="466">
        <v>0</v>
      </c>
      <c r="M68" s="609"/>
      <c r="N68" s="609"/>
    </row>
    <row r="69" spans="1:14" s="343" customFormat="1">
      <c r="A69" s="1437" t="s">
        <v>1061</v>
      </c>
      <c r="B69" s="614">
        <v>2630</v>
      </c>
      <c r="C69" s="466"/>
      <c r="D69" s="466"/>
      <c r="E69" s="466"/>
      <c r="F69" s="466"/>
      <c r="G69" s="466"/>
      <c r="H69" s="466"/>
      <c r="I69" s="467"/>
      <c r="J69" s="467"/>
      <c r="K69" s="1604">
        <f>SUM(C69:J69)</f>
        <v>0</v>
      </c>
      <c r="L69" s="466">
        <v>0</v>
      </c>
      <c r="M69" s="609"/>
      <c r="N69" s="609"/>
    </row>
    <row r="70" spans="1:14" s="343" customFormat="1">
      <c r="A70" s="1437" t="s">
        <v>403</v>
      </c>
      <c r="B70" s="614">
        <v>2640</v>
      </c>
      <c r="C70" s="466"/>
      <c r="D70" s="466"/>
      <c r="E70" s="466"/>
      <c r="F70" s="466"/>
      <c r="G70" s="466"/>
      <c r="H70" s="466"/>
      <c r="I70" s="467"/>
      <c r="J70" s="467"/>
      <c r="K70" s="1604">
        <f>SUM(C70:J70)</f>
        <v>0</v>
      </c>
      <c r="L70" s="466">
        <v>0</v>
      </c>
      <c r="M70" s="609"/>
      <c r="N70" s="609"/>
    </row>
    <row r="71" spans="1:14" s="343" customFormat="1">
      <c r="A71" s="1437" t="s">
        <v>404</v>
      </c>
      <c r="B71" s="614">
        <v>2660</v>
      </c>
      <c r="C71" s="466"/>
      <c r="D71" s="466"/>
      <c r="E71" s="466"/>
      <c r="F71" s="466"/>
      <c r="G71" s="466"/>
      <c r="H71" s="466"/>
      <c r="I71" s="467"/>
      <c r="J71" s="467"/>
      <c r="K71" s="1604">
        <f>SUM(C71:J71)</f>
        <v>0</v>
      </c>
      <c r="L71" s="466">
        <v>0</v>
      </c>
      <c r="M71" s="609"/>
      <c r="N71" s="609"/>
    </row>
    <row r="72" spans="1:14" s="343" customFormat="1" ht="13.15" customHeight="1" thickBot="1">
      <c r="A72" s="1600" t="s">
        <v>37</v>
      </c>
      <c r="B72" s="1607" t="s">
        <v>36</v>
      </c>
      <c r="C72" s="1602">
        <f>SUM(C67:C71)</f>
        <v>0</v>
      </c>
      <c r="D72" s="1602">
        <f t="shared" ref="D72:K72" si="9">SUM(D67:D71)</f>
        <v>0</v>
      </c>
      <c r="E72" s="1602">
        <f t="shared" si="9"/>
        <v>0</v>
      </c>
      <c r="F72" s="1602">
        <f t="shared" si="9"/>
        <v>0</v>
      </c>
      <c r="G72" s="1602">
        <f t="shared" si="9"/>
        <v>0</v>
      </c>
      <c r="H72" s="1602">
        <f t="shared" si="9"/>
        <v>0</v>
      </c>
      <c r="I72" s="1602">
        <f t="shared" si="9"/>
        <v>0</v>
      </c>
      <c r="J72" s="1602">
        <f t="shared" si="9"/>
        <v>0</v>
      </c>
      <c r="K72" s="1602">
        <f t="shared" si="9"/>
        <v>0</v>
      </c>
      <c r="L72" s="1602">
        <f>SUM(L67:L71)</f>
        <v>0</v>
      </c>
      <c r="M72" s="609"/>
      <c r="N72" s="609"/>
    </row>
    <row r="73" spans="1:14" s="343" customFormat="1" ht="14.25" thickTop="1" thickBot="1">
      <c r="A73" s="1443" t="s">
        <v>980</v>
      </c>
      <c r="B73" s="632" t="s">
        <v>574</v>
      </c>
      <c r="C73" s="573"/>
      <c r="D73" s="573"/>
      <c r="E73" s="573"/>
      <c r="F73" s="573"/>
      <c r="G73" s="573"/>
      <c r="H73" s="573"/>
      <c r="I73" s="531"/>
      <c r="J73" s="531"/>
      <c r="K73" s="1602">
        <f>SUM(C73:J73)</f>
        <v>0</v>
      </c>
      <c r="L73" s="576">
        <v>8000</v>
      </c>
      <c r="M73" s="609"/>
      <c r="N73" s="609"/>
    </row>
    <row r="74" spans="1:14" ht="13.15" customHeight="1" thickTop="1" thickBot="1">
      <c r="A74" s="1600" t="s">
        <v>811</v>
      </c>
      <c r="B74" s="1608">
        <v>2000</v>
      </c>
      <c r="C74" s="1609">
        <f>SUM(C42,C47,C53,C57,C65,C72,C73)</f>
        <v>2296076</v>
      </c>
      <c r="D74" s="1609">
        <f t="shared" ref="D74:K74" si="10">SUM(D42,D47,D53,D57,D65,D72,D73)</f>
        <v>1070630</v>
      </c>
      <c r="E74" s="1609">
        <f t="shared" si="10"/>
        <v>1021628</v>
      </c>
      <c r="F74" s="1609">
        <f t="shared" si="10"/>
        <v>265599</v>
      </c>
      <c r="G74" s="1609">
        <f t="shared" si="10"/>
        <v>2776</v>
      </c>
      <c r="H74" s="1609">
        <f t="shared" si="10"/>
        <v>30473</v>
      </c>
      <c r="I74" s="1609">
        <f t="shared" si="10"/>
        <v>0</v>
      </c>
      <c r="J74" s="1609">
        <f t="shared" si="10"/>
        <v>0</v>
      </c>
      <c r="K74" s="1609">
        <f t="shared" si="10"/>
        <v>4687182</v>
      </c>
      <c r="L74" s="1609">
        <f>SUM(L42,L47,L53,L57,L65,L72,L73)</f>
        <v>3673020</v>
      </c>
    </row>
    <row r="75" spans="1:14" s="259" customFormat="1" ht="15.75" customHeight="1" thickTop="1" thickBot="1">
      <c r="A75" s="1543" t="s">
        <v>47</v>
      </c>
      <c r="B75" s="1544" t="s">
        <v>575</v>
      </c>
      <c r="C75" s="573">
        <v>35390</v>
      </c>
      <c r="D75" s="573"/>
      <c r="E75" s="573">
        <v>9968</v>
      </c>
      <c r="F75" s="573">
        <v>5949</v>
      </c>
      <c r="G75" s="573"/>
      <c r="H75" s="573"/>
      <c r="I75" s="531"/>
      <c r="J75" s="531"/>
      <c r="K75" s="1602">
        <f>SUM(C75:J75)</f>
        <v>51307</v>
      </c>
      <c r="L75" s="576">
        <v>61354</v>
      </c>
      <c r="M75" s="613"/>
      <c r="N75" s="613"/>
    </row>
    <row r="76" spans="1:14" s="633" customFormat="1" ht="15.75" customHeight="1" thickTop="1">
      <c r="A76" s="1545" t="s">
        <v>365</v>
      </c>
      <c r="B76" s="1542"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7" t="s">
        <v>496</v>
      </c>
      <c r="B78" s="614">
        <v>4110</v>
      </c>
      <c r="C78" s="616"/>
      <c r="D78" s="616"/>
      <c r="E78" s="481"/>
      <c r="F78" s="616"/>
      <c r="G78" s="616"/>
      <c r="H78" s="634"/>
      <c r="I78" s="477"/>
      <c r="J78" s="477"/>
      <c r="K78" s="1603">
        <f t="shared" ref="K78:K83" si="11">SUM(C78:J78)</f>
        <v>0</v>
      </c>
      <c r="L78" s="481">
        <v>0</v>
      </c>
    </row>
    <row r="79" spans="1:14">
      <c r="A79" s="1437" t="s">
        <v>304</v>
      </c>
      <c r="B79" s="614">
        <v>4120</v>
      </c>
      <c r="C79" s="616"/>
      <c r="D79" s="616"/>
      <c r="E79" s="466"/>
      <c r="F79" s="616"/>
      <c r="G79" s="616"/>
      <c r="H79" s="466">
        <v>1108176</v>
      </c>
      <c r="I79" s="477"/>
      <c r="J79" s="477"/>
      <c r="K79" s="1603">
        <f t="shared" si="11"/>
        <v>1108176</v>
      </c>
      <c r="L79" s="466">
        <v>1027083</v>
      </c>
    </row>
    <row r="80" spans="1:14">
      <c r="A80" s="1437" t="s">
        <v>305</v>
      </c>
      <c r="B80" s="614">
        <v>4130</v>
      </c>
      <c r="C80" s="616"/>
      <c r="D80" s="616"/>
      <c r="E80" s="466"/>
      <c r="F80" s="616"/>
      <c r="G80" s="616"/>
      <c r="H80" s="466"/>
      <c r="I80" s="477"/>
      <c r="J80" s="477"/>
      <c r="K80" s="1603">
        <f t="shared" si="11"/>
        <v>0</v>
      </c>
      <c r="L80" s="466">
        <v>0</v>
      </c>
    </row>
    <row r="81" spans="1:12">
      <c r="A81" s="1437" t="s">
        <v>697</v>
      </c>
      <c r="B81" s="614">
        <v>4140</v>
      </c>
      <c r="C81" s="616"/>
      <c r="D81" s="616"/>
      <c r="E81" s="466"/>
      <c r="F81" s="616"/>
      <c r="G81" s="616"/>
      <c r="H81" s="466"/>
      <c r="I81" s="477"/>
      <c r="J81" s="477"/>
      <c r="K81" s="1603">
        <f t="shared" si="11"/>
        <v>0</v>
      </c>
      <c r="L81" s="466">
        <v>0</v>
      </c>
    </row>
    <row r="82" spans="1:12">
      <c r="A82" s="1437" t="s">
        <v>86</v>
      </c>
      <c r="B82" s="614">
        <v>4170</v>
      </c>
      <c r="C82" s="616"/>
      <c r="D82" s="616"/>
      <c r="E82" s="466"/>
      <c r="F82" s="616"/>
      <c r="G82" s="616"/>
      <c r="H82" s="466"/>
      <c r="I82" s="477"/>
      <c r="J82" s="477"/>
      <c r="K82" s="1603">
        <f t="shared" si="11"/>
        <v>0</v>
      </c>
      <c r="L82" s="466">
        <v>0</v>
      </c>
    </row>
    <row r="83" spans="1:12">
      <c r="A83" s="1441" t="s">
        <v>698</v>
      </c>
      <c r="B83" s="628">
        <v>4190</v>
      </c>
      <c r="C83" s="616"/>
      <c r="D83" s="616"/>
      <c r="E83" s="466"/>
      <c r="F83" s="616"/>
      <c r="G83" s="616"/>
      <c r="H83" s="466">
        <v>35469</v>
      </c>
      <c r="I83" s="477"/>
      <c r="J83" s="477"/>
      <c r="K83" s="1603">
        <f t="shared" si="11"/>
        <v>35469</v>
      </c>
      <c r="L83" s="466">
        <v>0</v>
      </c>
    </row>
    <row r="84" spans="1:12" ht="13.5" thickBot="1">
      <c r="A84" s="1600" t="s">
        <v>1464</v>
      </c>
      <c r="B84" s="1610">
        <v>4100</v>
      </c>
      <c r="C84" s="616"/>
      <c r="D84" s="616"/>
      <c r="E84" s="1602">
        <f>SUM(E78:E83)</f>
        <v>0</v>
      </c>
      <c r="F84" s="616"/>
      <c r="G84" s="616"/>
      <c r="H84" s="1602">
        <f>SUM(H78:H83)</f>
        <v>1143645</v>
      </c>
      <c r="I84" s="477"/>
      <c r="J84" s="477"/>
      <c r="K84" s="1602">
        <f>SUM(K78:K83)</f>
        <v>1143645</v>
      </c>
      <c r="L84" s="1602">
        <f>SUM(L78:L83)</f>
        <v>1027083</v>
      </c>
    </row>
    <row r="85" spans="1:12" ht="13.15" customHeight="1" thickTop="1" thickBot="1">
      <c r="A85" s="1444" t="s">
        <v>255</v>
      </c>
      <c r="B85" s="635">
        <v>4210</v>
      </c>
      <c r="C85" s="616"/>
      <c r="D85" s="616"/>
      <c r="E85" s="636"/>
      <c r="F85" s="616"/>
      <c r="G85" s="616"/>
      <c r="H85" s="535"/>
      <c r="I85" s="477"/>
      <c r="J85" s="477"/>
      <c r="K85" s="1609">
        <f>H85</f>
        <v>0</v>
      </c>
      <c r="L85" s="530">
        <v>0</v>
      </c>
    </row>
    <row r="86" spans="1:12" ht="13.15" customHeight="1" thickTop="1" thickBot="1">
      <c r="A86" s="1445" t="s">
        <v>699</v>
      </c>
      <c r="B86" s="637">
        <v>4220</v>
      </c>
      <c r="C86" s="616"/>
      <c r="D86" s="616"/>
      <c r="E86" s="638"/>
      <c r="F86" s="616"/>
      <c r="G86" s="616"/>
      <c r="H86" s="467">
        <v>843692</v>
      </c>
      <c r="I86" s="477"/>
      <c r="J86" s="477"/>
      <c r="K86" s="1609">
        <f t="shared" ref="K86:K98" si="12">H86</f>
        <v>843692</v>
      </c>
      <c r="L86" s="530">
        <v>582000</v>
      </c>
    </row>
    <row r="87" spans="1:12" ht="14.25" thickTop="1" thickBot="1">
      <c r="A87" s="1446" t="s">
        <v>700</v>
      </c>
      <c r="B87" s="639">
        <v>4230</v>
      </c>
      <c r="C87" s="616"/>
      <c r="D87" s="616"/>
      <c r="E87" s="638"/>
      <c r="F87" s="616"/>
      <c r="G87" s="616"/>
      <c r="H87" s="467"/>
      <c r="I87" s="477"/>
      <c r="J87" s="477"/>
      <c r="K87" s="1609">
        <f t="shared" si="12"/>
        <v>0</v>
      </c>
      <c r="L87" s="530">
        <v>0</v>
      </c>
    </row>
    <row r="88" spans="1:12" ht="13.15" customHeight="1" thickTop="1" thickBot="1">
      <c r="A88" s="1446" t="s">
        <v>765</v>
      </c>
      <c r="B88" s="639">
        <v>4240</v>
      </c>
      <c r="C88" s="616"/>
      <c r="D88" s="616"/>
      <c r="E88" s="638"/>
      <c r="F88" s="616"/>
      <c r="G88" s="616"/>
      <c r="H88" s="467">
        <v>86724</v>
      </c>
      <c r="I88" s="477"/>
      <c r="J88" s="477"/>
      <c r="K88" s="1609">
        <f t="shared" si="12"/>
        <v>86724</v>
      </c>
      <c r="L88" s="530">
        <v>0</v>
      </c>
    </row>
    <row r="89" spans="1:12" ht="13.15" customHeight="1" thickTop="1" thickBot="1">
      <c r="A89" s="1446" t="s">
        <v>701</v>
      </c>
      <c r="B89" s="639">
        <v>4270</v>
      </c>
      <c r="C89" s="616"/>
      <c r="D89" s="616"/>
      <c r="E89" s="638"/>
      <c r="F89" s="616"/>
      <c r="G89" s="616"/>
      <c r="H89" s="467"/>
      <c r="I89" s="477"/>
      <c r="J89" s="477"/>
      <c r="K89" s="1609">
        <f t="shared" si="12"/>
        <v>0</v>
      </c>
      <c r="L89" s="530">
        <v>0</v>
      </c>
    </row>
    <row r="90" spans="1:12" ht="13.15" customHeight="1" thickTop="1" thickBot="1">
      <c r="A90" s="1446" t="s">
        <v>686</v>
      </c>
      <c r="B90" s="639">
        <v>4280</v>
      </c>
      <c r="C90" s="616"/>
      <c r="D90" s="616"/>
      <c r="E90" s="638"/>
      <c r="F90" s="616"/>
      <c r="G90" s="616"/>
      <c r="H90" s="467"/>
      <c r="I90" s="477"/>
      <c r="J90" s="477"/>
      <c r="K90" s="1609">
        <f t="shared" si="12"/>
        <v>0</v>
      </c>
      <c r="L90" s="530">
        <v>0</v>
      </c>
    </row>
    <row r="91" spans="1:12" ht="13.15" customHeight="1" thickTop="1" thickBot="1">
      <c r="A91" s="1446" t="s">
        <v>687</v>
      </c>
      <c r="B91" s="639">
        <v>4290</v>
      </c>
      <c r="C91" s="616"/>
      <c r="D91" s="616"/>
      <c r="E91" s="638"/>
      <c r="F91" s="616"/>
      <c r="G91" s="616"/>
      <c r="H91" s="467"/>
      <c r="I91" s="477"/>
      <c r="J91" s="477"/>
      <c r="K91" s="1609">
        <f t="shared" si="12"/>
        <v>0</v>
      </c>
      <c r="L91" s="530">
        <v>0</v>
      </c>
    </row>
    <row r="92" spans="1:12" ht="14.25" thickTop="1" thickBot="1">
      <c r="A92" s="1612" t="s">
        <v>1539</v>
      </c>
      <c r="B92" s="1610">
        <v>4200</v>
      </c>
      <c r="C92" s="616"/>
      <c r="D92" s="616"/>
      <c r="E92" s="638"/>
      <c r="F92" s="616"/>
      <c r="G92" s="616"/>
      <c r="H92" s="1602">
        <f>SUM(H85:H91)</f>
        <v>930416</v>
      </c>
      <c r="I92" s="477"/>
      <c r="J92" s="477"/>
      <c r="K92" s="1609">
        <f t="shared" si="12"/>
        <v>930416</v>
      </c>
      <c r="L92" s="1602">
        <f>SUM(L85:L91)</f>
        <v>582000</v>
      </c>
    </row>
    <row r="93" spans="1:12" ht="14.25" thickTop="1" thickBot="1">
      <c r="A93" s="1445" t="s">
        <v>688</v>
      </c>
      <c r="B93" s="640">
        <v>4310</v>
      </c>
      <c r="C93" s="616"/>
      <c r="D93" s="616"/>
      <c r="E93" s="638"/>
      <c r="F93" s="616"/>
      <c r="G93" s="616"/>
      <c r="H93" s="641"/>
      <c r="I93" s="477"/>
      <c r="J93" s="477"/>
      <c r="K93" s="1609">
        <f t="shared" si="12"/>
        <v>0</v>
      </c>
      <c r="L93" s="532">
        <v>0</v>
      </c>
    </row>
    <row r="94" spans="1:12" ht="13.15" customHeight="1" thickTop="1" thickBot="1">
      <c r="A94" s="1446" t="s">
        <v>689</v>
      </c>
      <c r="B94" s="639">
        <v>4320</v>
      </c>
      <c r="C94" s="616"/>
      <c r="D94" s="616"/>
      <c r="E94" s="638"/>
      <c r="F94" s="616"/>
      <c r="G94" s="616"/>
      <c r="H94" s="467"/>
      <c r="I94" s="477"/>
      <c r="J94" s="477"/>
      <c r="K94" s="1609">
        <f t="shared" si="12"/>
        <v>0</v>
      </c>
      <c r="L94" s="530">
        <v>0</v>
      </c>
    </row>
    <row r="95" spans="1:12" ht="15" customHeight="1" thickTop="1" thickBot="1">
      <c r="A95" s="1446" t="s">
        <v>1467</v>
      </c>
      <c r="B95" s="639">
        <v>4330</v>
      </c>
      <c r="C95" s="616"/>
      <c r="D95" s="616"/>
      <c r="E95" s="638"/>
      <c r="F95" s="616"/>
      <c r="G95" s="616"/>
      <c r="H95" s="467"/>
      <c r="I95" s="477"/>
      <c r="J95" s="477"/>
      <c r="K95" s="1609">
        <f t="shared" si="12"/>
        <v>0</v>
      </c>
      <c r="L95" s="530">
        <v>0</v>
      </c>
    </row>
    <row r="96" spans="1:12" ht="14.25" thickTop="1" thickBot="1">
      <c r="A96" s="1446" t="s">
        <v>690</v>
      </c>
      <c r="B96" s="639">
        <v>4340</v>
      </c>
      <c r="C96" s="616"/>
      <c r="D96" s="616"/>
      <c r="E96" s="638"/>
      <c r="F96" s="616"/>
      <c r="G96" s="616"/>
      <c r="H96" s="467"/>
      <c r="I96" s="477"/>
      <c r="J96" s="477"/>
      <c r="K96" s="1609">
        <f t="shared" si="12"/>
        <v>0</v>
      </c>
      <c r="L96" s="530">
        <v>0</v>
      </c>
    </row>
    <row r="97" spans="1:14" ht="13.15" customHeight="1" thickTop="1" thickBot="1">
      <c r="A97" s="1446" t="s">
        <v>763</v>
      </c>
      <c r="B97" s="639">
        <v>4370</v>
      </c>
      <c r="C97" s="616"/>
      <c r="D97" s="616"/>
      <c r="E97" s="638"/>
      <c r="F97" s="616"/>
      <c r="G97" s="616"/>
      <c r="H97" s="467"/>
      <c r="I97" s="477"/>
      <c r="J97" s="477"/>
      <c r="K97" s="1609">
        <f t="shared" si="12"/>
        <v>0</v>
      </c>
      <c r="L97" s="530">
        <v>0</v>
      </c>
    </row>
    <row r="98" spans="1:14" ht="14.25" thickTop="1" thickBot="1">
      <c r="A98" s="1446" t="s">
        <v>764</v>
      </c>
      <c r="B98" s="639">
        <v>4380</v>
      </c>
      <c r="C98" s="616"/>
      <c r="D98" s="616"/>
      <c r="E98" s="642"/>
      <c r="F98" s="616"/>
      <c r="G98" s="616"/>
      <c r="H98" s="467"/>
      <c r="I98" s="477"/>
      <c r="J98" s="477"/>
      <c r="K98" s="1609">
        <f t="shared" si="12"/>
        <v>0</v>
      </c>
      <c r="L98" s="530">
        <v>0</v>
      </c>
    </row>
    <row r="99" spans="1:14" ht="14.25" thickTop="1" thickBot="1">
      <c r="A99" s="1446" t="s">
        <v>367</v>
      </c>
      <c r="B99" s="639">
        <v>4390</v>
      </c>
      <c r="C99" s="616"/>
      <c r="D99" s="616"/>
      <c r="E99" s="532"/>
      <c r="F99" s="616"/>
      <c r="G99" s="616"/>
      <c r="H99" s="467"/>
      <c r="I99" s="477"/>
      <c r="J99" s="477"/>
      <c r="K99" s="1609">
        <f>SUM(E99,H99)</f>
        <v>0</v>
      </c>
      <c r="L99" s="530">
        <v>0</v>
      </c>
    </row>
    <row r="100" spans="1:14" ht="14.25" thickTop="1" thickBot="1">
      <c r="A100" s="1612" t="s">
        <v>1465</v>
      </c>
      <c r="B100" s="1613">
        <v>4300</v>
      </c>
      <c r="C100" s="616"/>
      <c r="D100" s="616"/>
      <c r="E100" s="1609">
        <f>SUM(E93:E99)</f>
        <v>0</v>
      </c>
      <c r="F100" s="616"/>
      <c r="G100" s="616"/>
      <c r="H100" s="1609">
        <f>SUM(H93:H99)</f>
        <v>0</v>
      </c>
      <c r="I100" s="477"/>
      <c r="J100" s="477"/>
      <c r="K100" s="1609">
        <f>SUM(K93:K99)</f>
        <v>0</v>
      </c>
      <c r="L100" s="1609">
        <f>SUM(L93:L99)</f>
        <v>0</v>
      </c>
    </row>
    <row r="101" spans="1:14" ht="13.15" customHeight="1" thickTop="1" thickBot="1">
      <c r="A101" s="1443" t="s">
        <v>1468</v>
      </c>
      <c r="B101" s="643" t="s">
        <v>931</v>
      </c>
      <c r="C101" s="616"/>
      <c r="D101" s="616"/>
      <c r="E101" s="531"/>
      <c r="F101" s="616"/>
      <c r="G101" s="616"/>
      <c r="H101" s="531"/>
      <c r="I101" s="477"/>
      <c r="J101" s="477"/>
      <c r="K101" s="1611">
        <f>SUM(C101:J101)</f>
        <v>0</v>
      </c>
      <c r="L101" s="530">
        <v>0</v>
      </c>
    </row>
    <row r="102" spans="1:14" ht="13.15" customHeight="1" thickTop="1" thickBot="1">
      <c r="A102" s="1600" t="s">
        <v>1466</v>
      </c>
      <c r="B102" s="1610">
        <v>4000</v>
      </c>
      <c r="C102" s="616"/>
      <c r="D102" s="616"/>
      <c r="E102" s="1609">
        <f>SUM(E84,E92,E100,E101)</f>
        <v>0</v>
      </c>
      <c r="F102" s="616"/>
      <c r="G102" s="616"/>
      <c r="H102" s="1609">
        <f>SUM(H84,H92,H100,H101)</f>
        <v>2074061</v>
      </c>
      <c r="I102" s="477"/>
      <c r="J102" s="477"/>
      <c r="K102" s="1609">
        <f>SUM(K84,K92,K100,K101)</f>
        <v>2074061</v>
      </c>
      <c r="L102" s="1609">
        <f>SUM(L84,L92,L100,L101)</f>
        <v>1609083</v>
      </c>
    </row>
    <row r="103" spans="1:14" s="633" customFormat="1" ht="15.75" customHeight="1" thickTop="1">
      <c r="A103" s="1545" t="s">
        <v>513</v>
      </c>
      <c r="B103" s="1542"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7" t="s">
        <v>87</v>
      </c>
      <c r="B105" s="614">
        <v>5110</v>
      </c>
      <c r="C105" s="616"/>
      <c r="D105" s="616"/>
      <c r="E105" s="616"/>
      <c r="F105" s="616"/>
      <c r="G105" s="616"/>
      <c r="H105" s="481"/>
      <c r="I105" s="468"/>
      <c r="J105" s="468"/>
      <c r="K105" s="1603">
        <f>H105</f>
        <v>0</v>
      </c>
      <c r="L105" s="481">
        <v>0</v>
      </c>
      <c r="M105" s="210"/>
      <c r="N105" s="210"/>
    </row>
    <row r="106" spans="1:14" s="597" customFormat="1">
      <c r="A106" s="1437" t="s">
        <v>88</v>
      </c>
      <c r="B106" s="614">
        <v>5120</v>
      </c>
      <c r="C106" s="616"/>
      <c r="D106" s="616"/>
      <c r="E106" s="616"/>
      <c r="F106" s="616"/>
      <c r="G106" s="616"/>
      <c r="H106" s="466"/>
      <c r="I106" s="468"/>
      <c r="J106" s="468"/>
      <c r="K106" s="1603">
        <f>H106</f>
        <v>0</v>
      </c>
      <c r="L106" s="466">
        <v>0</v>
      </c>
      <c r="M106" s="210"/>
      <c r="N106" s="210"/>
    </row>
    <row r="107" spans="1:14" s="597" customFormat="1" ht="13.15" customHeight="1">
      <c r="A107" s="1437" t="s">
        <v>1170</v>
      </c>
      <c r="B107" s="614">
        <v>5130</v>
      </c>
      <c r="C107" s="616"/>
      <c r="D107" s="616"/>
      <c r="E107" s="616"/>
      <c r="F107" s="616"/>
      <c r="G107" s="616"/>
      <c r="H107" s="466"/>
      <c r="I107" s="468"/>
      <c r="J107" s="468"/>
      <c r="K107" s="1603">
        <f>H107</f>
        <v>0</v>
      </c>
      <c r="L107" s="466">
        <v>0</v>
      </c>
      <c r="M107" s="210"/>
      <c r="N107" s="210"/>
    </row>
    <row r="108" spans="1:14" s="597" customFormat="1">
      <c r="A108" s="1437" t="s">
        <v>89</v>
      </c>
      <c r="B108" s="614" t="s">
        <v>589</v>
      </c>
      <c r="C108" s="616"/>
      <c r="D108" s="616"/>
      <c r="E108" s="616"/>
      <c r="F108" s="616"/>
      <c r="G108" s="616"/>
      <c r="H108" s="466"/>
      <c r="I108" s="468"/>
      <c r="J108" s="468"/>
      <c r="K108" s="1603">
        <f>H108</f>
        <v>0</v>
      </c>
      <c r="L108" s="466">
        <v>0</v>
      </c>
      <c r="M108" s="210"/>
      <c r="N108" s="210"/>
    </row>
    <row r="109" spans="1:14" s="597" customFormat="1">
      <c r="A109" s="1437" t="s">
        <v>254</v>
      </c>
      <c r="B109" s="628">
        <v>5150</v>
      </c>
      <c r="C109" s="616"/>
      <c r="D109" s="616"/>
      <c r="E109" s="616"/>
      <c r="F109" s="616"/>
      <c r="G109" s="616"/>
      <c r="H109" s="466"/>
      <c r="I109" s="468"/>
      <c r="J109" s="468"/>
      <c r="K109" s="1603">
        <f>H109</f>
        <v>0</v>
      </c>
      <c r="L109" s="466">
        <v>0</v>
      </c>
      <c r="M109" s="210"/>
      <c r="N109" s="210"/>
    </row>
    <row r="110" spans="1:14" s="597" customFormat="1" ht="13.15" customHeight="1" thickBot="1">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3.15" customHeight="1" thickTop="1" thickBot="1">
      <c r="A111" s="1447" t="s">
        <v>368</v>
      </c>
      <c r="B111" s="647" t="s">
        <v>38</v>
      </c>
      <c r="C111" s="616"/>
      <c r="D111" s="616"/>
      <c r="E111" s="616"/>
      <c r="F111" s="616"/>
      <c r="G111" s="616"/>
      <c r="H111" s="535"/>
      <c r="I111" s="468"/>
      <c r="J111" s="468"/>
      <c r="K111" s="1615">
        <f>H111</f>
        <v>0</v>
      </c>
      <c r="L111" s="532">
        <v>0</v>
      </c>
      <c r="M111" s="210"/>
      <c r="N111" s="210"/>
    </row>
    <row r="112" spans="1:14" s="597" customFormat="1" ht="13.15" customHeight="1" thickTop="1" thickBot="1">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c r="A113" s="1539" t="s">
        <v>514</v>
      </c>
      <c r="B113" s="1546" t="s">
        <v>861</v>
      </c>
      <c r="C113" s="623"/>
      <c r="D113" s="623"/>
      <c r="E113" s="616"/>
      <c r="F113" s="616"/>
      <c r="G113" s="616"/>
      <c r="H113" s="623"/>
      <c r="I113" s="468"/>
      <c r="J113" s="468"/>
      <c r="K113" s="623"/>
      <c r="L113" s="531">
        <v>0</v>
      </c>
      <c r="M113" s="613"/>
      <c r="N113" s="613"/>
    </row>
    <row r="114" spans="1:14" ht="13.15" customHeight="1" thickTop="1" thickBot="1">
      <c r="A114" s="1600" t="s">
        <v>48</v>
      </c>
      <c r="B114" s="1614"/>
      <c r="C114" s="1602">
        <f>SUM(C33,C74,C75,C102,C112,C113)</f>
        <v>12980067</v>
      </c>
      <c r="D114" s="1602">
        <f t="shared" ref="D114:K114" si="13">SUM(D33,D74,D75,D102,D112,D113)</f>
        <v>4789081</v>
      </c>
      <c r="E114" s="1602">
        <f t="shared" si="13"/>
        <v>1184926</v>
      </c>
      <c r="F114" s="1602">
        <f t="shared" si="13"/>
        <v>395012</v>
      </c>
      <c r="G114" s="1602">
        <f t="shared" si="13"/>
        <v>202459</v>
      </c>
      <c r="H114" s="1602">
        <f>SUM(H33,H74,H75,H102,H112,H113)</f>
        <v>2156846</v>
      </c>
      <c r="I114" s="1602">
        <f t="shared" si="13"/>
        <v>0</v>
      </c>
      <c r="J114" s="1602">
        <f t="shared" si="13"/>
        <v>0</v>
      </c>
      <c r="K114" s="1602">
        <f t="shared" si="13"/>
        <v>21708391</v>
      </c>
      <c r="L114" s="1602">
        <f>SUM(L33,L74,L75,L102,L112,L113)</f>
        <v>21485253</v>
      </c>
    </row>
    <row r="115" spans="1:14" ht="13.5" thickTop="1">
      <c r="A115" s="2164" t="s">
        <v>996</v>
      </c>
      <c r="B115" s="2165"/>
      <c r="C115" s="618"/>
      <c r="D115" s="618"/>
      <c r="E115" s="618"/>
      <c r="F115" s="618"/>
      <c r="G115" s="618"/>
      <c r="H115" s="618"/>
      <c r="I115" s="618"/>
      <c r="J115" s="618"/>
      <c r="K115" s="1616">
        <f>'Revenues 9-14'!C268-'Expenditures 15-22'!K114</f>
        <v>-366096</v>
      </c>
      <c r="L115" s="618"/>
    </row>
    <row r="116" spans="1:14" s="180" customFormat="1" ht="9.4" customHeight="1">
      <c r="A116" s="648"/>
      <c r="B116" s="649"/>
      <c r="C116" s="650"/>
      <c r="D116" s="650"/>
      <c r="E116" s="650"/>
      <c r="F116" s="650"/>
      <c r="G116" s="650"/>
      <c r="H116" s="650"/>
      <c r="I116" s="650"/>
      <c r="J116" s="650"/>
      <c r="K116" s="650"/>
      <c r="L116" s="650"/>
      <c r="M116" s="210"/>
      <c r="N116" s="210"/>
    </row>
    <row r="117" spans="1:14" s="651" customFormat="1" ht="16.7" customHeight="1">
      <c r="A117" s="2169" t="s">
        <v>296</v>
      </c>
      <c r="B117" s="2170"/>
      <c r="C117" s="1559"/>
      <c r="D117" s="1560"/>
      <c r="E117" s="1560"/>
      <c r="F117" s="1560"/>
      <c r="G117" s="1560"/>
      <c r="H117" s="1560"/>
      <c r="I117" s="1560"/>
      <c r="J117" s="1560"/>
      <c r="K117" s="1560"/>
      <c r="L117" s="1561"/>
      <c r="M117" s="175"/>
      <c r="N117" s="175"/>
    </row>
    <row r="118" spans="1:14" ht="15.75" customHeight="1">
      <c r="A118" s="1547" t="s">
        <v>1035</v>
      </c>
      <c r="B118" s="1548"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3.15" customHeight="1">
      <c r="A120" s="1441" t="s">
        <v>2020</v>
      </c>
      <c r="B120" s="628" t="s">
        <v>716</v>
      </c>
      <c r="C120" s="466"/>
      <c r="D120" s="466"/>
      <c r="E120" s="466"/>
      <c r="F120" s="466"/>
      <c r="G120" s="466"/>
      <c r="H120" s="466"/>
      <c r="I120" s="467"/>
      <c r="J120" s="467"/>
      <c r="K120" s="1603">
        <f>SUM(C120:J120)</f>
        <v>0</v>
      </c>
      <c r="L120" s="466">
        <v>0</v>
      </c>
    </row>
    <row r="121" spans="1:14" ht="15.75" customHeight="1">
      <c r="A121" s="653" t="s">
        <v>612</v>
      </c>
      <c r="B121" s="622"/>
      <c r="C121" s="521"/>
      <c r="D121" s="521"/>
      <c r="E121" s="521"/>
      <c r="F121" s="521"/>
      <c r="G121" s="521"/>
      <c r="H121" s="521"/>
      <c r="I121" s="616"/>
      <c r="J121" s="616"/>
      <c r="K121" s="623"/>
      <c r="L121" s="521"/>
    </row>
    <row r="122" spans="1:14" ht="13.5" thickBot="1">
      <c r="A122" s="1437" t="s">
        <v>1068</v>
      </c>
      <c r="B122" s="614">
        <v>2510</v>
      </c>
      <c r="C122" s="466"/>
      <c r="D122" s="466"/>
      <c r="E122" s="466"/>
      <c r="F122" s="466"/>
      <c r="G122" s="466"/>
      <c r="H122" s="466"/>
      <c r="I122" s="467"/>
      <c r="J122" s="467"/>
      <c r="K122" s="1602">
        <f>SUM(C122:J122)</f>
        <v>0</v>
      </c>
      <c r="L122" s="466">
        <v>0</v>
      </c>
    </row>
    <row r="123" spans="1:14" ht="14.25" thickTop="1" thickBot="1">
      <c r="A123" s="1437" t="s">
        <v>4</v>
      </c>
      <c r="B123" s="614">
        <v>2530</v>
      </c>
      <c r="C123" s="466"/>
      <c r="D123" s="466"/>
      <c r="E123" s="466"/>
      <c r="F123" s="466"/>
      <c r="G123" s="466">
        <v>6821</v>
      </c>
      <c r="H123" s="466"/>
      <c r="I123" s="467"/>
      <c r="J123" s="467"/>
      <c r="K123" s="1602">
        <f>SUM(C123:J123)</f>
        <v>6821</v>
      </c>
      <c r="L123" s="466">
        <v>3760</v>
      </c>
    </row>
    <row r="124" spans="1:14" ht="14.25" thickTop="1" thickBot="1">
      <c r="A124" s="1437" t="s">
        <v>197</v>
      </c>
      <c r="B124" s="614">
        <v>2540</v>
      </c>
      <c r="C124" s="466">
        <v>898824</v>
      </c>
      <c r="D124" s="466">
        <v>418198</v>
      </c>
      <c r="E124" s="466">
        <v>252615</v>
      </c>
      <c r="F124" s="466">
        <v>434778</v>
      </c>
      <c r="G124" s="466">
        <v>101540</v>
      </c>
      <c r="H124" s="466">
        <v>2085</v>
      </c>
      <c r="I124" s="467"/>
      <c r="J124" s="467"/>
      <c r="K124" s="1602">
        <f>SUM(C124:J124)</f>
        <v>2108040</v>
      </c>
      <c r="L124" s="466">
        <v>1984904</v>
      </c>
    </row>
    <row r="125" spans="1:14" ht="14.25" thickTop="1" thickBot="1">
      <c r="A125" s="1437" t="s">
        <v>953</v>
      </c>
      <c r="B125" s="614">
        <v>2550</v>
      </c>
      <c r="C125" s="466"/>
      <c r="D125" s="466"/>
      <c r="E125" s="466"/>
      <c r="F125" s="466"/>
      <c r="G125" s="466"/>
      <c r="H125" s="466"/>
      <c r="I125" s="467"/>
      <c r="J125" s="467"/>
      <c r="K125" s="1602">
        <f>SUM(C125:J125)</f>
        <v>0</v>
      </c>
      <c r="L125" s="466">
        <v>0</v>
      </c>
    </row>
    <row r="126" spans="1:14" ht="14.25" thickTop="1" thickBot="1">
      <c r="A126" s="1437" t="s">
        <v>100</v>
      </c>
      <c r="B126" s="614">
        <v>2560</v>
      </c>
      <c r="C126" s="654"/>
      <c r="D126" s="654"/>
      <c r="E126" s="654"/>
      <c r="F126" s="654"/>
      <c r="G126" s="466"/>
      <c r="H126" s="654"/>
      <c r="I126" s="474"/>
      <c r="J126" s="616"/>
      <c r="K126" s="1602">
        <f>SUM(C126:J126)</f>
        <v>0</v>
      </c>
      <c r="L126" s="466">
        <v>0</v>
      </c>
    </row>
    <row r="127" spans="1:14" ht="13.15" customHeight="1" thickTop="1" thickBot="1">
      <c r="A127" s="1600" t="s">
        <v>719</v>
      </c>
      <c r="B127" s="1601" t="s">
        <v>35</v>
      </c>
      <c r="C127" s="1602">
        <f>SUM(C122:C126)</f>
        <v>898824</v>
      </c>
      <c r="D127" s="1602">
        <f t="shared" ref="D127:L127" si="14">SUM(D122:D126)</f>
        <v>418198</v>
      </c>
      <c r="E127" s="1602">
        <f t="shared" si="14"/>
        <v>252615</v>
      </c>
      <c r="F127" s="1602">
        <f t="shared" si="14"/>
        <v>434778</v>
      </c>
      <c r="G127" s="1602">
        <f t="shared" si="14"/>
        <v>108361</v>
      </c>
      <c r="H127" s="1602">
        <f t="shared" si="14"/>
        <v>2085</v>
      </c>
      <c r="I127" s="1602">
        <f t="shared" si="14"/>
        <v>0</v>
      </c>
      <c r="J127" s="1602">
        <f t="shared" si="14"/>
        <v>0</v>
      </c>
      <c r="K127" s="1602">
        <f t="shared" si="14"/>
        <v>2114861</v>
      </c>
      <c r="L127" s="1602">
        <f t="shared" si="14"/>
        <v>1988664</v>
      </c>
    </row>
    <row r="128" spans="1:14" ht="13.15" customHeight="1" thickTop="1">
      <c r="A128" s="1444" t="s">
        <v>980</v>
      </c>
      <c r="B128" s="655" t="s">
        <v>574</v>
      </c>
      <c r="C128" s="656"/>
      <c r="D128" s="656"/>
      <c r="E128" s="656"/>
      <c r="F128" s="656"/>
      <c r="G128" s="656"/>
      <c r="H128" s="656"/>
      <c r="I128" s="535"/>
      <c r="J128" s="535"/>
      <c r="K128" s="1617">
        <f>SUM(C128:J128)</f>
        <v>0</v>
      </c>
      <c r="L128" s="656">
        <v>0</v>
      </c>
    </row>
    <row r="129" spans="1:14" ht="13.15" customHeight="1" thickBot="1">
      <c r="A129" s="1618" t="s">
        <v>811</v>
      </c>
      <c r="B129" s="1619" t="s">
        <v>569</v>
      </c>
      <c r="C129" s="1609">
        <f>SUM(C120,C127,C128)</f>
        <v>898824</v>
      </c>
      <c r="D129" s="1609">
        <f t="shared" ref="D129:L129" si="15">SUM(D120,D127,D128)</f>
        <v>418198</v>
      </c>
      <c r="E129" s="1609">
        <f t="shared" si="15"/>
        <v>252615</v>
      </c>
      <c r="F129" s="1609">
        <f t="shared" si="15"/>
        <v>434778</v>
      </c>
      <c r="G129" s="1609">
        <f t="shared" si="15"/>
        <v>108361</v>
      </c>
      <c r="H129" s="1609">
        <f t="shared" si="15"/>
        <v>2085</v>
      </c>
      <c r="I129" s="1609">
        <f t="shared" si="15"/>
        <v>0</v>
      </c>
      <c r="J129" s="1609">
        <f t="shared" si="15"/>
        <v>0</v>
      </c>
      <c r="K129" s="1609">
        <f t="shared" si="15"/>
        <v>2114861</v>
      </c>
      <c r="L129" s="1609">
        <f t="shared" si="15"/>
        <v>1988664</v>
      </c>
    </row>
    <row r="130" spans="1:14" ht="15.75" customHeight="1" thickTop="1" thickBot="1">
      <c r="A130" s="1543" t="s">
        <v>1036</v>
      </c>
      <c r="B130" s="1544" t="s">
        <v>575</v>
      </c>
      <c r="C130" s="576"/>
      <c r="D130" s="576"/>
      <c r="E130" s="576"/>
      <c r="F130" s="576"/>
      <c r="G130" s="576"/>
      <c r="H130" s="576"/>
      <c r="I130" s="531"/>
      <c r="J130" s="531"/>
      <c r="K130" s="1602">
        <f>SUM(C130:J130)</f>
        <v>0</v>
      </c>
      <c r="L130" s="576">
        <v>0</v>
      </c>
    </row>
    <row r="131" spans="1:14" ht="15.75" customHeight="1" thickTop="1">
      <c r="A131" s="1549" t="s">
        <v>616</v>
      </c>
      <c r="B131" s="1542"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3" t="s">
        <v>496</v>
      </c>
      <c r="B133" s="1773" t="s">
        <v>1805</v>
      </c>
      <c r="C133" s="468"/>
      <c r="D133" s="468"/>
      <c r="E133" s="641"/>
      <c r="F133" s="468"/>
      <c r="G133" s="468"/>
      <c r="H133" s="641"/>
      <c r="I133" s="468"/>
      <c r="J133" s="468"/>
      <c r="K133" s="1753">
        <f>SUM(E133,H133)</f>
        <v>0</v>
      </c>
      <c r="L133" s="641">
        <v>0</v>
      </c>
      <c r="M133" s="206"/>
      <c r="N133" s="206"/>
    </row>
    <row r="134" spans="1:14">
      <c r="A134" s="1437" t="s">
        <v>304</v>
      </c>
      <c r="B134" s="614">
        <v>4120</v>
      </c>
      <c r="C134" s="616"/>
      <c r="D134" s="616"/>
      <c r="E134" s="478"/>
      <c r="F134" s="616"/>
      <c r="G134" s="616"/>
      <c r="H134" s="481"/>
      <c r="I134" s="477"/>
      <c r="J134" s="616"/>
      <c r="K134" s="1604">
        <f>SUM(E134,H134)</f>
        <v>0</v>
      </c>
      <c r="L134" s="481">
        <v>0</v>
      </c>
    </row>
    <row r="135" spans="1:14">
      <c r="A135" s="1437" t="s">
        <v>697</v>
      </c>
      <c r="B135" s="614">
        <v>4140</v>
      </c>
      <c r="C135" s="616"/>
      <c r="D135" s="616"/>
      <c r="E135" s="467"/>
      <c r="F135" s="616"/>
      <c r="G135" s="616"/>
      <c r="H135" s="466">
        <v>24144</v>
      </c>
      <c r="I135" s="477"/>
      <c r="J135" s="616"/>
      <c r="K135" s="1604">
        <f>SUM(E135,H135)</f>
        <v>24144</v>
      </c>
      <c r="L135" s="466">
        <v>24144</v>
      </c>
    </row>
    <row r="136" spans="1:14">
      <c r="A136" s="1441" t="s">
        <v>698</v>
      </c>
      <c r="B136" s="628">
        <v>4190</v>
      </c>
      <c r="C136" s="616"/>
      <c r="D136" s="616"/>
      <c r="E136" s="467"/>
      <c r="F136" s="616"/>
      <c r="G136" s="616"/>
      <c r="H136" s="466"/>
      <c r="I136" s="477"/>
      <c r="J136" s="616"/>
      <c r="K136" s="1604">
        <f>SUM(E136,H136)</f>
        <v>0</v>
      </c>
      <c r="L136" s="466">
        <v>0</v>
      </c>
    </row>
    <row r="137" spans="1:14" ht="13.15" customHeight="1" thickBot="1">
      <c r="A137" s="1600" t="s">
        <v>480</v>
      </c>
      <c r="B137" s="1610">
        <v>4100</v>
      </c>
      <c r="C137" s="616"/>
      <c r="D137" s="616"/>
      <c r="E137" s="1602">
        <f>SUM(E133:E136)</f>
        <v>0</v>
      </c>
      <c r="F137" s="616"/>
      <c r="G137" s="616"/>
      <c r="H137" s="1602">
        <f>SUM(H133:H136)</f>
        <v>24144</v>
      </c>
      <c r="I137" s="477"/>
      <c r="J137" s="616"/>
      <c r="K137" s="1602">
        <f>SUM(K133:K136)</f>
        <v>24144</v>
      </c>
      <c r="L137" s="1602">
        <f>SUM(L133:L136)</f>
        <v>24144</v>
      </c>
    </row>
    <row r="138" spans="1:14" ht="13.15" customHeight="1" thickTop="1" thickBot="1">
      <c r="A138" s="1443" t="s">
        <v>96</v>
      </c>
      <c r="B138" s="643" t="s">
        <v>931</v>
      </c>
      <c r="C138" s="616"/>
      <c r="D138" s="616"/>
      <c r="E138" s="479"/>
      <c r="F138" s="616"/>
      <c r="G138" s="616"/>
      <c r="H138" s="576"/>
      <c r="I138" s="477"/>
      <c r="J138" s="616"/>
      <c r="K138" s="1604">
        <f>SUM(E138,H138)</f>
        <v>0</v>
      </c>
      <c r="L138" s="576">
        <v>0</v>
      </c>
    </row>
    <row r="139" spans="1:14" ht="13.15" customHeight="1" thickTop="1" thickBot="1">
      <c r="A139" s="1600" t="s">
        <v>1466</v>
      </c>
      <c r="B139" s="1610">
        <v>4000</v>
      </c>
      <c r="C139" s="616"/>
      <c r="D139" s="616"/>
      <c r="E139" s="1602">
        <f>SUM(E137,E138)</f>
        <v>0</v>
      </c>
      <c r="F139" s="616"/>
      <c r="G139" s="616"/>
      <c r="H139" s="1611">
        <f>SUM(H137:H138)</f>
        <v>24144</v>
      </c>
      <c r="I139" s="477"/>
      <c r="J139" s="616"/>
      <c r="K139" s="1604">
        <f>SUM(K137,K138)</f>
        <v>24144</v>
      </c>
      <c r="L139" s="1611">
        <f>SUM(L137,L138)</f>
        <v>24144</v>
      </c>
    </row>
    <row r="140" spans="1:14" ht="15.75" customHeight="1" thickTop="1">
      <c r="A140" s="1545" t="s">
        <v>1037</v>
      </c>
      <c r="B140" s="1546"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7" t="s">
        <v>87</v>
      </c>
      <c r="B142" s="614">
        <v>5110</v>
      </c>
      <c r="C142" s="616"/>
      <c r="D142" s="616"/>
      <c r="E142" s="616"/>
      <c r="F142" s="616"/>
      <c r="G142" s="616"/>
      <c r="H142" s="481"/>
      <c r="I142" s="468"/>
      <c r="J142" s="616"/>
      <c r="K142" s="1604">
        <f>SUM(H142)</f>
        <v>0</v>
      </c>
      <c r="L142" s="481">
        <v>0</v>
      </c>
    </row>
    <row r="143" spans="1:14">
      <c r="A143" s="1437" t="s">
        <v>88</v>
      </c>
      <c r="B143" s="614">
        <v>5120</v>
      </c>
      <c r="C143" s="616"/>
      <c r="D143" s="616"/>
      <c r="E143" s="616"/>
      <c r="F143" s="616"/>
      <c r="G143" s="616"/>
      <c r="H143" s="466"/>
      <c r="I143" s="468"/>
      <c r="J143" s="616"/>
      <c r="K143" s="1604">
        <f>SUM(H143)</f>
        <v>0</v>
      </c>
      <c r="L143" s="466">
        <v>0</v>
      </c>
    </row>
    <row r="144" spans="1:14" ht="13.15" customHeight="1">
      <c r="A144" s="1437" t="s">
        <v>1170</v>
      </c>
      <c r="B144" s="628" t="s">
        <v>617</v>
      </c>
      <c r="C144" s="616"/>
      <c r="D144" s="616"/>
      <c r="E144" s="616"/>
      <c r="F144" s="616"/>
      <c r="G144" s="616"/>
      <c r="H144" s="466"/>
      <c r="I144" s="468"/>
      <c r="J144" s="616"/>
      <c r="K144" s="1604">
        <f>SUM(H144)</f>
        <v>0</v>
      </c>
      <c r="L144" s="466">
        <v>0</v>
      </c>
    </row>
    <row r="145" spans="1:14">
      <c r="A145" s="1437" t="s">
        <v>89</v>
      </c>
      <c r="B145" s="614" t="s">
        <v>589</v>
      </c>
      <c r="C145" s="616"/>
      <c r="D145" s="616"/>
      <c r="E145" s="616"/>
      <c r="F145" s="616"/>
      <c r="G145" s="616"/>
      <c r="H145" s="466"/>
      <c r="I145" s="468"/>
      <c r="J145" s="616"/>
      <c r="K145" s="1604">
        <f>SUM(H145)</f>
        <v>0</v>
      </c>
      <c r="L145" s="466">
        <v>0</v>
      </c>
    </row>
    <row r="146" spans="1:14" ht="13.15" customHeight="1">
      <c r="A146" s="1437" t="s">
        <v>619</v>
      </c>
      <c r="B146" s="614" t="s">
        <v>618</v>
      </c>
      <c r="C146" s="616"/>
      <c r="D146" s="616"/>
      <c r="E146" s="616"/>
      <c r="F146" s="616"/>
      <c r="G146" s="616"/>
      <c r="H146" s="466"/>
      <c r="I146" s="468"/>
      <c r="J146" s="616"/>
      <c r="K146" s="1604">
        <f>SUM(H146)</f>
        <v>0</v>
      </c>
      <c r="L146" s="466">
        <v>0</v>
      </c>
    </row>
    <row r="147" spans="1:14" ht="13.15" customHeight="1" thickBot="1">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c r="A148" s="660" t="s">
        <v>1103</v>
      </c>
      <c r="B148" s="661" t="s">
        <v>38</v>
      </c>
      <c r="C148" s="616"/>
      <c r="D148" s="616"/>
      <c r="E148" s="616"/>
      <c r="F148" s="616"/>
      <c r="G148" s="616"/>
      <c r="H148" s="479"/>
      <c r="I148" s="468"/>
      <c r="J148" s="616"/>
      <c r="K148" s="1604">
        <f>SUM(H148)</f>
        <v>0</v>
      </c>
      <c r="L148" s="492">
        <v>0</v>
      </c>
    </row>
    <row r="149" spans="1:14" ht="13.15" customHeight="1" thickBot="1">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c r="A150" s="1539" t="s">
        <v>1038</v>
      </c>
      <c r="B150" s="1546" t="s">
        <v>861</v>
      </c>
      <c r="C150" s="616"/>
      <c r="D150" s="616"/>
      <c r="E150" s="616"/>
      <c r="F150" s="616"/>
      <c r="G150" s="616"/>
      <c r="H150" s="662"/>
      <c r="I150" s="521"/>
      <c r="J150" s="616"/>
      <c r="K150" s="623"/>
      <c r="L150" s="573">
        <v>0</v>
      </c>
    </row>
    <row r="151" spans="1:14" ht="13.15" customHeight="1" thickTop="1" thickBot="1">
      <c r="A151" s="2181" t="s">
        <v>620</v>
      </c>
      <c r="B151" s="2161"/>
      <c r="C151" s="1602">
        <f>SUM(C129,C130,C139,C149,C150)</f>
        <v>898824</v>
      </c>
      <c r="D151" s="1602">
        <f t="shared" ref="D151:K151" si="16">SUM(D129,D130,D139,D149,D150)</f>
        <v>418198</v>
      </c>
      <c r="E151" s="1602">
        <f t="shared" si="16"/>
        <v>252615</v>
      </c>
      <c r="F151" s="1602">
        <f t="shared" si="16"/>
        <v>434778</v>
      </c>
      <c r="G151" s="1602">
        <f t="shared" si="16"/>
        <v>108361</v>
      </c>
      <c r="H151" s="1602">
        <f t="shared" si="16"/>
        <v>26229</v>
      </c>
      <c r="I151" s="1602">
        <f t="shared" si="16"/>
        <v>0</v>
      </c>
      <c r="J151" s="1602">
        <f t="shared" si="16"/>
        <v>0</v>
      </c>
      <c r="K151" s="1602">
        <f t="shared" si="16"/>
        <v>2139005</v>
      </c>
      <c r="L151" s="1602">
        <f>SUM(L129,L130,L139,L149,L150)</f>
        <v>2012808</v>
      </c>
    </row>
    <row r="152" spans="1:14" ht="13.15" customHeight="1" thickTop="1">
      <c r="A152" s="2184" t="s">
        <v>1178</v>
      </c>
      <c r="B152" s="2185"/>
      <c r="C152" s="618"/>
      <c r="D152" s="618"/>
      <c r="E152" s="618"/>
      <c r="F152" s="618"/>
      <c r="G152" s="618"/>
      <c r="H152" s="618"/>
      <c r="I152" s="618"/>
      <c r="J152" s="616"/>
      <c r="K152" s="1616">
        <f>'Revenues 9-14'!D268-'Expenditures 15-22'!K151</f>
        <v>-6226</v>
      </c>
      <c r="L152" s="618"/>
    </row>
    <row r="153" spans="1:14" s="666" customFormat="1" ht="9.4" customHeight="1">
      <c r="A153" s="663"/>
      <c r="B153" s="664"/>
      <c r="C153" s="650"/>
      <c r="D153" s="650"/>
      <c r="E153" s="650"/>
      <c r="F153" s="650"/>
      <c r="G153" s="650"/>
      <c r="H153" s="650"/>
      <c r="I153" s="650"/>
      <c r="J153" s="650"/>
      <c r="K153" s="650"/>
      <c r="L153" s="650"/>
      <c r="M153" s="665"/>
      <c r="N153" s="665"/>
    </row>
    <row r="154" spans="1:14" s="668" customFormat="1" ht="16.7" customHeight="1">
      <c r="A154" s="2169" t="s">
        <v>621</v>
      </c>
      <c r="B154" s="2171"/>
      <c r="C154" s="1559"/>
      <c r="D154" s="1560"/>
      <c r="E154" s="1560"/>
      <c r="F154" s="1560"/>
      <c r="G154" s="1560"/>
      <c r="H154" s="1560"/>
      <c r="I154" s="1560"/>
      <c r="J154" s="1560"/>
      <c r="K154" s="1560"/>
      <c r="L154" s="1561"/>
      <c r="M154" s="667"/>
      <c r="N154" s="667"/>
    </row>
    <row r="155" spans="1:14" s="620" customFormat="1" ht="15.75" customHeight="1" thickBot="1">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c r="A156" s="1754" t="s">
        <v>1806</v>
      </c>
      <c r="B156" s="1755"/>
      <c r="C156" s="616"/>
      <c r="D156" s="616"/>
      <c r="E156" s="616"/>
      <c r="F156" s="616"/>
      <c r="G156" s="616"/>
      <c r="H156" s="1775"/>
      <c r="I156" s="616"/>
      <c r="J156" s="616"/>
      <c r="K156" s="1756"/>
      <c r="L156" s="1775"/>
      <c r="M156" s="619"/>
      <c r="N156" s="619"/>
    </row>
    <row r="157" spans="1:14" s="620" customFormat="1" ht="12">
      <c r="A157" s="1758" t="s">
        <v>496</v>
      </c>
      <c r="B157" s="1759" t="s">
        <v>1805</v>
      </c>
      <c r="C157" s="616"/>
      <c r="D157" s="616"/>
      <c r="E157" s="616"/>
      <c r="F157" s="616"/>
      <c r="G157" s="616"/>
      <c r="H157" s="641"/>
      <c r="I157" s="616"/>
      <c r="J157" s="616"/>
      <c r="K157" s="1603">
        <f>H157</f>
        <v>0</v>
      </c>
      <c r="L157" s="467">
        <v>0</v>
      </c>
      <c r="M157" s="619"/>
      <c r="N157" s="619"/>
    </row>
    <row r="158" spans="1:14" s="620" customFormat="1" ht="12">
      <c r="A158" s="1758" t="s">
        <v>304</v>
      </c>
      <c r="B158" s="1759" t="s">
        <v>1807</v>
      </c>
      <c r="C158" s="616"/>
      <c r="D158" s="616"/>
      <c r="E158" s="616"/>
      <c r="F158" s="616"/>
      <c r="G158" s="616"/>
      <c r="H158" s="467"/>
      <c r="I158" s="616"/>
      <c r="J158" s="616"/>
      <c r="K158" s="1603">
        <f>H158</f>
        <v>0</v>
      </c>
      <c r="L158" s="467">
        <v>0</v>
      </c>
      <c r="M158" s="619"/>
      <c r="N158" s="619"/>
    </row>
    <row r="159" spans="1:14" s="620" customFormat="1" ht="12">
      <c r="A159" s="1758" t="s">
        <v>1808</v>
      </c>
      <c r="B159" s="1759" t="s">
        <v>558</v>
      </c>
      <c r="C159" s="616"/>
      <c r="D159" s="616"/>
      <c r="E159" s="616"/>
      <c r="F159" s="616"/>
      <c r="G159" s="616"/>
      <c r="H159" s="467"/>
      <c r="I159" s="616"/>
      <c r="J159" s="616"/>
      <c r="K159" s="1603">
        <f>H159</f>
        <v>0</v>
      </c>
      <c r="L159" s="467">
        <v>0</v>
      </c>
      <c r="M159" s="619"/>
      <c r="N159" s="619"/>
    </row>
    <row r="160" spans="1:14" s="620" customFormat="1" ht="15.75" customHeight="1" thickBot="1">
      <c r="A160" s="1760" t="s">
        <v>1809</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c r="A161" s="1545" t="s">
        <v>82</v>
      </c>
      <c r="B161" s="1546"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7" t="s">
        <v>87</v>
      </c>
      <c r="B163" s="614">
        <v>5110</v>
      </c>
      <c r="C163" s="616"/>
      <c r="D163" s="616"/>
      <c r="E163" s="616"/>
      <c r="F163" s="616"/>
      <c r="G163" s="616"/>
      <c r="H163" s="466"/>
      <c r="I163" s="616"/>
      <c r="J163" s="616"/>
      <c r="K163" s="1603">
        <f>SUM(C163:J163)</f>
        <v>0</v>
      </c>
      <c r="L163" s="466">
        <v>0</v>
      </c>
    </row>
    <row r="164" spans="1:14">
      <c r="A164" s="1437" t="s">
        <v>88</v>
      </c>
      <c r="B164" s="614">
        <v>5120</v>
      </c>
      <c r="C164" s="616"/>
      <c r="D164" s="616"/>
      <c r="E164" s="616"/>
      <c r="F164" s="616"/>
      <c r="G164" s="616"/>
      <c r="H164" s="466"/>
      <c r="I164" s="616"/>
      <c r="J164" s="616"/>
      <c r="K164" s="1603">
        <f>SUM(C164:J164)</f>
        <v>0</v>
      </c>
      <c r="L164" s="466">
        <v>0</v>
      </c>
    </row>
    <row r="165" spans="1:14" ht="13.15" customHeight="1">
      <c r="A165" s="1437" t="s">
        <v>1170</v>
      </c>
      <c r="B165" s="614" t="s">
        <v>617</v>
      </c>
      <c r="C165" s="616"/>
      <c r="D165" s="616"/>
      <c r="E165" s="616"/>
      <c r="F165" s="616"/>
      <c r="G165" s="616"/>
      <c r="H165" s="466"/>
      <c r="I165" s="616"/>
      <c r="J165" s="616"/>
      <c r="K165" s="1603">
        <f>SUM(C165:J165)</f>
        <v>0</v>
      </c>
      <c r="L165" s="466">
        <v>0</v>
      </c>
    </row>
    <row r="166" spans="1:14">
      <c r="A166" s="1437" t="s">
        <v>89</v>
      </c>
      <c r="B166" s="628" t="s">
        <v>589</v>
      </c>
      <c r="C166" s="616"/>
      <c r="D166" s="616"/>
      <c r="E166" s="616"/>
      <c r="F166" s="616"/>
      <c r="G166" s="616"/>
      <c r="H166" s="466">
        <f>1319527</f>
        <v>1319527</v>
      </c>
      <c r="I166" s="616"/>
      <c r="J166" s="616"/>
      <c r="K166" s="1603">
        <f>SUM(C166:J166)</f>
        <v>1319527</v>
      </c>
      <c r="L166" s="466">
        <v>1319527</v>
      </c>
    </row>
    <row r="167" spans="1:14" ht="13.15" customHeight="1">
      <c r="A167" s="1437" t="s">
        <v>619</v>
      </c>
      <c r="B167" s="614" t="s">
        <v>618</v>
      </c>
      <c r="C167" s="616"/>
      <c r="D167" s="616"/>
      <c r="E167" s="616"/>
      <c r="F167" s="616"/>
      <c r="G167" s="616"/>
      <c r="H167" s="466"/>
      <c r="I167" s="616"/>
      <c r="J167" s="616"/>
      <c r="K167" s="1603">
        <f>SUM(C167:J167)</f>
        <v>0</v>
      </c>
      <c r="L167" s="466">
        <v>0</v>
      </c>
    </row>
    <row r="168" spans="1:14" ht="13.5" thickBot="1">
      <c r="A168" s="1600" t="s">
        <v>276</v>
      </c>
      <c r="B168" s="1607" t="s">
        <v>718</v>
      </c>
      <c r="C168" s="616"/>
      <c r="D168" s="616"/>
      <c r="E168" s="616"/>
      <c r="F168" s="616"/>
      <c r="G168" s="616"/>
      <c r="H168" s="1602">
        <f>SUM(H163:H167)</f>
        <v>1319527</v>
      </c>
      <c r="I168" s="616"/>
      <c r="J168" s="616"/>
      <c r="K168" s="1602">
        <f>SUM(K163:K167)</f>
        <v>1319527</v>
      </c>
      <c r="L168" s="1602">
        <f>SUM(L163:L167)</f>
        <v>1319527</v>
      </c>
    </row>
    <row r="169" spans="1:14" ht="15.75" customHeight="1" thickTop="1">
      <c r="A169" s="669" t="s">
        <v>83</v>
      </c>
      <c r="B169" s="670" t="s">
        <v>38</v>
      </c>
      <c r="C169" s="616"/>
      <c r="D169" s="616"/>
      <c r="E169" s="616"/>
      <c r="F169" s="616"/>
      <c r="G169" s="616"/>
      <c r="H169" s="656"/>
      <c r="I169" s="616"/>
      <c r="J169" s="616"/>
      <c r="K169" s="1603">
        <f>SUM(C169:H169)</f>
        <v>0</v>
      </c>
      <c r="L169" s="656"/>
    </row>
    <row r="170" spans="1:14" ht="33.75" customHeight="1">
      <c r="A170" s="669" t="s">
        <v>1643</v>
      </c>
      <c r="B170" s="671" t="s">
        <v>31</v>
      </c>
      <c r="C170" s="616"/>
      <c r="D170" s="616"/>
      <c r="E170" s="616"/>
      <c r="F170" s="616"/>
      <c r="G170" s="616"/>
      <c r="H170" s="569">
        <v>980000</v>
      </c>
      <c r="I170" s="616"/>
      <c r="J170" s="616"/>
      <c r="K170" s="1603">
        <f>SUM(C170:J170)</f>
        <v>980000</v>
      </c>
      <c r="L170" s="569">
        <v>980000</v>
      </c>
    </row>
    <row r="171" spans="1:14" ht="15.75" customHeight="1">
      <c r="A171" s="621" t="s">
        <v>766</v>
      </c>
      <c r="B171" s="672" t="s">
        <v>84</v>
      </c>
      <c r="C171" s="616"/>
      <c r="D171" s="616"/>
      <c r="E171" s="466"/>
      <c r="F171" s="616"/>
      <c r="G171" s="616"/>
      <c r="H171" s="569">
        <v>4130</v>
      </c>
      <c r="I171" s="477"/>
      <c r="J171" s="616"/>
      <c r="K171" s="1603">
        <f>SUM(C171:J171)</f>
        <v>4130</v>
      </c>
      <c r="L171" s="569">
        <v>3000</v>
      </c>
    </row>
    <row r="172" spans="1:14" ht="13.15" customHeight="1" thickBot="1">
      <c r="A172" s="1600" t="s">
        <v>638</v>
      </c>
      <c r="B172" s="1601" t="s">
        <v>492</v>
      </c>
      <c r="C172" s="616"/>
      <c r="D172" s="616"/>
      <c r="E172" s="1609">
        <f>SUM(E168,E169,E170,E171)</f>
        <v>0</v>
      </c>
      <c r="F172" s="616"/>
      <c r="G172" s="616"/>
      <c r="H172" s="1609">
        <f>SUM(H168,H169,H170,H171)</f>
        <v>2303657</v>
      </c>
      <c r="I172" s="638"/>
      <c r="J172" s="616"/>
      <c r="K172" s="1609">
        <f>SUM(K168,K169,K170,K171)</f>
        <v>2303657</v>
      </c>
      <c r="L172" s="1609">
        <f>SUM(L168,L169,L170,L171)</f>
        <v>2302527</v>
      </c>
    </row>
    <row r="173" spans="1:14" ht="15.75" customHeight="1" thickTop="1" thickBot="1">
      <c r="A173" s="1552" t="s">
        <v>85</v>
      </c>
      <c r="B173" s="1544" t="s">
        <v>861</v>
      </c>
      <c r="C173" s="616"/>
      <c r="D173" s="616"/>
      <c r="E173" s="623"/>
      <c r="F173" s="616"/>
      <c r="G173" s="616"/>
      <c r="H173" s="626"/>
      <c r="I173" s="638"/>
      <c r="J173" s="616"/>
      <c r="K173" s="623"/>
      <c r="L173" s="576">
        <v>0</v>
      </c>
    </row>
    <row r="174" spans="1:14" ht="13.15" customHeight="1" thickTop="1" thickBot="1">
      <c r="A174" s="1621" t="s">
        <v>90</v>
      </c>
      <c r="B174" s="1622"/>
      <c r="C174" s="616"/>
      <c r="D174" s="616"/>
      <c r="E174" s="1609">
        <f>SUM(E172,E173)</f>
        <v>0</v>
      </c>
      <c r="F174" s="616"/>
      <c r="G174" s="616"/>
      <c r="H174" s="1609">
        <f>SUM(H160,H172,H173)</f>
        <v>2303657</v>
      </c>
      <c r="I174" s="638"/>
      <c r="J174" s="616"/>
      <c r="K174" s="1609">
        <f>SUM(K160,K172,K173)</f>
        <v>2303657</v>
      </c>
      <c r="L174" s="1609">
        <f>SUM(L160,L172,L173)</f>
        <v>2302527</v>
      </c>
    </row>
    <row r="175" spans="1:14" ht="13.5" thickTop="1">
      <c r="A175" s="2164" t="s">
        <v>996</v>
      </c>
      <c r="B175" s="2165"/>
      <c r="C175" s="616"/>
      <c r="D175" s="616"/>
      <c r="E175" s="616"/>
      <c r="F175" s="616"/>
      <c r="G175" s="616"/>
      <c r="H175" s="618"/>
      <c r="I175" s="616"/>
      <c r="J175" s="616"/>
      <c r="K175" s="1616">
        <f>'Revenues 9-14'!E268-'Expenditures 15-22'!K174</f>
        <v>349688</v>
      </c>
      <c r="L175" s="618"/>
    </row>
    <row r="176" spans="1:14" s="666" customFormat="1" ht="9.4" customHeight="1">
      <c r="A176" s="663"/>
      <c r="B176" s="673"/>
      <c r="C176" s="650"/>
      <c r="D176" s="650"/>
      <c r="E176" s="650"/>
      <c r="F176" s="650"/>
      <c r="G176" s="650"/>
      <c r="H176" s="650"/>
      <c r="I176" s="650"/>
      <c r="J176" s="650"/>
      <c r="K176" s="650"/>
      <c r="L176" s="650"/>
      <c r="M176" s="665"/>
      <c r="N176" s="665"/>
    </row>
    <row r="177" spans="1:14" s="343" customFormat="1" ht="16.7" customHeight="1">
      <c r="A177" s="1487" t="s">
        <v>937</v>
      </c>
      <c r="B177" s="1488"/>
      <c r="C177" s="1484"/>
      <c r="D177" s="1485"/>
      <c r="E177" s="1485"/>
      <c r="F177" s="1485"/>
      <c r="G177" s="1485"/>
      <c r="H177" s="1485"/>
      <c r="I177" s="1485"/>
      <c r="J177" s="1485"/>
      <c r="K177" s="1485"/>
      <c r="L177" s="1486"/>
      <c r="M177" s="609"/>
      <c r="N177" s="609"/>
    </row>
    <row r="178" spans="1:14" s="674" customFormat="1" ht="15.75" customHeight="1">
      <c r="A178" s="1553" t="s">
        <v>938</v>
      </c>
      <c r="B178" s="1554"/>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3.15" customHeight="1">
      <c r="A180" s="1437" t="s">
        <v>2020</v>
      </c>
      <c r="B180" s="614" t="s">
        <v>716</v>
      </c>
      <c r="C180" s="466"/>
      <c r="D180" s="466"/>
      <c r="E180" s="466"/>
      <c r="F180" s="466"/>
      <c r="G180" s="466"/>
      <c r="H180" s="466"/>
      <c r="I180" s="467"/>
      <c r="J180" s="467"/>
      <c r="K180" s="1603">
        <f>SUM(C180:J180)</f>
        <v>0</v>
      </c>
      <c r="L180" s="466">
        <v>500</v>
      </c>
    </row>
    <row r="181" spans="1:14" ht="15.75" customHeight="1">
      <c r="A181" s="624" t="s">
        <v>612</v>
      </c>
      <c r="B181" s="676"/>
      <c r="C181" s="570"/>
      <c r="D181" s="570"/>
      <c r="E181" s="570"/>
      <c r="F181" s="570"/>
      <c r="G181" s="570"/>
      <c r="H181" s="570"/>
      <c r="I181" s="468"/>
      <c r="J181" s="468"/>
      <c r="K181" s="570"/>
      <c r="L181" s="570"/>
    </row>
    <row r="182" spans="1:14" ht="13.15" customHeight="1">
      <c r="A182" s="1437" t="s">
        <v>953</v>
      </c>
      <c r="B182" s="614">
        <v>2550</v>
      </c>
      <c r="C182" s="466">
        <v>10493</v>
      </c>
      <c r="D182" s="466"/>
      <c r="E182" s="466">
        <v>2097759</v>
      </c>
      <c r="F182" s="466">
        <v>153813</v>
      </c>
      <c r="G182" s="466">
        <v>1322</v>
      </c>
      <c r="H182" s="466"/>
      <c r="I182" s="467"/>
      <c r="J182" s="467"/>
      <c r="K182" s="1603">
        <f>SUM(C182:J182)</f>
        <v>2263387</v>
      </c>
      <c r="L182" s="466">
        <v>1990654</v>
      </c>
    </row>
    <row r="183" spans="1:14" ht="13.15" customHeight="1" thickBot="1">
      <c r="A183" s="1442" t="s">
        <v>980</v>
      </c>
      <c r="B183" s="677">
        <v>2900</v>
      </c>
      <c r="C183" s="573"/>
      <c r="D183" s="573"/>
      <c r="E183" s="573"/>
      <c r="F183" s="573"/>
      <c r="G183" s="573"/>
      <c r="H183" s="573"/>
      <c r="I183" s="532"/>
      <c r="J183" s="532"/>
      <c r="K183" s="1609">
        <f>SUM(C183:J183)</f>
        <v>0</v>
      </c>
      <c r="L183" s="573">
        <v>0</v>
      </c>
    </row>
    <row r="184" spans="1:14" ht="13.15" customHeight="1" thickTop="1" thickBot="1">
      <c r="A184" s="1623" t="s">
        <v>811</v>
      </c>
      <c r="B184" s="1601" t="s">
        <v>569</v>
      </c>
      <c r="C184" s="1609">
        <f>SUM(C180,C182,C183)</f>
        <v>10493</v>
      </c>
      <c r="D184" s="1609">
        <f t="shared" ref="D184:J184" si="17">SUM(D180,D182,D183)</f>
        <v>0</v>
      </c>
      <c r="E184" s="1609">
        <f t="shared" si="17"/>
        <v>2097759</v>
      </c>
      <c r="F184" s="1609">
        <f t="shared" si="17"/>
        <v>153813</v>
      </c>
      <c r="G184" s="1609">
        <f t="shared" si="17"/>
        <v>1322</v>
      </c>
      <c r="H184" s="1609">
        <f t="shared" si="17"/>
        <v>0</v>
      </c>
      <c r="I184" s="1609">
        <f t="shared" si="17"/>
        <v>0</v>
      </c>
      <c r="J184" s="1609">
        <f t="shared" si="17"/>
        <v>0</v>
      </c>
      <c r="K184" s="1609">
        <f>SUM(K180,K182,K183)</f>
        <v>2263387</v>
      </c>
      <c r="L184" s="1609">
        <f>SUM(L180, L182:L183)</f>
        <v>1991154</v>
      </c>
    </row>
    <row r="185" spans="1:14" ht="15.75" customHeight="1" thickTop="1" thickBot="1">
      <c r="A185" s="1555" t="s">
        <v>939</v>
      </c>
      <c r="B185" s="1544">
        <v>3000</v>
      </c>
      <c r="C185" s="576"/>
      <c r="D185" s="576"/>
      <c r="E185" s="576"/>
      <c r="F185" s="576"/>
      <c r="G185" s="576"/>
      <c r="H185" s="576"/>
      <c r="I185" s="531"/>
      <c r="J185" s="531"/>
      <c r="K185" s="1602">
        <f>SUM(C185:J185)</f>
        <v>0</v>
      </c>
      <c r="L185" s="576">
        <v>0</v>
      </c>
    </row>
    <row r="186" spans="1:14" s="674" customFormat="1" ht="15.75" customHeight="1" thickTop="1">
      <c r="A186" s="1539" t="s">
        <v>91</v>
      </c>
      <c r="B186" s="1542"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7" t="s">
        <v>496</v>
      </c>
      <c r="B188" s="614">
        <v>4110</v>
      </c>
      <c r="C188" s="616"/>
      <c r="D188" s="616"/>
      <c r="E188" s="466"/>
      <c r="F188" s="616"/>
      <c r="G188" s="616"/>
      <c r="H188" s="466"/>
      <c r="I188" s="477"/>
      <c r="J188" s="616"/>
      <c r="K188" s="1603">
        <f t="shared" ref="K188:K193" si="18">SUM(E188,H188)</f>
        <v>0</v>
      </c>
      <c r="L188" s="466">
        <v>0</v>
      </c>
    </row>
    <row r="189" spans="1:14">
      <c r="A189" s="1437" t="s">
        <v>304</v>
      </c>
      <c r="B189" s="614">
        <v>4120</v>
      </c>
      <c r="C189" s="616"/>
      <c r="D189" s="616"/>
      <c r="E189" s="466"/>
      <c r="F189" s="616"/>
      <c r="G189" s="616"/>
      <c r="H189" s="466"/>
      <c r="I189" s="477"/>
      <c r="J189" s="616"/>
      <c r="K189" s="1603">
        <f t="shared" si="18"/>
        <v>0</v>
      </c>
      <c r="L189" s="466">
        <v>0</v>
      </c>
    </row>
    <row r="190" spans="1:14">
      <c r="A190" s="1437" t="s">
        <v>305</v>
      </c>
      <c r="B190" s="628">
        <v>4130</v>
      </c>
      <c r="C190" s="616"/>
      <c r="D190" s="616"/>
      <c r="E190" s="466"/>
      <c r="F190" s="616"/>
      <c r="G190" s="616"/>
      <c r="H190" s="466"/>
      <c r="I190" s="477"/>
      <c r="J190" s="616"/>
      <c r="K190" s="1603">
        <f t="shared" si="18"/>
        <v>0</v>
      </c>
      <c r="L190" s="466">
        <v>0</v>
      </c>
    </row>
    <row r="191" spans="1:14">
      <c r="A191" s="1437" t="s">
        <v>697</v>
      </c>
      <c r="B191" s="614">
        <v>4140</v>
      </c>
      <c r="C191" s="616"/>
      <c r="D191" s="616"/>
      <c r="E191" s="466"/>
      <c r="F191" s="616"/>
      <c r="G191" s="616"/>
      <c r="H191" s="466"/>
      <c r="I191" s="477"/>
      <c r="J191" s="616"/>
      <c r="K191" s="1603">
        <f t="shared" si="18"/>
        <v>0</v>
      </c>
      <c r="L191" s="466">
        <v>0</v>
      </c>
    </row>
    <row r="192" spans="1:14">
      <c r="A192" s="1437" t="s">
        <v>86</v>
      </c>
      <c r="B192" s="614">
        <v>4170</v>
      </c>
      <c r="C192" s="616"/>
      <c r="D192" s="616"/>
      <c r="E192" s="466"/>
      <c r="F192" s="616"/>
      <c r="G192" s="616"/>
      <c r="H192" s="466"/>
      <c r="I192" s="477"/>
      <c r="J192" s="616"/>
      <c r="K192" s="1603">
        <f t="shared" si="18"/>
        <v>0</v>
      </c>
      <c r="L192" s="466">
        <v>0</v>
      </c>
    </row>
    <row r="193" spans="1:14">
      <c r="A193" s="1441" t="s">
        <v>698</v>
      </c>
      <c r="B193" s="628">
        <v>4190</v>
      </c>
      <c r="C193" s="616"/>
      <c r="D193" s="616"/>
      <c r="E193" s="466"/>
      <c r="F193" s="616"/>
      <c r="G193" s="616"/>
      <c r="H193" s="466"/>
      <c r="I193" s="477"/>
      <c r="J193" s="616"/>
      <c r="K193" s="1603">
        <f t="shared" si="18"/>
        <v>0</v>
      </c>
      <c r="L193" s="466">
        <v>0</v>
      </c>
    </row>
    <row r="194" spans="1:14" ht="13.15" customHeight="1" thickBot="1">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c r="A195" s="669" t="s">
        <v>92</v>
      </c>
      <c r="B195" s="678" t="s">
        <v>931</v>
      </c>
      <c r="C195" s="616"/>
      <c r="D195" s="616"/>
      <c r="E195" s="656"/>
      <c r="F195" s="616"/>
      <c r="G195" s="616"/>
      <c r="H195" s="656"/>
      <c r="I195" s="477"/>
      <c r="J195" s="616"/>
      <c r="K195" s="1617">
        <f>SUM(E195,H195)</f>
        <v>0</v>
      </c>
      <c r="L195" s="656">
        <v>0</v>
      </c>
    </row>
    <row r="196" spans="1:14" ht="13.15" customHeight="1" thickBot="1">
      <c r="A196" s="1600" t="s">
        <v>1466</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c r="A197" s="1545" t="s">
        <v>940</v>
      </c>
      <c r="B197" s="1542"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7" t="s">
        <v>87</v>
      </c>
      <c r="B199" s="614">
        <v>5110</v>
      </c>
      <c r="C199" s="616"/>
      <c r="D199" s="616"/>
      <c r="E199" s="616"/>
      <c r="F199" s="616"/>
      <c r="G199" s="616"/>
      <c r="H199" s="466"/>
      <c r="I199" s="616"/>
      <c r="J199" s="616"/>
      <c r="K199" s="1603">
        <f>SUM(H199)</f>
        <v>0</v>
      </c>
      <c r="L199" s="466">
        <v>0</v>
      </c>
    </row>
    <row r="200" spans="1:14">
      <c r="A200" s="1437" t="s">
        <v>88</v>
      </c>
      <c r="B200" s="614">
        <v>5120</v>
      </c>
      <c r="C200" s="616"/>
      <c r="D200" s="616"/>
      <c r="E200" s="616"/>
      <c r="F200" s="616"/>
      <c r="G200" s="616"/>
      <c r="H200" s="466"/>
      <c r="I200" s="616"/>
      <c r="J200" s="616"/>
      <c r="K200" s="1603">
        <f>SUM(H200)</f>
        <v>0</v>
      </c>
      <c r="L200" s="466">
        <v>0</v>
      </c>
    </row>
    <row r="201" spans="1:14" ht="13.15" customHeight="1">
      <c r="A201" s="1437" t="s">
        <v>1170</v>
      </c>
      <c r="B201" s="628" t="s">
        <v>617</v>
      </c>
      <c r="C201" s="616"/>
      <c r="D201" s="616"/>
      <c r="E201" s="616"/>
      <c r="F201" s="616"/>
      <c r="G201" s="616"/>
      <c r="H201" s="466"/>
      <c r="I201" s="616"/>
      <c r="J201" s="616"/>
      <c r="K201" s="1603">
        <f>SUM(H201)</f>
        <v>0</v>
      </c>
      <c r="L201" s="466">
        <v>0</v>
      </c>
    </row>
    <row r="202" spans="1:14">
      <c r="A202" s="1437" t="s">
        <v>89</v>
      </c>
      <c r="B202" s="614" t="s">
        <v>589</v>
      </c>
      <c r="C202" s="616"/>
      <c r="D202" s="616"/>
      <c r="E202" s="616"/>
      <c r="F202" s="616"/>
      <c r="G202" s="616"/>
      <c r="H202" s="466"/>
      <c r="I202" s="616"/>
      <c r="J202" s="616"/>
      <c r="K202" s="1603">
        <f>SUM(H202)</f>
        <v>0</v>
      </c>
      <c r="L202" s="466">
        <v>0</v>
      </c>
    </row>
    <row r="203" spans="1:14">
      <c r="A203" s="1449" t="s">
        <v>619</v>
      </c>
      <c r="B203" s="614" t="s">
        <v>618</v>
      </c>
      <c r="C203" s="616"/>
      <c r="D203" s="616"/>
      <c r="E203" s="616"/>
      <c r="F203" s="616"/>
      <c r="G203" s="616"/>
      <c r="H203" s="471"/>
      <c r="I203" s="616"/>
      <c r="J203" s="616"/>
      <c r="K203" s="1603">
        <f>SUM(H203)</f>
        <v>0</v>
      </c>
      <c r="L203" s="471">
        <v>0</v>
      </c>
    </row>
    <row r="204" spans="1:14" ht="13.5" thickBot="1">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c r="A205" s="679" t="s">
        <v>83</v>
      </c>
      <c r="B205" s="680" t="s">
        <v>38</v>
      </c>
      <c r="C205" s="616"/>
      <c r="D205" s="616"/>
      <c r="E205" s="616"/>
      <c r="F205" s="616"/>
      <c r="G205" s="616"/>
      <c r="H205" s="535"/>
      <c r="I205" s="616"/>
      <c r="J205" s="616"/>
      <c r="K205" s="1617">
        <f>SUM(H205)</f>
        <v>0</v>
      </c>
      <c r="L205" s="535">
        <v>0</v>
      </c>
    </row>
    <row r="206" spans="1:14" ht="30" customHeight="1">
      <c r="A206" s="681" t="s">
        <v>1644</v>
      </c>
      <c r="B206" s="672" t="s">
        <v>31</v>
      </c>
      <c r="C206" s="616"/>
      <c r="D206" s="616"/>
      <c r="E206" s="616"/>
      <c r="F206" s="616"/>
      <c r="G206" s="616"/>
      <c r="H206" s="466"/>
      <c r="I206" s="616"/>
      <c r="J206" s="616"/>
      <c r="K206" s="1603">
        <f>SUM(H206)</f>
        <v>0</v>
      </c>
      <c r="L206" s="466">
        <v>0</v>
      </c>
    </row>
    <row r="207" spans="1:14" ht="15.75" customHeight="1">
      <c r="A207" s="621" t="s">
        <v>766</v>
      </c>
      <c r="B207" s="672" t="s">
        <v>84</v>
      </c>
      <c r="C207" s="616"/>
      <c r="D207" s="616"/>
      <c r="E207" s="616"/>
      <c r="F207" s="616"/>
      <c r="G207" s="616"/>
      <c r="H207" s="467"/>
      <c r="I207" s="616"/>
      <c r="J207" s="616"/>
      <c r="K207" s="1603">
        <f>H207</f>
        <v>0</v>
      </c>
      <c r="L207" s="466">
        <v>0</v>
      </c>
    </row>
    <row r="208" spans="1:14" ht="13.15" customHeight="1" thickBot="1">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c r="A209" s="1539" t="s">
        <v>872</v>
      </c>
      <c r="B209" s="1546" t="s">
        <v>861</v>
      </c>
      <c r="C209" s="623"/>
      <c r="D209" s="623"/>
      <c r="E209" s="623"/>
      <c r="F209" s="623"/>
      <c r="G209" s="623"/>
      <c r="H209" s="623"/>
      <c r="I209" s="616"/>
      <c r="J209" s="616"/>
      <c r="K209" s="623"/>
      <c r="L209" s="576">
        <v>0</v>
      </c>
    </row>
    <row r="210" spans="1:14" ht="13.15" customHeight="1" thickTop="1" thickBot="1">
      <c r="A210" s="1624" t="s">
        <v>277</v>
      </c>
      <c r="B210" s="1625"/>
      <c r="C210" s="1602">
        <f>SUM(C184,C185)</f>
        <v>10493</v>
      </c>
      <c r="D210" s="1602">
        <f>SUM(D184,D185)</f>
        <v>0</v>
      </c>
      <c r="E210" s="1602">
        <f>SUM(E184,E185,E196)</f>
        <v>2097759</v>
      </c>
      <c r="F210" s="1602">
        <f>SUM(F184,F185)</f>
        <v>153813</v>
      </c>
      <c r="G210" s="1602">
        <f>SUM(G184,G185)</f>
        <v>1322</v>
      </c>
      <c r="H210" s="1602">
        <f>SUM(H184,H185,H196,H208,H209)</f>
        <v>0</v>
      </c>
      <c r="I210" s="1602">
        <f>SUM(I184,I185)</f>
        <v>0</v>
      </c>
      <c r="J210" s="1602">
        <f>SUM(J184,J185)</f>
        <v>0</v>
      </c>
      <c r="K210" s="1603">
        <f>SUM(K184,K185,K196,K208,K209)</f>
        <v>2263387</v>
      </c>
      <c r="L210" s="1602">
        <f>SUM(L184,L185,L196,L208,L209)</f>
        <v>1991154</v>
      </c>
    </row>
    <row r="211" spans="1:14" ht="13.5" thickTop="1">
      <c r="A211" s="2164" t="s">
        <v>996</v>
      </c>
      <c r="B211" s="2165"/>
      <c r="C211" s="618"/>
      <c r="D211" s="618"/>
      <c r="E211" s="618"/>
      <c r="F211" s="618"/>
      <c r="G211" s="618"/>
      <c r="H211" s="618"/>
      <c r="I211" s="616"/>
      <c r="J211" s="616"/>
      <c r="K211" s="1616">
        <f>'Revenues 9-14'!F268-'Expenditures 15-22'!K210</f>
        <v>-70158</v>
      </c>
      <c r="L211" s="618"/>
    </row>
    <row r="212" spans="1:14" s="666" customFormat="1" ht="9.4" customHeight="1">
      <c r="A212" s="663"/>
      <c r="B212" s="673"/>
      <c r="C212" s="650"/>
      <c r="D212" s="650"/>
      <c r="E212" s="650"/>
      <c r="F212" s="650"/>
      <c r="G212" s="650"/>
      <c r="H212" s="650"/>
      <c r="I212" s="650"/>
      <c r="J212" s="650"/>
      <c r="K212" s="650"/>
      <c r="L212" s="650"/>
      <c r="M212" s="665"/>
      <c r="N212" s="665"/>
    </row>
    <row r="213" spans="1:14" s="343" customFormat="1" ht="16.7" customHeight="1">
      <c r="A213" s="2186" t="s">
        <v>965</v>
      </c>
      <c r="B213" s="2187"/>
      <c r="C213" s="1484"/>
      <c r="D213" s="1485"/>
      <c r="E213" s="1485"/>
      <c r="F213" s="1485"/>
      <c r="G213" s="1485"/>
      <c r="H213" s="1485"/>
      <c r="I213" s="1485"/>
      <c r="J213" s="1485"/>
      <c r="K213" s="1485"/>
      <c r="L213" s="1486"/>
      <c r="M213" s="609"/>
      <c r="N213" s="609"/>
    </row>
    <row r="214" spans="1:14" s="674" customFormat="1" ht="15.75" customHeight="1">
      <c r="A214" s="1556" t="s">
        <v>873</v>
      </c>
      <c r="B214" s="1548" t="s">
        <v>570</v>
      </c>
      <c r="C214" s="616"/>
      <c r="D214" s="623"/>
      <c r="E214" s="616"/>
      <c r="F214" s="616"/>
      <c r="G214" s="616"/>
      <c r="H214" s="616"/>
      <c r="I214" s="616"/>
      <c r="J214" s="616"/>
      <c r="K214" s="623"/>
      <c r="L214" s="623"/>
      <c r="M214" s="665"/>
      <c r="N214" s="665"/>
    </row>
    <row r="215" spans="1:14">
      <c r="A215" s="1437" t="s">
        <v>961</v>
      </c>
      <c r="B215" s="614">
        <v>1100</v>
      </c>
      <c r="C215" s="616"/>
      <c r="D215" s="466">
        <v>145109</v>
      </c>
      <c r="E215" s="616"/>
      <c r="F215" s="616"/>
      <c r="G215" s="616"/>
      <c r="H215" s="616"/>
      <c r="I215" s="616"/>
      <c r="J215" s="616"/>
      <c r="K215" s="1603">
        <f>D215</f>
        <v>145109</v>
      </c>
      <c r="L215" s="466">
        <v>152543</v>
      </c>
    </row>
    <row r="216" spans="1:14">
      <c r="A216" s="1437" t="s">
        <v>163</v>
      </c>
      <c r="B216" s="614" t="s">
        <v>967</v>
      </c>
      <c r="C216" s="616"/>
      <c r="D216" s="467">
        <v>7094</v>
      </c>
      <c r="E216" s="616"/>
      <c r="F216" s="616"/>
      <c r="G216" s="616"/>
      <c r="H216" s="616"/>
      <c r="I216" s="616"/>
      <c r="J216" s="616"/>
      <c r="K216" s="1603">
        <f t="shared" ref="K216:K228" si="19">D216</f>
        <v>7094</v>
      </c>
      <c r="L216" s="466">
        <v>8127</v>
      </c>
    </row>
    <row r="217" spans="1:14">
      <c r="A217" s="1437" t="s">
        <v>164</v>
      </c>
      <c r="B217" s="614">
        <v>1200</v>
      </c>
      <c r="C217" s="616"/>
      <c r="D217" s="466">
        <v>131574</v>
      </c>
      <c r="E217" s="616"/>
      <c r="F217" s="616"/>
      <c r="G217" s="616"/>
      <c r="H217" s="616"/>
      <c r="I217" s="616"/>
      <c r="J217" s="616"/>
      <c r="K217" s="1603">
        <f t="shared" si="19"/>
        <v>131574</v>
      </c>
      <c r="L217" s="466">
        <v>137398</v>
      </c>
    </row>
    <row r="218" spans="1:14">
      <c r="A218" s="1437" t="s">
        <v>278</v>
      </c>
      <c r="B218" s="614" t="s">
        <v>968</v>
      </c>
      <c r="C218" s="616"/>
      <c r="D218" s="467"/>
      <c r="E218" s="616"/>
      <c r="F218" s="616"/>
      <c r="G218" s="616"/>
      <c r="H218" s="616"/>
      <c r="I218" s="616"/>
      <c r="J218" s="616"/>
      <c r="K218" s="1603">
        <f t="shared" si="19"/>
        <v>0</v>
      </c>
      <c r="L218" s="466">
        <v>0</v>
      </c>
    </row>
    <row r="219" spans="1:14">
      <c r="A219" s="1437" t="s">
        <v>279</v>
      </c>
      <c r="B219" s="614">
        <v>1250</v>
      </c>
      <c r="C219" s="616"/>
      <c r="D219" s="466">
        <v>12415</v>
      </c>
      <c r="E219" s="616"/>
      <c r="F219" s="616"/>
      <c r="G219" s="616"/>
      <c r="H219" s="616"/>
      <c r="I219" s="616"/>
      <c r="J219" s="616"/>
      <c r="K219" s="1603">
        <f t="shared" si="19"/>
        <v>12415</v>
      </c>
      <c r="L219" s="466">
        <v>19029</v>
      </c>
    </row>
    <row r="220" spans="1:14">
      <c r="A220" s="1437" t="s">
        <v>280</v>
      </c>
      <c r="B220" s="614" t="s">
        <v>161</v>
      </c>
      <c r="C220" s="616"/>
      <c r="D220" s="467"/>
      <c r="E220" s="616"/>
      <c r="F220" s="616"/>
      <c r="G220" s="616"/>
      <c r="H220" s="616"/>
      <c r="I220" s="616"/>
      <c r="J220" s="616"/>
      <c r="K220" s="1603">
        <f t="shared" si="19"/>
        <v>0</v>
      </c>
      <c r="L220" s="466">
        <v>0</v>
      </c>
    </row>
    <row r="221" spans="1:14">
      <c r="A221" s="1437" t="s">
        <v>962</v>
      </c>
      <c r="B221" s="614">
        <v>1300</v>
      </c>
      <c r="C221" s="616"/>
      <c r="D221" s="466"/>
      <c r="E221" s="616"/>
      <c r="F221" s="616"/>
      <c r="G221" s="616"/>
      <c r="H221" s="616"/>
      <c r="I221" s="616"/>
      <c r="J221" s="616"/>
      <c r="K221" s="1603">
        <f t="shared" si="19"/>
        <v>0</v>
      </c>
      <c r="L221" s="466">
        <v>0</v>
      </c>
    </row>
    <row r="222" spans="1:14">
      <c r="A222" s="1437" t="s">
        <v>723</v>
      </c>
      <c r="B222" s="614">
        <v>1400</v>
      </c>
      <c r="C222" s="616"/>
      <c r="D222" s="466">
        <v>2210</v>
      </c>
      <c r="E222" s="616"/>
      <c r="F222" s="616"/>
      <c r="G222" s="616"/>
      <c r="H222" s="616"/>
      <c r="I222" s="616"/>
      <c r="J222" s="616"/>
      <c r="K222" s="1603">
        <f t="shared" si="19"/>
        <v>2210</v>
      </c>
      <c r="L222" s="466">
        <v>2230</v>
      </c>
    </row>
    <row r="223" spans="1:14">
      <c r="A223" s="1437" t="s">
        <v>963</v>
      </c>
      <c r="B223" s="614">
        <v>1500</v>
      </c>
      <c r="C223" s="616"/>
      <c r="D223" s="466">
        <v>23865</v>
      </c>
      <c r="E223" s="616"/>
      <c r="F223" s="616"/>
      <c r="G223" s="616"/>
      <c r="H223" s="616"/>
      <c r="I223" s="616"/>
      <c r="J223" s="616"/>
      <c r="K223" s="1603">
        <f t="shared" si="19"/>
        <v>23865</v>
      </c>
      <c r="L223" s="466">
        <v>25296</v>
      </c>
    </row>
    <row r="224" spans="1:14">
      <c r="A224" s="1437" t="s">
        <v>964</v>
      </c>
      <c r="B224" s="614">
        <v>1600</v>
      </c>
      <c r="C224" s="616"/>
      <c r="D224" s="466">
        <v>158</v>
      </c>
      <c r="E224" s="616"/>
      <c r="F224" s="616"/>
      <c r="G224" s="616"/>
      <c r="H224" s="616"/>
      <c r="I224" s="616"/>
      <c r="J224" s="616"/>
      <c r="K224" s="1603">
        <f t="shared" si="19"/>
        <v>158</v>
      </c>
      <c r="L224" s="466">
        <v>500</v>
      </c>
    </row>
    <row r="225" spans="1:12">
      <c r="A225" s="1437" t="s">
        <v>987</v>
      </c>
      <c r="B225" s="614">
        <v>1650</v>
      </c>
      <c r="C225" s="616"/>
      <c r="D225" s="466"/>
      <c r="E225" s="616"/>
      <c r="F225" s="616"/>
      <c r="G225" s="616"/>
      <c r="H225" s="616"/>
      <c r="I225" s="616"/>
      <c r="J225" s="616"/>
      <c r="K225" s="1603">
        <f t="shared" si="19"/>
        <v>0</v>
      </c>
      <c r="L225" s="466">
        <v>0</v>
      </c>
    </row>
    <row r="226" spans="1:12">
      <c r="A226" s="1437" t="s">
        <v>724</v>
      </c>
      <c r="B226" s="614" t="s">
        <v>162</v>
      </c>
      <c r="C226" s="616"/>
      <c r="D226" s="467"/>
      <c r="E226" s="616"/>
      <c r="F226" s="616"/>
      <c r="G226" s="616"/>
      <c r="H226" s="616"/>
      <c r="I226" s="616"/>
      <c r="J226" s="616"/>
      <c r="K226" s="1603">
        <f t="shared" si="19"/>
        <v>0</v>
      </c>
      <c r="L226" s="466">
        <v>0</v>
      </c>
    </row>
    <row r="227" spans="1:12">
      <c r="A227" s="1437" t="s">
        <v>1087</v>
      </c>
      <c r="B227" s="614">
        <v>1800</v>
      </c>
      <c r="C227" s="616"/>
      <c r="D227" s="466"/>
      <c r="E227" s="616"/>
      <c r="F227" s="616"/>
      <c r="G227" s="616"/>
      <c r="H227" s="616"/>
      <c r="I227" s="616"/>
      <c r="J227" s="616"/>
      <c r="K227" s="1603">
        <f t="shared" si="19"/>
        <v>0</v>
      </c>
      <c r="L227" s="466">
        <v>0</v>
      </c>
    </row>
    <row r="228" spans="1:12">
      <c r="A228" s="1437" t="s">
        <v>1088</v>
      </c>
      <c r="B228" s="614">
        <v>1900</v>
      </c>
      <c r="C228" s="616"/>
      <c r="D228" s="466"/>
      <c r="E228" s="616"/>
      <c r="F228" s="616"/>
      <c r="G228" s="616"/>
      <c r="H228" s="616"/>
      <c r="I228" s="616"/>
      <c r="J228" s="616"/>
      <c r="K228" s="1603">
        <f t="shared" si="19"/>
        <v>0</v>
      </c>
      <c r="L228" s="466">
        <v>0</v>
      </c>
    </row>
    <row r="229" spans="1:12" ht="13.15" customHeight="1" thickBot="1">
      <c r="A229" s="1600" t="s">
        <v>715</v>
      </c>
      <c r="B229" s="1607" t="s">
        <v>570</v>
      </c>
      <c r="C229" s="616"/>
      <c r="D229" s="1602">
        <f>SUM(D215:D228)</f>
        <v>322425</v>
      </c>
      <c r="E229" s="616"/>
      <c r="F229" s="616"/>
      <c r="G229" s="616"/>
      <c r="H229" s="616"/>
      <c r="I229" s="616"/>
      <c r="J229" s="616"/>
      <c r="K229" s="1602">
        <f>SUM(K215:K228)</f>
        <v>322425</v>
      </c>
      <c r="L229" s="1602">
        <f>SUM(L215:L228)</f>
        <v>345123</v>
      </c>
    </row>
    <row r="230" spans="1:12" ht="15.75" customHeight="1" thickTop="1">
      <c r="A230" s="1545" t="s">
        <v>874</v>
      </c>
      <c r="B230" s="1546"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7" t="s">
        <v>1089</v>
      </c>
      <c r="B232" s="614">
        <v>2110</v>
      </c>
      <c r="C232" s="616"/>
      <c r="D232" s="466"/>
      <c r="E232" s="616"/>
      <c r="F232" s="616"/>
      <c r="G232" s="616"/>
      <c r="H232" s="616"/>
      <c r="I232" s="616"/>
      <c r="J232" s="616"/>
      <c r="K232" s="1603">
        <f t="shared" ref="K232:K237" si="20">D232</f>
        <v>0</v>
      </c>
      <c r="L232" s="466">
        <v>0</v>
      </c>
    </row>
    <row r="233" spans="1:12">
      <c r="A233" s="1437" t="s">
        <v>1090</v>
      </c>
      <c r="B233" s="614">
        <v>2120</v>
      </c>
      <c r="C233" s="616"/>
      <c r="D233" s="466">
        <v>10751</v>
      </c>
      <c r="E233" s="616"/>
      <c r="F233" s="616"/>
      <c r="G233" s="616"/>
      <c r="H233" s="616"/>
      <c r="I233" s="616"/>
      <c r="J233" s="616"/>
      <c r="K233" s="1603">
        <f t="shared" si="20"/>
        <v>10751</v>
      </c>
      <c r="L233" s="466">
        <v>8675</v>
      </c>
    </row>
    <row r="234" spans="1:12">
      <c r="A234" s="1437" t="s">
        <v>198</v>
      </c>
      <c r="B234" s="614">
        <v>2130</v>
      </c>
      <c r="C234" s="616"/>
      <c r="D234" s="466">
        <v>25626</v>
      </c>
      <c r="E234" s="616"/>
      <c r="F234" s="616"/>
      <c r="G234" s="616"/>
      <c r="H234" s="616"/>
      <c r="I234" s="616"/>
      <c r="J234" s="616"/>
      <c r="K234" s="1603">
        <f t="shared" si="20"/>
        <v>25626</v>
      </c>
      <c r="L234" s="466">
        <v>17675</v>
      </c>
    </row>
    <row r="235" spans="1:12">
      <c r="A235" s="1437" t="s">
        <v>199</v>
      </c>
      <c r="B235" s="614">
        <v>2140</v>
      </c>
      <c r="C235" s="616"/>
      <c r="D235" s="466"/>
      <c r="E235" s="616"/>
      <c r="F235" s="616"/>
      <c r="G235" s="616"/>
      <c r="H235" s="616"/>
      <c r="I235" s="616"/>
      <c r="J235" s="616"/>
      <c r="K235" s="1603">
        <f t="shared" si="20"/>
        <v>0</v>
      </c>
      <c r="L235" s="466">
        <v>0</v>
      </c>
    </row>
    <row r="236" spans="1:12">
      <c r="A236" s="1437" t="s">
        <v>200</v>
      </c>
      <c r="B236" s="614">
        <v>2150</v>
      </c>
      <c r="C236" s="616"/>
      <c r="D236" s="466">
        <v>1146</v>
      </c>
      <c r="E236" s="616"/>
      <c r="F236" s="616"/>
      <c r="G236" s="616"/>
      <c r="H236" s="616"/>
      <c r="I236" s="616"/>
      <c r="J236" s="616"/>
      <c r="K236" s="1603">
        <f t="shared" si="20"/>
        <v>1146</v>
      </c>
      <c r="L236" s="466">
        <v>1150</v>
      </c>
    </row>
    <row r="237" spans="1:12">
      <c r="A237" s="1437" t="s">
        <v>165</v>
      </c>
      <c r="B237" s="614">
        <v>2190</v>
      </c>
      <c r="C237" s="616"/>
      <c r="D237" s="466">
        <v>1178</v>
      </c>
      <c r="E237" s="616"/>
      <c r="F237" s="616"/>
      <c r="G237" s="616"/>
      <c r="H237" s="616"/>
      <c r="I237" s="616"/>
      <c r="J237" s="616"/>
      <c r="K237" s="1603">
        <f t="shared" si="20"/>
        <v>1178</v>
      </c>
      <c r="L237" s="466">
        <v>1650</v>
      </c>
    </row>
    <row r="238" spans="1:12" ht="13.15" customHeight="1" thickBot="1">
      <c r="A238" s="1600" t="s">
        <v>560</v>
      </c>
      <c r="B238" s="1607" t="s">
        <v>716</v>
      </c>
      <c r="C238" s="616"/>
      <c r="D238" s="1602">
        <f>SUM(D232:D237)</f>
        <v>38701</v>
      </c>
      <c r="E238" s="616"/>
      <c r="F238" s="616"/>
      <c r="G238" s="616"/>
      <c r="H238" s="616"/>
      <c r="I238" s="616"/>
      <c r="J238" s="616"/>
      <c r="K238" s="1602">
        <f>SUM(K232:K237)</f>
        <v>38701</v>
      </c>
      <c r="L238" s="1602">
        <f>SUM(L232:L237)</f>
        <v>29150</v>
      </c>
    </row>
    <row r="239" spans="1:12" ht="15.75" customHeight="1" thickTop="1">
      <c r="A239" s="624" t="s">
        <v>592</v>
      </c>
      <c r="B239" s="631"/>
      <c r="C239" s="616"/>
      <c r="D239" s="626"/>
      <c r="E239" s="616"/>
      <c r="F239" s="616"/>
      <c r="G239" s="616"/>
      <c r="H239" s="616"/>
      <c r="I239" s="616"/>
      <c r="J239" s="616"/>
      <c r="K239" s="626"/>
      <c r="L239" s="626"/>
    </row>
    <row r="240" spans="1:12">
      <c r="A240" s="1437" t="s">
        <v>814</v>
      </c>
      <c r="B240" s="614">
        <v>2210</v>
      </c>
      <c r="C240" s="616"/>
      <c r="D240" s="481">
        <v>8471</v>
      </c>
      <c r="E240" s="616"/>
      <c r="F240" s="616"/>
      <c r="G240" s="616"/>
      <c r="H240" s="616"/>
      <c r="I240" s="616"/>
      <c r="J240" s="616"/>
      <c r="K240" s="1604">
        <f>D240</f>
        <v>8471</v>
      </c>
      <c r="L240" s="481">
        <v>12321</v>
      </c>
    </row>
    <row r="241" spans="1:12">
      <c r="A241" s="1437" t="s">
        <v>815</v>
      </c>
      <c r="B241" s="614">
        <v>2220</v>
      </c>
      <c r="C241" s="616"/>
      <c r="D241" s="466">
        <v>7223</v>
      </c>
      <c r="E241" s="616"/>
      <c r="F241" s="616"/>
      <c r="G241" s="616"/>
      <c r="H241" s="616"/>
      <c r="I241" s="616"/>
      <c r="J241" s="616"/>
      <c r="K241" s="1604">
        <f>D241</f>
        <v>7223</v>
      </c>
      <c r="L241" s="466">
        <v>4900</v>
      </c>
    </row>
    <row r="242" spans="1:12">
      <c r="A242" s="1437" t="s">
        <v>816</v>
      </c>
      <c r="B242" s="614">
        <v>2230</v>
      </c>
      <c r="C242" s="616"/>
      <c r="D242" s="466"/>
      <c r="E242" s="616"/>
      <c r="F242" s="616"/>
      <c r="G242" s="616"/>
      <c r="H242" s="616"/>
      <c r="I242" s="616"/>
      <c r="J242" s="616"/>
      <c r="K242" s="1604">
        <f>D242</f>
        <v>0</v>
      </c>
      <c r="L242" s="466">
        <v>0</v>
      </c>
    </row>
    <row r="243" spans="1:12" ht="13.15" customHeight="1" thickBot="1">
      <c r="A243" s="1626" t="s">
        <v>561</v>
      </c>
      <c r="B243" s="1627">
        <v>2200</v>
      </c>
      <c r="C243" s="616"/>
      <c r="D243" s="1602">
        <f>SUM(D240:D242)</f>
        <v>15694</v>
      </c>
      <c r="E243" s="616"/>
      <c r="F243" s="616"/>
      <c r="G243" s="616"/>
      <c r="H243" s="616"/>
      <c r="I243" s="616"/>
      <c r="J243" s="616"/>
      <c r="K243" s="1602">
        <f>SUM(K240:K242)</f>
        <v>15694</v>
      </c>
      <c r="L243" s="1602">
        <f>SUM(L240:L242)</f>
        <v>17221</v>
      </c>
    </row>
    <row r="244" spans="1:12" ht="15.75" customHeight="1" thickTop="1">
      <c r="A244" s="624" t="s">
        <v>610</v>
      </c>
      <c r="B244" s="682"/>
      <c r="C244" s="616"/>
      <c r="D244" s="626"/>
      <c r="E244" s="616"/>
      <c r="F244" s="616"/>
      <c r="G244" s="616"/>
      <c r="H244" s="616"/>
      <c r="I244" s="616"/>
      <c r="J244" s="616"/>
      <c r="K244" s="626"/>
      <c r="L244" s="626"/>
    </row>
    <row r="245" spans="1:12">
      <c r="A245" s="1437" t="s">
        <v>817</v>
      </c>
      <c r="B245" s="614">
        <v>2310</v>
      </c>
      <c r="C245" s="616"/>
      <c r="D245" s="481"/>
      <c r="E245" s="616"/>
      <c r="F245" s="616"/>
      <c r="G245" s="616"/>
      <c r="H245" s="616"/>
      <c r="I245" s="616"/>
      <c r="J245" s="616"/>
      <c r="K245" s="1604">
        <f>D245</f>
        <v>0</v>
      </c>
      <c r="L245" s="481">
        <v>0</v>
      </c>
    </row>
    <row r="246" spans="1:12">
      <c r="A246" s="1437" t="s">
        <v>818</v>
      </c>
      <c r="B246" s="614">
        <v>2320</v>
      </c>
      <c r="C246" s="616"/>
      <c r="D246" s="466">
        <v>11444</v>
      </c>
      <c r="E246" s="616"/>
      <c r="F246" s="616"/>
      <c r="G246" s="616"/>
      <c r="H246" s="616"/>
      <c r="I246" s="616"/>
      <c r="J246" s="616"/>
      <c r="K246" s="1604">
        <f t="shared" ref="K246:K256" si="21">D246</f>
        <v>11444</v>
      </c>
      <c r="L246" s="466">
        <v>10500</v>
      </c>
    </row>
    <row r="247" spans="1:12">
      <c r="A247" s="1437" t="s">
        <v>819</v>
      </c>
      <c r="B247" s="614">
        <v>2330</v>
      </c>
      <c r="C247" s="616"/>
      <c r="D247" s="466"/>
      <c r="E247" s="616"/>
      <c r="F247" s="616"/>
      <c r="G247" s="616"/>
      <c r="H247" s="616"/>
      <c r="I247" s="616"/>
      <c r="J247" s="616"/>
      <c r="K247" s="1604">
        <f t="shared" si="21"/>
        <v>0</v>
      </c>
      <c r="L247" s="466">
        <v>0</v>
      </c>
    </row>
    <row r="248" spans="1:12">
      <c r="A248" s="1438" t="s">
        <v>299</v>
      </c>
      <c r="B248" s="602" t="s">
        <v>281</v>
      </c>
      <c r="C248" s="616"/>
      <c r="D248" s="474"/>
      <c r="E248" s="616"/>
      <c r="F248" s="616"/>
      <c r="G248" s="616"/>
      <c r="H248" s="616"/>
      <c r="I248" s="616"/>
      <c r="J248" s="616"/>
      <c r="K248" s="1604">
        <f t="shared" si="21"/>
        <v>0</v>
      </c>
      <c r="L248" s="466">
        <v>0</v>
      </c>
    </row>
    <row r="249" spans="1:12">
      <c r="A249" s="1439" t="s">
        <v>1767</v>
      </c>
      <c r="B249" s="683" t="s">
        <v>282</v>
      </c>
      <c r="C249" s="616"/>
      <c r="D249" s="474"/>
      <c r="E249" s="616"/>
      <c r="F249" s="616"/>
      <c r="G249" s="616"/>
      <c r="H249" s="616"/>
      <c r="I249" s="616"/>
      <c r="J249" s="616"/>
      <c r="K249" s="1604">
        <f t="shared" si="21"/>
        <v>0</v>
      </c>
      <c r="L249" s="466">
        <v>0</v>
      </c>
    </row>
    <row r="250" spans="1:12">
      <c r="A250" s="1438" t="s">
        <v>1768</v>
      </c>
      <c r="B250" s="602" t="s">
        <v>283</v>
      </c>
      <c r="C250" s="616"/>
      <c r="D250" s="474"/>
      <c r="E250" s="616"/>
      <c r="F250" s="616"/>
      <c r="G250" s="616"/>
      <c r="H250" s="616"/>
      <c r="I250" s="616"/>
      <c r="J250" s="616"/>
      <c r="K250" s="1604">
        <f t="shared" si="21"/>
        <v>0</v>
      </c>
      <c r="L250" s="466">
        <v>0</v>
      </c>
    </row>
    <row r="251" spans="1:12">
      <c r="A251" s="1438" t="s">
        <v>238</v>
      </c>
      <c r="B251" s="602" t="s">
        <v>284</v>
      </c>
      <c r="C251" s="616"/>
      <c r="D251" s="474"/>
      <c r="E251" s="616"/>
      <c r="F251" s="616"/>
      <c r="G251" s="616"/>
      <c r="H251" s="616"/>
      <c r="I251" s="616"/>
      <c r="J251" s="616"/>
      <c r="K251" s="1604">
        <f t="shared" si="21"/>
        <v>0</v>
      </c>
      <c r="L251" s="466">
        <v>0</v>
      </c>
    </row>
    <row r="252" spans="1:12">
      <c r="A252" s="1438" t="s">
        <v>702</v>
      </c>
      <c r="B252" s="602" t="s">
        <v>285</v>
      </c>
      <c r="C252" s="616"/>
      <c r="D252" s="474"/>
      <c r="E252" s="616"/>
      <c r="F252" s="616"/>
      <c r="G252" s="616"/>
      <c r="H252" s="616"/>
      <c r="I252" s="616"/>
      <c r="J252" s="616"/>
      <c r="K252" s="1604">
        <f t="shared" si="21"/>
        <v>0</v>
      </c>
      <c r="L252" s="466">
        <v>0</v>
      </c>
    </row>
    <row r="253" spans="1:12">
      <c r="A253" s="1438" t="s">
        <v>239</v>
      </c>
      <c r="B253" s="602" t="s">
        <v>286</v>
      </c>
      <c r="C253" s="616"/>
      <c r="D253" s="474">
        <v>44386</v>
      </c>
      <c r="E253" s="616"/>
      <c r="F253" s="616"/>
      <c r="G253" s="616"/>
      <c r="H253" s="616"/>
      <c r="I253" s="616"/>
      <c r="J253" s="616"/>
      <c r="K253" s="1604">
        <f t="shared" si="21"/>
        <v>44386</v>
      </c>
      <c r="L253" s="466">
        <v>0</v>
      </c>
    </row>
    <row r="254" spans="1:12" ht="22.5">
      <c r="A254" s="1438" t="s">
        <v>1029</v>
      </c>
      <c r="B254" s="683" t="s">
        <v>287</v>
      </c>
      <c r="C254" s="616"/>
      <c r="D254" s="474"/>
      <c r="E254" s="616"/>
      <c r="F254" s="616"/>
      <c r="G254" s="616"/>
      <c r="H254" s="616"/>
      <c r="I254" s="616"/>
      <c r="J254" s="616"/>
      <c r="K254" s="1604">
        <f t="shared" si="21"/>
        <v>0</v>
      </c>
      <c r="L254" s="466">
        <v>47048</v>
      </c>
    </row>
    <row r="255" spans="1:12">
      <c r="A255" s="1438" t="s">
        <v>1030</v>
      </c>
      <c r="B255" s="602" t="s">
        <v>288</v>
      </c>
      <c r="C255" s="616"/>
      <c r="D255" s="474"/>
      <c r="E255" s="616"/>
      <c r="F255" s="616"/>
      <c r="G255" s="616"/>
      <c r="H255" s="616"/>
      <c r="I255" s="616"/>
      <c r="J255" s="616"/>
      <c r="K255" s="1604">
        <f t="shared" si="21"/>
        <v>0</v>
      </c>
      <c r="L255" s="466">
        <v>0</v>
      </c>
    </row>
    <row r="256" spans="1:12">
      <c r="A256" s="1438" t="s">
        <v>971</v>
      </c>
      <c r="B256" s="614" t="s">
        <v>289</v>
      </c>
      <c r="C256" s="616"/>
      <c r="D256" s="474"/>
      <c r="E256" s="616"/>
      <c r="F256" s="616"/>
      <c r="G256" s="616"/>
      <c r="H256" s="616"/>
      <c r="I256" s="616"/>
      <c r="J256" s="616"/>
      <c r="K256" s="1604">
        <f t="shared" si="21"/>
        <v>0</v>
      </c>
      <c r="L256" s="466">
        <v>0</v>
      </c>
    </row>
    <row r="257" spans="1:14" ht="13.15" customHeight="1" thickBot="1">
      <c r="A257" s="1600" t="s">
        <v>717</v>
      </c>
      <c r="B257" s="1628">
        <v>2300</v>
      </c>
      <c r="C257" s="616"/>
      <c r="D257" s="1602">
        <f>SUM(D245:D256)</f>
        <v>55830</v>
      </c>
      <c r="E257" s="616"/>
      <c r="F257" s="616"/>
      <c r="G257" s="616"/>
      <c r="H257" s="616"/>
      <c r="I257" s="616"/>
      <c r="J257" s="616"/>
      <c r="K257" s="1602">
        <f>SUM(K245:K256)</f>
        <v>55830</v>
      </c>
      <c r="L257" s="1602">
        <f>SUM(L245:L256)</f>
        <v>57548</v>
      </c>
    </row>
    <row r="258" spans="1:14" ht="15.75" customHeight="1" thickTop="1">
      <c r="A258" s="624" t="s">
        <v>611</v>
      </c>
      <c r="B258" s="684"/>
      <c r="C258" s="616"/>
      <c r="D258" s="626"/>
      <c r="E258" s="616"/>
      <c r="F258" s="616"/>
      <c r="G258" s="616"/>
      <c r="H258" s="616"/>
      <c r="I258" s="616"/>
      <c r="J258" s="616"/>
      <c r="K258" s="626"/>
      <c r="L258" s="626"/>
    </row>
    <row r="259" spans="1:14">
      <c r="A259" s="1437" t="s">
        <v>1067</v>
      </c>
      <c r="B259" s="685">
        <v>2410</v>
      </c>
      <c r="C259" s="616"/>
      <c r="D259" s="481">
        <v>62005</v>
      </c>
      <c r="E259" s="616"/>
      <c r="F259" s="616"/>
      <c r="G259" s="616"/>
      <c r="H259" s="616"/>
      <c r="I259" s="616"/>
      <c r="J259" s="616"/>
      <c r="K259" s="1604">
        <f>D259</f>
        <v>62005</v>
      </c>
      <c r="L259" s="481">
        <v>74222</v>
      </c>
    </row>
    <row r="260" spans="1:14" s="597" customFormat="1">
      <c r="A260" s="1455" t="s">
        <v>1766</v>
      </c>
      <c r="B260" s="628">
        <v>2490</v>
      </c>
      <c r="C260" s="616"/>
      <c r="D260" s="466"/>
      <c r="E260" s="616"/>
      <c r="F260" s="616"/>
      <c r="G260" s="616"/>
      <c r="H260" s="616"/>
      <c r="I260" s="616"/>
      <c r="J260" s="616"/>
      <c r="K260" s="1604">
        <f>D260</f>
        <v>0</v>
      </c>
      <c r="L260" s="466">
        <v>0</v>
      </c>
      <c r="M260" s="210"/>
      <c r="N260" s="210"/>
    </row>
    <row r="261" spans="1:14" ht="13.15" customHeight="1" thickBot="1">
      <c r="A261" s="1624" t="s">
        <v>263</v>
      </c>
      <c r="B261" s="1629" t="s">
        <v>34</v>
      </c>
      <c r="C261" s="616"/>
      <c r="D261" s="1602">
        <f>SUM(D259:D260)</f>
        <v>62005</v>
      </c>
      <c r="E261" s="616"/>
      <c r="F261" s="616"/>
      <c r="G261" s="616"/>
      <c r="H261" s="616"/>
      <c r="I261" s="616"/>
      <c r="J261" s="616"/>
      <c r="K261" s="1602">
        <f>SUM(K259:K260)</f>
        <v>62005</v>
      </c>
      <c r="L261" s="1602">
        <f>SUM(L259:L260)</f>
        <v>74222</v>
      </c>
    </row>
    <row r="262" spans="1:14" ht="15.75" customHeight="1" thickTop="1">
      <c r="A262" s="624" t="s">
        <v>612</v>
      </c>
      <c r="B262" s="684"/>
      <c r="C262" s="616"/>
      <c r="D262" s="616"/>
      <c r="E262" s="616"/>
      <c r="F262" s="616"/>
      <c r="G262" s="616"/>
      <c r="H262" s="616"/>
      <c r="I262" s="616"/>
      <c r="J262" s="616"/>
      <c r="K262" s="626"/>
      <c r="L262" s="626"/>
    </row>
    <row r="263" spans="1:14">
      <c r="A263" s="1437" t="s">
        <v>1068</v>
      </c>
      <c r="B263" s="685">
        <v>2510</v>
      </c>
      <c r="C263" s="616"/>
      <c r="D263" s="466">
        <v>22803</v>
      </c>
      <c r="E263" s="616"/>
      <c r="F263" s="616"/>
      <c r="G263" s="616"/>
      <c r="H263" s="616"/>
      <c r="I263" s="616"/>
      <c r="J263" s="616"/>
      <c r="K263" s="1604">
        <f>D263</f>
        <v>22803</v>
      </c>
      <c r="L263" s="481">
        <v>20450</v>
      </c>
    </row>
    <row r="264" spans="1:14">
      <c r="A264" s="1437" t="s">
        <v>463</v>
      </c>
      <c r="B264" s="685">
        <v>2520</v>
      </c>
      <c r="C264" s="616"/>
      <c r="D264" s="466">
        <v>6306</v>
      </c>
      <c r="E264" s="616"/>
      <c r="F264" s="616"/>
      <c r="G264" s="616"/>
      <c r="H264" s="616"/>
      <c r="I264" s="616"/>
      <c r="J264" s="616"/>
      <c r="K264" s="1604">
        <f t="shared" ref="K264:K269" si="22">D264</f>
        <v>6306</v>
      </c>
      <c r="L264" s="466">
        <v>7040</v>
      </c>
    </row>
    <row r="265" spans="1:14">
      <c r="A265" s="1437" t="s">
        <v>4</v>
      </c>
      <c r="B265" s="614">
        <v>2530</v>
      </c>
      <c r="C265" s="616"/>
      <c r="D265" s="466"/>
      <c r="E265" s="616"/>
      <c r="F265" s="616"/>
      <c r="G265" s="616"/>
      <c r="H265" s="616"/>
      <c r="I265" s="616"/>
      <c r="J265" s="616"/>
      <c r="K265" s="1604">
        <f t="shared" si="22"/>
        <v>0</v>
      </c>
      <c r="L265" s="466">
        <v>0</v>
      </c>
    </row>
    <row r="266" spans="1:14">
      <c r="A266" s="1437" t="s">
        <v>197</v>
      </c>
      <c r="B266" s="614">
        <v>2540</v>
      </c>
      <c r="C266" s="616"/>
      <c r="D266" s="466">
        <v>156987</v>
      </c>
      <c r="E266" s="616"/>
      <c r="F266" s="616"/>
      <c r="G266" s="616"/>
      <c r="H266" s="616"/>
      <c r="I266" s="616"/>
      <c r="J266" s="616"/>
      <c r="K266" s="1604">
        <f t="shared" si="22"/>
        <v>156987</v>
      </c>
      <c r="L266" s="466">
        <v>158678</v>
      </c>
    </row>
    <row r="267" spans="1:14">
      <c r="A267" s="1437" t="s">
        <v>953</v>
      </c>
      <c r="B267" s="614">
        <v>2550</v>
      </c>
      <c r="C267" s="616"/>
      <c r="D267" s="466">
        <v>2316</v>
      </c>
      <c r="E267" s="616"/>
      <c r="F267" s="616"/>
      <c r="G267" s="616"/>
      <c r="H267" s="616"/>
      <c r="I267" s="616"/>
      <c r="J267" s="616"/>
      <c r="K267" s="1604">
        <f t="shared" si="22"/>
        <v>2316</v>
      </c>
      <c r="L267" s="466">
        <v>2300</v>
      </c>
    </row>
    <row r="268" spans="1:14">
      <c r="A268" s="1437" t="s">
        <v>100</v>
      </c>
      <c r="B268" s="614">
        <v>2560</v>
      </c>
      <c r="C268" s="616"/>
      <c r="D268" s="466"/>
      <c r="E268" s="616"/>
      <c r="F268" s="616"/>
      <c r="G268" s="616"/>
      <c r="H268" s="616"/>
      <c r="I268" s="616"/>
      <c r="J268" s="616"/>
      <c r="K268" s="1604">
        <f t="shared" si="22"/>
        <v>0</v>
      </c>
      <c r="L268" s="466">
        <v>0</v>
      </c>
    </row>
    <row r="269" spans="1:14">
      <c r="A269" s="1437" t="s">
        <v>101</v>
      </c>
      <c r="B269" s="614">
        <v>2570</v>
      </c>
      <c r="C269" s="616"/>
      <c r="D269" s="466">
        <v>6955</v>
      </c>
      <c r="E269" s="616"/>
      <c r="F269" s="616"/>
      <c r="G269" s="616"/>
      <c r="H269" s="616"/>
      <c r="I269" s="616"/>
      <c r="J269" s="616"/>
      <c r="K269" s="1604">
        <f t="shared" si="22"/>
        <v>6955</v>
      </c>
      <c r="L269" s="466">
        <v>6800</v>
      </c>
    </row>
    <row r="270" spans="1:14" ht="13.15" customHeight="1" thickBot="1">
      <c r="A270" s="1600" t="s">
        <v>719</v>
      </c>
      <c r="B270" s="1607" t="s">
        <v>35</v>
      </c>
      <c r="C270" s="616"/>
      <c r="D270" s="1602">
        <f>SUM(D263:D269)</f>
        <v>195367</v>
      </c>
      <c r="E270" s="616"/>
      <c r="F270" s="616"/>
      <c r="G270" s="616"/>
      <c r="H270" s="616"/>
      <c r="I270" s="616"/>
      <c r="J270" s="616"/>
      <c r="K270" s="1602">
        <f>SUM(K263:K269)</f>
        <v>195367</v>
      </c>
      <c r="L270" s="1602">
        <f>SUM(L263:L269)</f>
        <v>195268</v>
      </c>
    </row>
    <row r="271" spans="1:14" ht="15.75" customHeight="1" thickTop="1">
      <c r="A271" s="669" t="s">
        <v>613</v>
      </c>
      <c r="B271" s="625"/>
      <c r="C271" s="616"/>
      <c r="D271" s="626"/>
      <c r="E271" s="616"/>
      <c r="F271" s="616"/>
      <c r="G271" s="616"/>
      <c r="H271" s="616"/>
      <c r="I271" s="616"/>
      <c r="J271" s="616"/>
      <c r="K271" s="626"/>
      <c r="L271" s="626"/>
    </row>
    <row r="272" spans="1:14">
      <c r="A272" s="1437" t="s">
        <v>1060</v>
      </c>
      <c r="B272" s="614">
        <v>2610</v>
      </c>
      <c r="C272" s="616"/>
      <c r="D272" s="481"/>
      <c r="E272" s="616"/>
      <c r="F272" s="616"/>
      <c r="G272" s="616"/>
      <c r="H272" s="616"/>
      <c r="I272" s="616"/>
      <c r="J272" s="616"/>
      <c r="K272" s="1604">
        <f>D272</f>
        <v>0</v>
      </c>
      <c r="L272" s="481">
        <v>0</v>
      </c>
    </row>
    <row r="273" spans="1:12">
      <c r="A273" s="1437" t="s">
        <v>607</v>
      </c>
      <c r="B273" s="628">
        <v>2620</v>
      </c>
      <c r="C273" s="616"/>
      <c r="D273" s="466"/>
      <c r="E273" s="616"/>
      <c r="F273" s="616"/>
      <c r="G273" s="616"/>
      <c r="H273" s="616"/>
      <c r="I273" s="616"/>
      <c r="J273" s="616"/>
      <c r="K273" s="1604">
        <f>D273</f>
        <v>0</v>
      </c>
      <c r="L273" s="466">
        <v>0</v>
      </c>
    </row>
    <row r="274" spans="1:12" ht="12" customHeight="1">
      <c r="A274" s="1437" t="s">
        <v>1061</v>
      </c>
      <c r="B274" s="614">
        <v>2630</v>
      </c>
      <c r="C274" s="616"/>
      <c r="D274" s="466"/>
      <c r="E274" s="616"/>
      <c r="F274" s="616"/>
      <c r="G274" s="616"/>
      <c r="H274" s="616"/>
      <c r="I274" s="616"/>
      <c r="J274" s="616"/>
      <c r="K274" s="1604">
        <f>D274</f>
        <v>0</v>
      </c>
      <c r="L274" s="466">
        <v>0</v>
      </c>
    </row>
    <row r="275" spans="1:12">
      <c r="A275" s="1437" t="s">
        <v>403</v>
      </c>
      <c r="B275" s="614">
        <v>2640</v>
      </c>
      <c r="C275" s="616"/>
      <c r="D275" s="466"/>
      <c r="E275" s="616"/>
      <c r="F275" s="616"/>
      <c r="G275" s="616"/>
      <c r="H275" s="616"/>
      <c r="I275" s="616"/>
      <c r="J275" s="616"/>
      <c r="K275" s="1604">
        <f>D275</f>
        <v>0</v>
      </c>
      <c r="L275" s="466">
        <v>0</v>
      </c>
    </row>
    <row r="276" spans="1:12">
      <c r="A276" s="1437" t="s">
        <v>404</v>
      </c>
      <c r="B276" s="614">
        <v>2660</v>
      </c>
      <c r="C276" s="616"/>
      <c r="D276" s="466"/>
      <c r="E276" s="616"/>
      <c r="F276" s="616"/>
      <c r="G276" s="616"/>
      <c r="H276" s="616"/>
      <c r="I276" s="616"/>
      <c r="J276" s="616"/>
      <c r="K276" s="1604">
        <f>D276</f>
        <v>0</v>
      </c>
      <c r="L276" s="466">
        <v>0</v>
      </c>
    </row>
    <row r="277" spans="1:12" ht="13.15" customHeight="1" thickBot="1">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c r="A278" s="1443" t="s">
        <v>980</v>
      </c>
      <c r="B278" s="655" t="s">
        <v>574</v>
      </c>
      <c r="C278" s="616"/>
      <c r="D278" s="656"/>
      <c r="E278" s="616"/>
      <c r="F278" s="616"/>
      <c r="G278" s="616"/>
      <c r="H278" s="616"/>
      <c r="I278" s="616"/>
      <c r="J278" s="616"/>
      <c r="K278" s="1617">
        <f>D278</f>
        <v>0</v>
      </c>
      <c r="L278" s="656">
        <v>0</v>
      </c>
    </row>
    <row r="279" spans="1:12" ht="13.15" customHeight="1" thickBot="1">
      <c r="A279" s="1630" t="s">
        <v>811</v>
      </c>
      <c r="B279" s="1613">
        <v>2000</v>
      </c>
      <c r="C279" s="616"/>
      <c r="D279" s="1609">
        <f>SUM(D238,D243,D257,D261,D270,D277,D278)</f>
        <v>367597</v>
      </c>
      <c r="E279" s="616"/>
      <c r="F279" s="616"/>
      <c r="G279" s="616"/>
      <c r="H279" s="616"/>
      <c r="I279" s="616"/>
      <c r="J279" s="616"/>
      <c r="K279" s="1609">
        <f>SUM(K238,K243,K257,K261,K270,K277,K278)</f>
        <v>367597</v>
      </c>
      <c r="L279" s="1609">
        <f>SUM(L238,L243,L257,L261,L270,L277,L278)</f>
        <v>373409</v>
      </c>
    </row>
    <row r="280" spans="1:12" ht="15.75" customHeight="1" thickTop="1" thickBot="1">
      <c r="A280" s="1557" t="s">
        <v>875</v>
      </c>
      <c r="B280" s="1546">
        <v>3000</v>
      </c>
      <c r="C280" s="616"/>
      <c r="D280" s="576">
        <v>4440</v>
      </c>
      <c r="E280" s="616"/>
      <c r="F280" s="616"/>
      <c r="G280" s="616"/>
      <c r="H280" s="616"/>
      <c r="I280" s="616"/>
      <c r="J280" s="616"/>
      <c r="K280" s="1611">
        <f>D280</f>
        <v>4440</v>
      </c>
      <c r="L280" s="576">
        <v>6509</v>
      </c>
    </row>
    <row r="281" spans="1:12" ht="15.75" customHeight="1" thickTop="1">
      <c r="A281" s="1547" t="s">
        <v>142</v>
      </c>
      <c r="B281" s="1548" t="s">
        <v>860</v>
      </c>
      <c r="C281" s="616"/>
      <c r="D281" s="566"/>
      <c r="E281" s="616"/>
      <c r="F281" s="616"/>
      <c r="G281" s="616"/>
      <c r="H281" s="616"/>
      <c r="I281" s="616"/>
      <c r="J281" s="616"/>
      <c r="K281" s="616"/>
      <c r="L281" s="616"/>
    </row>
    <row r="282" spans="1:12" ht="15.75" customHeight="1">
      <c r="A282" s="1762" t="s">
        <v>496</v>
      </c>
      <c r="B282" s="690" t="s">
        <v>1805</v>
      </c>
      <c r="C282" s="616"/>
      <c r="D282" s="467"/>
      <c r="E282" s="616"/>
      <c r="F282" s="616"/>
      <c r="G282" s="616"/>
      <c r="H282" s="616"/>
      <c r="I282" s="616"/>
      <c r="J282" s="616"/>
      <c r="K282" s="1603">
        <f>D282</f>
        <v>0</v>
      </c>
      <c r="L282" s="467">
        <v>0</v>
      </c>
    </row>
    <row r="283" spans="1:12">
      <c r="A283" s="1437" t="s">
        <v>304</v>
      </c>
      <c r="B283" s="614">
        <v>4120</v>
      </c>
      <c r="C283" s="616"/>
      <c r="D283" s="466"/>
      <c r="E283" s="616"/>
      <c r="F283" s="616"/>
      <c r="G283" s="616"/>
      <c r="H283" s="616"/>
      <c r="I283" s="616"/>
      <c r="J283" s="616"/>
      <c r="K283" s="1603">
        <f>D283</f>
        <v>0</v>
      </c>
      <c r="L283" s="466">
        <v>0</v>
      </c>
    </row>
    <row r="284" spans="1:12">
      <c r="A284" s="1437" t="s">
        <v>697</v>
      </c>
      <c r="B284" s="614">
        <v>4140</v>
      </c>
      <c r="C284" s="616"/>
      <c r="D284" s="467"/>
      <c r="E284" s="616"/>
      <c r="F284" s="616"/>
      <c r="G284" s="616"/>
      <c r="H284" s="616"/>
      <c r="I284" s="616"/>
      <c r="J284" s="616"/>
      <c r="K284" s="1603">
        <f>D284</f>
        <v>0</v>
      </c>
      <c r="L284" s="466">
        <v>0</v>
      </c>
    </row>
    <row r="285" spans="1:12" ht="13.15" customHeight="1" thickBot="1">
      <c r="A285" s="1600" t="s">
        <v>1466</v>
      </c>
      <c r="B285" s="1601" t="s">
        <v>860</v>
      </c>
      <c r="C285" s="616"/>
      <c r="D285" s="1602">
        <f>SUM(D282:D284)</f>
        <v>0</v>
      </c>
      <c r="E285" s="616"/>
      <c r="F285" s="616"/>
      <c r="G285" s="616"/>
      <c r="H285" s="616"/>
      <c r="I285" s="616"/>
      <c r="J285" s="616"/>
      <c r="K285" s="1602">
        <f>SUM(K282:K284)</f>
        <v>0</v>
      </c>
      <c r="L285" s="1602">
        <f>SUM(L282:L284)</f>
        <v>0</v>
      </c>
    </row>
    <row r="286" spans="1:12" ht="15.75" customHeight="1" thickTop="1">
      <c r="A286" s="1545" t="s">
        <v>876</v>
      </c>
      <c r="B286" s="1542"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7" t="s">
        <v>87</v>
      </c>
      <c r="B288" s="614">
        <v>5110</v>
      </c>
      <c r="C288" s="616"/>
      <c r="D288" s="616"/>
      <c r="E288" s="616"/>
      <c r="F288" s="616"/>
      <c r="G288" s="616"/>
      <c r="H288" s="466"/>
      <c r="I288" s="616"/>
      <c r="J288" s="616"/>
      <c r="K288" s="1603">
        <f>H288</f>
        <v>0</v>
      </c>
      <c r="L288" s="466">
        <v>0</v>
      </c>
    </row>
    <row r="289" spans="1:14">
      <c r="A289" s="1437" t="s">
        <v>88</v>
      </c>
      <c r="B289" s="614">
        <v>5120</v>
      </c>
      <c r="C289" s="616"/>
      <c r="D289" s="616"/>
      <c r="E289" s="616"/>
      <c r="F289" s="616"/>
      <c r="G289" s="616"/>
      <c r="H289" s="466"/>
      <c r="I289" s="616"/>
      <c r="J289" s="616"/>
      <c r="K289" s="1603">
        <f>H289</f>
        <v>0</v>
      </c>
      <c r="L289" s="466">
        <v>0</v>
      </c>
    </row>
    <row r="290" spans="1:14" ht="13.15" customHeight="1">
      <c r="A290" s="1437" t="s">
        <v>1170</v>
      </c>
      <c r="B290" s="628" t="s">
        <v>617</v>
      </c>
      <c r="C290" s="616"/>
      <c r="D290" s="616"/>
      <c r="E290" s="616"/>
      <c r="F290" s="616"/>
      <c r="G290" s="616"/>
      <c r="H290" s="466"/>
      <c r="I290" s="616"/>
      <c r="J290" s="616"/>
      <c r="K290" s="1603">
        <f>H290</f>
        <v>0</v>
      </c>
      <c r="L290" s="466">
        <v>0</v>
      </c>
    </row>
    <row r="291" spans="1:14">
      <c r="A291" s="1437" t="s">
        <v>89</v>
      </c>
      <c r="B291" s="614" t="s">
        <v>589</v>
      </c>
      <c r="C291" s="616"/>
      <c r="D291" s="616"/>
      <c r="E291" s="616"/>
      <c r="F291" s="616"/>
      <c r="G291" s="616"/>
      <c r="H291" s="466"/>
      <c r="I291" s="616"/>
      <c r="J291" s="616"/>
      <c r="K291" s="1603">
        <f>H291</f>
        <v>0</v>
      </c>
      <c r="L291" s="466">
        <v>0</v>
      </c>
    </row>
    <row r="292" spans="1:14">
      <c r="A292" s="1437" t="s">
        <v>762</v>
      </c>
      <c r="B292" s="614" t="s">
        <v>618</v>
      </c>
      <c r="C292" s="616"/>
      <c r="D292" s="616"/>
      <c r="E292" s="616"/>
      <c r="F292" s="616"/>
      <c r="G292" s="616"/>
      <c r="H292" s="466"/>
      <c r="I292" s="616"/>
      <c r="J292" s="616"/>
      <c r="K292" s="1603">
        <f>H292</f>
        <v>0</v>
      </c>
      <c r="L292" s="466">
        <v>0</v>
      </c>
    </row>
    <row r="293" spans="1:14" ht="13.15" customHeight="1" thickBot="1">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c r="A294" s="1558" t="s">
        <v>877</v>
      </c>
      <c r="B294" s="1546" t="s">
        <v>861</v>
      </c>
      <c r="C294" s="616"/>
      <c r="D294" s="623"/>
      <c r="E294" s="616"/>
      <c r="F294" s="616"/>
      <c r="G294" s="616"/>
      <c r="H294" s="686"/>
      <c r="I294" s="616"/>
      <c r="J294" s="616"/>
      <c r="K294" s="686"/>
      <c r="L294" s="578">
        <v>0</v>
      </c>
    </row>
    <row r="295" spans="1:14" ht="13.15" customHeight="1" thickTop="1" thickBot="1">
      <c r="A295" s="2182" t="s">
        <v>505</v>
      </c>
      <c r="B295" s="2183"/>
      <c r="C295" s="616"/>
      <c r="D295" s="1602">
        <f>SUM(D229,D279,D280,D285)</f>
        <v>694462</v>
      </c>
      <c r="E295" s="616"/>
      <c r="F295" s="616"/>
      <c r="G295" s="616"/>
      <c r="H295" s="1602">
        <f>H293</f>
        <v>0</v>
      </c>
      <c r="I295" s="616"/>
      <c r="J295" s="616"/>
      <c r="K295" s="1602">
        <f>SUM(K229,K279,K280,K285,K293,K294)</f>
        <v>694462</v>
      </c>
      <c r="L295" s="1602">
        <f>SUM(L229,L279,L280,L285,L293,L294)</f>
        <v>725041</v>
      </c>
    </row>
    <row r="296" spans="1:14" ht="13.5" thickTop="1">
      <c r="A296" s="2164" t="s">
        <v>996</v>
      </c>
      <c r="B296" s="2165"/>
      <c r="C296" s="616"/>
      <c r="D296" s="618"/>
      <c r="E296" s="616"/>
      <c r="F296" s="616"/>
      <c r="G296" s="616"/>
      <c r="H296" s="687"/>
      <c r="I296" s="616"/>
      <c r="J296" s="616"/>
      <c r="K296" s="1616">
        <f>'Revenues 9-14'!G268-'Expenditures 15-22'!K295</f>
        <v>40610</v>
      </c>
      <c r="L296" s="687"/>
    </row>
    <row r="297" spans="1:14" s="666" customFormat="1" ht="9.4" customHeight="1">
      <c r="A297" s="663"/>
      <c r="B297" s="673"/>
      <c r="C297" s="650"/>
      <c r="D297" s="650"/>
      <c r="E297" s="650"/>
      <c r="F297" s="650"/>
      <c r="G297" s="650"/>
      <c r="H297" s="650"/>
      <c r="I297" s="650"/>
      <c r="J297" s="650"/>
      <c r="K297" s="650"/>
      <c r="L297" s="650"/>
      <c r="M297" s="665"/>
      <c r="N297" s="665"/>
    </row>
    <row r="298" spans="1:14" ht="16.7" customHeight="1">
      <c r="A298" s="2174" t="s">
        <v>143</v>
      </c>
      <c r="B298" s="2168"/>
      <c r="C298" s="1484"/>
      <c r="D298" s="1485"/>
      <c r="E298" s="1485"/>
      <c r="F298" s="1485"/>
      <c r="G298" s="1485"/>
      <c r="H298" s="1485"/>
      <c r="I298" s="1485"/>
      <c r="J298" s="1485"/>
      <c r="K298" s="1485"/>
      <c r="L298" s="1486"/>
    </row>
    <row r="299" spans="1:14" ht="15.75" customHeight="1">
      <c r="A299" s="1545" t="s">
        <v>144</v>
      </c>
      <c r="B299" s="1548"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0" t="s">
        <v>608</v>
      </c>
      <c r="B301" s="689">
        <v>2530</v>
      </c>
      <c r="C301" s="466"/>
      <c r="D301" s="466"/>
      <c r="E301" s="466">
        <v>712298</v>
      </c>
      <c r="F301" s="466"/>
      <c r="G301" s="466">
        <v>7930478</v>
      </c>
      <c r="H301" s="466"/>
      <c r="I301" s="467"/>
      <c r="J301" s="467"/>
      <c r="K301" s="1603">
        <f>SUM(C301:J301)</f>
        <v>8642776</v>
      </c>
      <c r="L301" s="467">
        <v>6963626</v>
      </c>
    </row>
    <row r="302" spans="1:14" ht="13.5" customHeight="1">
      <c r="A302" s="1450" t="s">
        <v>980</v>
      </c>
      <c r="B302" s="614" t="s">
        <v>574</v>
      </c>
      <c r="C302" s="466"/>
      <c r="D302" s="466"/>
      <c r="E302" s="466"/>
      <c r="F302" s="466"/>
      <c r="G302" s="466"/>
      <c r="H302" s="466"/>
      <c r="I302" s="467"/>
      <c r="J302" s="467"/>
      <c r="K302" s="1603">
        <f>SUM(C302:J302)</f>
        <v>0</v>
      </c>
      <c r="L302" s="466">
        <v>0</v>
      </c>
    </row>
    <row r="303" spans="1:14" ht="13.15" customHeight="1" thickBot="1">
      <c r="A303" s="1600" t="s">
        <v>811</v>
      </c>
      <c r="B303" s="1601" t="s">
        <v>569</v>
      </c>
      <c r="C303" s="1609">
        <f>SUM(C301:C302)</f>
        <v>0</v>
      </c>
      <c r="D303" s="1609">
        <f t="shared" ref="D303:L303" si="23">SUM(D301:D302)</f>
        <v>0</v>
      </c>
      <c r="E303" s="1609">
        <f t="shared" si="23"/>
        <v>712298</v>
      </c>
      <c r="F303" s="1609">
        <f t="shared" si="23"/>
        <v>0</v>
      </c>
      <c r="G303" s="1609">
        <f t="shared" si="23"/>
        <v>7930478</v>
      </c>
      <c r="H303" s="1609">
        <f t="shared" si="23"/>
        <v>0</v>
      </c>
      <c r="I303" s="1609">
        <f t="shared" si="23"/>
        <v>0</v>
      </c>
      <c r="J303" s="1609">
        <f t="shared" si="23"/>
        <v>0</v>
      </c>
      <c r="K303" s="1609">
        <f t="shared" si="23"/>
        <v>8642776</v>
      </c>
      <c r="L303" s="1609">
        <f t="shared" si="23"/>
        <v>6963626</v>
      </c>
    </row>
    <row r="304" spans="1:14" ht="15.75" customHeight="1" thickTop="1">
      <c r="A304" s="1545" t="s">
        <v>145</v>
      </c>
      <c r="B304" s="1546"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1" t="s">
        <v>1810</v>
      </c>
      <c r="B306" s="690" t="s">
        <v>1805</v>
      </c>
      <c r="C306" s="616"/>
      <c r="D306" s="616"/>
      <c r="E306" s="467"/>
      <c r="F306" s="616"/>
      <c r="G306" s="616"/>
      <c r="H306" s="467"/>
      <c r="I306" s="616"/>
      <c r="J306" s="616"/>
      <c r="K306" s="1603">
        <f>SUM(E306,H306)</f>
        <v>0</v>
      </c>
      <c r="L306" s="467">
        <v>0</v>
      </c>
    </row>
    <row r="307" spans="1:14">
      <c r="A307" s="1437" t="s">
        <v>304</v>
      </c>
      <c r="B307" s="614">
        <v>4120</v>
      </c>
      <c r="C307" s="616"/>
      <c r="D307" s="616"/>
      <c r="E307" s="467"/>
      <c r="F307" s="616"/>
      <c r="G307" s="616"/>
      <c r="H307" s="467"/>
      <c r="I307" s="477"/>
      <c r="J307" s="616"/>
      <c r="K307" s="1603">
        <f>SUM(E307,H307)</f>
        <v>0</v>
      </c>
      <c r="L307" s="466">
        <v>0</v>
      </c>
    </row>
    <row r="308" spans="1:14">
      <c r="A308" s="1437" t="s">
        <v>697</v>
      </c>
      <c r="B308" s="614">
        <v>4140</v>
      </c>
      <c r="C308" s="616"/>
      <c r="D308" s="616"/>
      <c r="E308" s="467"/>
      <c r="F308" s="616"/>
      <c r="G308" s="616"/>
      <c r="H308" s="467"/>
      <c r="I308" s="477"/>
      <c r="J308" s="616"/>
      <c r="K308" s="1603">
        <f>SUM(E308,H308)</f>
        <v>0</v>
      </c>
      <c r="L308" s="466">
        <v>0</v>
      </c>
    </row>
    <row r="309" spans="1:14" ht="13.15" customHeight="1">
      <c r="A309" s="1441" t="s">
        <v>698</v>
      </c>
      <c r="B309" s="628">
        <v>4190</v>
      </c>
      <c r="C309" s="616"/>
      <c r="D309" s="616"/>
      <c r="E309" s="467"/>
      <c r="F309" s="616"/>
      <c r="G309" s="616"/>
      <c r="H309" s="467"/>
      <c r="I309" s="477"/>
      <c r="J309" s="616"/>
      <c r="K309" s="1603">
        <f>SUM(E309,H309)</f>
        <v>0</v>
      </c>
      <c r="L309" s="466">
        <v>0</v>
      </c>
    </row>
    <row r="310" spans="1:14" ht="13.15" customHeight="1" thickBot="1">
      <c r="A310" s="1600" t="s">
        <v>1466</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c r="A311" s="1552" t="s">
        <v>895</v>
      </c>
      <c r="B311" s="1544" t="s">
        <v>861</v>
      </c>
      <c r="C311" s="623"/>
      <c r="D311" s="623"/>
      <c r="E311" s="623"/>
      <c r="F311" s="623"/>
      <c r="G311" s="623"/>
      <c r="H311" s="623"/>
      <c r="I311" s="623"/>
      <c r="J311" s="616"/>
      <c r="K311" s="623"/>
      <c r="L311" s="576">
        <v>0</v>
      </c>
    </row>
    <row r="312" spans="1:14" s="674" customFormat="1" ht="13.15" customHeight="1" thickTop="1" thickBot="1">
      <c r="A312" s="2179" t="s">
        <v>277</v>
      </c>
      <c r="B312" s="2180"/>
      <c r="C312" s="1602">
        <f>SUM(C303)</f>
        <v>0</v>
      </c>
      <c r="D312" s="1602">
        <f>SUM(D303)</f>
        <v>0</v>
      </c>
      <c r="E312" s="1602">
        <f>SUM(E303,E310)</f>
        <v>712298</v>
      </c>
      <c r="F312" s="1602">
        <f>SUM(F303)</f>
        <v>0</v>
      </c>
      <c r="G312" s="1602">
        <f>SUM(G303)</f>
        <v>7930478</v>
      </c>
      <c r="H312" s="1602">
        <f>SUM(H303,H310)</f>
        <v>0</v>
      </c>
      <c r="I312" s="1602">
        <f>SUM(I303)</f>
        <v>0</v>
      </c>
      <c r="J312" s="1602">
        <f>SUM(J303)</f>
        <v>0</v>
      </c>
      <c r="K312" s="1602">
        <f>SUM(K303,K310,K311)</f>
        <v>8642776</v>
      </c>
      <c r="L312" s="1602">
        <f>SUM(L303,L310,L311)</f>
        <v>6963626</v>
      </c>
      <c r="M312" s="665"/>
      <c r="N312" s="665"/>
    </row>
    <row r="313" spans="1:14" ht="13.5" thickTop="1">
      <c r="A313" s="2175" t="s">
        <v>996</v>
      </c>
      <c r="B313" s="2176"/>
      <c r="C313" s="626"/>
      <c r="D313" s="626"/>
      <c r="E313" s="626"/>
      <c r="F313" s="626"/>
      <c r="G313" s="626"/>
      <c r="H313" s="626"/>
      <c r="I313" s="626"/>
      <c r="J313" s="626"/>
      <c r="K313" s="1617">
        <f>'Revenues 9-14'!H268-'Expenditures 15-22'!K312</f>
        <v>-7688041</v>
      </c>
      <c r="L313" s="626"/>
    </row>
    <row r="314" spans="1:14" s="666" customFormat="1" ht="9.4" customHeight="1">
      <c r="A314" s="691"/>
      <c r="B314" s="692"/>
      <c r="C314" s="693"/>
      <c r="D314" s="693"/>
      <c r="E314" s="693"/>
      <c r="F314" s="693"/>
      <c r="G314" s="693"/>
      <c r="H314" s="693"/>
      <c r="I314" s="693"/>
      <c r="J314" s="693"/>
      <c r="K314" s="693"/>
      <c r="L314" s="693"/>
      <c r="M314" s="665"/>
      <c r="N314" s="665"/>
    </row>
    <row r="315" spans="1:14" ht="16.7" customHeight="1">
      <c r="A315" s="2188" t="s">
        <v>149</v>
      </c>
      <c r="B315" s="2189"/>
      <c r="C315" s="1489"/>
      <c r="D315" s="1490"/>
      <c r="E315" s="1490"/>
      <c r="F315" s="1490"/>
      <c r="G315" s="1490"/>
      <c r="H315" s="1490"/>
      <c r="I315" s="1490"/>
      <c r="J315" s="1490"/>
      <c r="K315" s="1490"/>
      <c r="L315" s="1491"/>
    </row>
    <row r="316" spans="1:14" s="674" customFormat="1" ht="9.4" customHeight="1">
      <c r="A316" s="691"/>
      <c r="B316" s="692"/>
      <c r="C316" s="694"/>
      <c r="D316" s="694"/>
      <c r="E316" s="694"/>
      <c r="F316" s="694"/>
      <c r="G316" s="694"/>
      <c r="H316" s="694"/>
      <c r="I316" s="694"/>
      <c r="J316" s="694"/>
      <c r="K316" s="694"/>
      <c r="L316" s="694"/>
      <c r="M316" s="665"/>
      <c r="N316" s="665"/>
    </row>
    <row r="317" spans="1:14" ht="16.7" customHeight="1">
      <c r="A317" s="2190" t="s">
        <v>898</v>
      </c>
      <c r="B317" s="2189"/>
      <c r="C317" s="1489"/>
      <c r="D317" s="1490"/>
      <c r="E317" s="1490"/>
      <c r="F317" s="1490"/>
      <c r="G317" s="1490"/>
      <c r="H317" s="1490"/>
      <c r="I317" s="1490"/>
      <c r="J317" s="1490"/>
      <c r="K317" s="1490"/>
      <c r="L317" s="1491"/>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2" t="s">
        <v>299</v>
      </c>
      <c r="B319" s="697" t="s">
        <v>281</v>
      </c>
      <c r="C319" s="467"/>
      <c r="D319" s="467"/>
      <c r="E319" s="467"/>
      <c r="F319" s="467"/>
      <c r="G319" s="467"/>
      <c r="H319" s="467"/>
      <c r="I319" s="467"/>
      <c r="J319" s="467"/>
      <c r="K319" s="1603">
        <f>SUM(C319:J319)</f>
        <v>0</v>
      </c>
      <c r="L319" s="467">
        <v>0</v>
      </c>
      <c r="M319" s="665"/>
      <c r="N319" s="665"/>
    </row>
    <row r="320" spans="1:14" s="674" customFormat="1">
      <c r="A320" s="1456" t="s">
        <v>1767</v>
      </c>
      <c r="B320" s="698" t="s">
        <v>282</v>
      </c>
      <c r="C320" s="467"/>
      <c r="D320" s="467"/>
      <c r="E320" s="467"/>
      <c r="F320" s="467"/>
      <c r="G320" s="467"/>
      <c r="H320" s="467"/>
      <c r="I320" s="467"/>
      <c r="J320" s="467"/>
      <c r="K320" s="1603">
        <f t="shared" ref="K320:K327" si="24">SUM(C320:J320)</f>
        <v>0</v>
      </c>
      <c r="L320" s="467">
        <v>0</v>
      </c>
      <c r="M320" s="665"/>
      <c r="N320" s="665"/>
    </row>
    <row r="321" spans="1:14" s="674" customFormat="1">
      <c r="A321" s="1452" t="s">
        <v>300</v>
      </c>
      <c r="B321" s="697" t="s">
        <v>283</v>
      </c>
      <c r="C321" s="467"/>
      <c r="D321" s="467"/>
      <c r="E321" s="467"/>
      <c r="F321" s="467"/>
      <c r="G321" s="467"/>
      <c r="H321" s="467"/>
      <c r="I321" s="467"/>
      <c r="J321" s="467"/>
      <c r="K321" s="1603">
        <f t="shared" si="24"/>
        <v>0</v>
      </c>
      <c r="L321" s="467">
        <v>0</v>
      </c>
      <c r="M321" s="665"/>
      <c r="N321" s="665"/>
    </row>
    <row r="322" spans="1:14" s="674" customFormat="1">
      <c r="A322" s="1452" t="s">
        <v>238</v>
      </c>
      <c r="B322" s="697" t="s">
        <v>284</v>
      </c>
      <c r="C322" s="467"/>
      <c r="D322" s="467"/>
      <c r="E322" s="467">
        <v>313419</v>
      </c>
      <c r="F322" s="467"/>
      <c r="G322" s="467"/>
      <c r="H322" s="467"/>
      <c r="I322" s="467"/>
      <c r="J322" s="467"/>
      <c r="K322" s="1603">
        <f t="shared" si="24"/>
        <v>313419</v>
      </c>
      <c r="L322" s="467">
        <v>318225</v>
      </c>
      <c r="M322" s="665"/>
      <c r="N322" s="665"/>
    </row>
    <row r="323" spans="1:14" s="674" customFormat="1">
      <c r="A323" s="1452" t="s">
        <v>702</v>
      </c>
      <c r="B323" s="697" t="s">
        <v>285</v>
      </c>
      <c r="C323" s="467"/>
      <c r="D323" s="467"/>
      <c r="E323" s="467"/>
      <c r="F323" s="467"/>
      <c r="G323" s="467"/>
      <c r="H323" s="467"/>
      <c r="I323" s="467"/>
      <c r="J323" s="467"/>
      <c r="K323" s="1603">
        <f t="shared" si="24"/>
        <v>0</v>
      </c>
      <c r="L323" s="467">
        <v>0</v>
      </c>
      <c r="M323" s="665"/>
      <c r="N323" s="665"/>
    </row>
    <row r="324" spans="1:14" s="674" customFormat="1">
      <c r="A324" s="1452" t="s">
        <v>239</v>
      </c>
      <c r="B324" s="697" t="s">
        <v>286</v>
      </c>
      <c r="C324" s="467"/>
      <c r="D324" s="467"/>
      <c r="E324" s="467"/>
      <c r="F324" s="467"/>
      <c r="G324" s="467"/>
      <c r="H324" s="467"/>
      <c r="I324" s="467"/>
      <c r="J324" s="467"/>
      <c r="K324" s="1603">
        <f t="shared" si="24"/>
        <v>0</v>
      </c>
      <c r="L324" s="467">
        <v>0</v>
      </c>
      <c r="M324" s="665"/>
      <c r="N324" s="665"/>
    </row>
    <row r="325" spans="1:14" s="674" customFormat="1" ht="22.5">
      <c r="A325" s="1452" t="s">
        <v>1029</v>
      </c>
      <c r="B325" s="698" t="s">
        <v>287</v>
      </c>
      <c r="C325" s="467">
        <v>478079</v>
      </c>
      <c r="D325" s="467">
        <v>9826</v>
      </c>
      <c r="E325" s="467">
        <v>269345</v>
      </c>
      <c r="F325" s="467">
        <v>125</v>
      </c>
      <c r="G325" s="467"/>
      <c r="H325" s="467">
        <v>72064</v>
      </c>
      <c r="I325" s="467"/>
      <c r="J325" s="467"/>
      <c r="K325" s="1603">
        <f t="shared" si="24"/>
        <v>829439</v>
      </c>
      <c r="L325" s="467">
        <v>816354</v>
      </c>
      <c r="M325" s="665"/>
      <c r="N325" s="665"/>
    </row>
    <row r="326" spans="1:14" s="674" customFormat="1">
      <c r="A326" s="1452" t="s">
        <v>1030</v>
      </c>
      <c r="B326" s="697" t="s">
        <v>288</v>
      </c>
      <c r="C326" s="467"/>
      <c r="D326" s="467"/>
      <c r="E326" s="467"/>
      <c r="F326" s="467"/>
      <c r="G326" s="467"/>
      <c r="H326" s="467"/>
      <c r="I326" s="467"/>
      <c r="J326" s="467"/>
      <c r="K326" s="1603">
        <f t="shared" si="24"/>
        <v>0</v>
      </c>
      <c r="L326" s="467">
        <v>0</v>
      </c>
      <c r="M326" s="665"/>
      <c r="N326" s="665"/>
    </row>
    <row r="327" spans="1:14" s="674" customFormat="1">
      <c r="A327" s="1452" t="s">
        <v>971</v>
      </c>
      <c r="B327" s="697" t="s">
        <v>289</v>
      </c>
      <c r="C327" s="467"/>
      <c r="D327" s="467"/>
      <c r="E327" s="467"/>
      <c r="F327" s="467"/>
      <c r="G327" s="467"/>
      <c r="H327" s="467"/>
      <c r="I327" s="467"/>
      <c r="J327" s="467"/>
      <c r="K327" s="1603">
        <f t="shared" si="24"/>
        <v>0</v>
      </c>
      <c r="L327" s="467">
        <v>0</v>
      </c>
      <c r="M327" s="665"/>
      <c r="N327" s="665"/>
    </row>
    <row r="328" spans="1:14" s="674" customFormat="1">
      <c r="A328" s="1453" t="s">
        <v>472</v>
      </c>
      <c r="B328" s="690" t="s">
        <v>1132</v>
      </c>
      <c r="C328" s="474"/>
      <c r="D328" s="474"/>
      <c r="E328" s="474"/>
      <c r="F328" s="474"/>
      <c r="G328" s="474"/>
      <c r="H328" s="474"/>
      <c r="I328" s="474"/>
      <c r="J328" s="474"/>
      <c r="K328" s="1631">
        <f>SUM(C328:J328)</f>
        <v>0</v>
      </c>
      <c r="L328" s="474">
        <v>0</v>
      </c>
      <c r="M328" s="665"/>
      <c r="N328" s="665"/>
    </row>
    <row r="329" spans="1:14" s="674" customFormat="1">
      <c r="A329" s="1453" t="s">
        <v>1133</v>
      </c>
      <c r="B329" s="690" t="s">
        <v>1134</v>
      </c>
      <c r="C329" s="474"/>
      <c r="D329" s="474"/>
      <c r="E329" s="474"/>
      <c r="F329" s="474"/>
      <c r="G329" s="474"/>
      <c r="H329" s="474"/>
      <c r="I329" s="474"/>
      <c r="J329" s="474"/>
      <c r="K329" s="1631">
        <f>SUM(C329:J329)</f>
        <v>0</v>
      </c>
      <c r="L329" s="474">
        <v>0</v>
      </c>
      <c r="M329" s="665"/>
      <c r="N329" s="665"/>
    </row>
    <row r="330" spans="1:14" s="674" customFormat="1" ht="13.15" customHeight="1" thickBot="1">
      <c r="A330" s="1632" t="s">
        <v>717</v>
      </c>
      <c r="B330" s="1601" t="s">
        <v>569</v>
      </c>
      <c r="C330" s="1602">
        <f>SUM(C319:C329)</f>
        <v>478079</v>
      </c>
      <c r="D330" s="1602">
        <f t="shared" ref="D330:J330" si="25">SUM(D319:D329)</f>
        <v>9826</v>
      </c>
      <c r="E330" s="1602">
        <f t="shared" si="25"/>
        <v>582764</v>
      </c>
      <c r="F330" s="1602">
        <f t="shared" si="25"/>
        <v>125</v>
      </c>
      <c r="G330" s="1602">
        <f t="shared" si="25"/>
        <v>0</v>
      </c>
      <c r="H330" s="1602">
        <f t="shared" si="25"/>
        <v>72064</v>
      </c>
      <c r="I330" s="1602">
        <f t="shared" si="25"/>
        <v>0</v>
      </c>
      <c r="J330" s="1602">
        <f t="shared" si="25"/>
        <v>0</v>
      </c>
      <c r="K330" s="1602">
        <f>SUM(K319:K329)</f>
        <v>1142858</v>
      </c>
      <c r="L330" s="1602">
        <f>SUM(L319:L329)</f>
        <v>1134579</v>
      </c>
      <c r="M330" s="665"/>
      <c r="N330" s="665"/>
    </row>
    <row r="331" spans="1:14" s="674" customFormat="1" ht="13.15" customHeight="1" thickTop="1">
      <c r="A331" s="1763" t="s">
        <v>1811</v>
      </c>
      <c r="B331" s="647" t="s">
        <v>860</v>
      </c>
      <c r="C331" s="1765"/>
      <c r="D331" s="1765"/>
      <c r="E331" s="1765"/>
      <c r="F331" s="1765"/>
      <c r="G331" s="1765"/>
      <c r="H331" s="1765"/>
      <c r="I331" s="1765"/>
      <c r="J331" s="1765"/>
      <c r="K331" s="1765"/>
      <c r="L331" s="1765"/>
      <c r="M331" s="665"/>
      <c r="N331" s="665"/>
    </row>
    <row r="332" spans="1:14" s="674" customFormat="1" ht="13.15" customHeight="1">
      <c r="A332" s="1764" t="s">
        <v>496</v>
      </c>
      <c r="B332" s="1759" t="s">
        <v>1805</v>
      </c>
      <c r="C332" s="1765"/>
      <c r="D332" s="1765"/>
      <c r="E332" s="1765"/>
      <c r="F332" s="1765"/>
      <c r="G332" s="1765"/>
      <c r="H332" s="467"/>
      <c r="I332" s="1765"/>
      <c r="J332" s="1765"/>
      <c r="K332" s="1603">
        <f>H332</f>
        <v>0</v>
      </c>
      <c r="L332" s="467">
        <v>0</v>
      </c>
      <c r="M332" s="665"/>
      <c r="N332" s="665"/>
    </row>
    <row r="333" spans="1:14" s="674" customFormat="1" ht="13.15" customHeight="1">
      <c r="A333" s="1764" t="s">
        <v>304</v>
      </c>
      <c r="B333" s="1759" t="s">
        <v>1807</v>
      </c>
      <c r="C333" s="1765"/>
      <c r="D333" s="1765"/>
      <c r="E333" s="1765"/>
      <c r="F333" s="1765"/>
      <c r="G333" s="1765"/>
      <c r="H333" s="467"/>
      <c r="I333" s="1765"/>
      <c r="J333" s="1765"/>
      <c r="K333" s="1603">
        <f>H333</f>
        <v>0</v>
      </c>
      <c r="L333" s="467">
        <v>0</v>
      </c>
      <c r="M333" s="665"/>
      <c r="N333" s="665"/>
    </row>
    <row r="334" spans="1:14" s="674" customFormat="1" ht="13.15" customHeight="1" thickBot="1">
      <c r="A334" s="1764" t="s">
        <v>1812</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c r="A335" s="1549" t="s">
        <v>899</v>
      </c>
      <c r="B335" s="1540"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1" t="s">
        <v>87</v>
      </c>
      <c r="B337" s="690" t="s">
        <v>900</v>
      </c>
      <c r="C337" s="638"/>
      <c r="D337" s="638"/>
      <c r="E337" s="638"/>
      <c r="F337" s="638"/>
      <c r="G337" s="638"/>
      <c r="H337" s="478"/>
      <c r="I337" s="638"/>
      <c r="J337" s="638"/>
      <c r="K337" s="1603">
        <f>H337</f>
        <v>0</v>
      </c>
      <c r="L337" s="478">
        <v>0</v>
      </c>
    </row>
    <row r="338" spans="1:14" ht="13.15" customHeight="1">
      <c r="A338" s="1451" t="s">
        <v>1170</v>
      </c>
      <c r="B338" s="690" t="s">
        <v>617</v>
      </c>
      <c r="C338" s="638"/>
      <c r="D338" s="638"/>
      <c r="E338" s="638"/>
      <c r="F338" s="638"/>
      <c r="G338" s="638"/>
      <c r="H338" s="478"/>
      <c r="I338" s="638"/>
      <c r="J338" s="638"/>
      <c r="K338" s="1603">
        <f>H338</f>
        <v>0</v>
      </c>
      <c r="L338" s="478">
        <v>0</v>
      </c>
    </row>
    <row r="339" spans="1:14">
      <c r="A339" s="1437" t="s">
        <v>901</v>
      </c>
      <c r="B339" s="628">
        <v>5150</v>
      </c>
      <c r="C339" s="638"/>
      <c r="D339" s="638"/>
      <c r="E339" s="638"/>
      <c r="F339" s="638"/>
      <c r="G339" s="638"/>
      <c r="H339" s="467"/>
      <c r="I339" s="638"/>
      <c r="J339" s="638"/>
      <c r="K339" s="1603">
        <f>H339</f>
        <v>0</v>
      </c>
      <c r="L339" s="467">
        <v>0</v>
      </c>
    </row>
    <row r="340" spans="1:14" ht="13.5" thickBot="1">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c r="A341" s="1552" t="s">
        <v>903</v>
      </c>
      <c r="B341" s="1544" t="s">
        <v>861</v>
      </c>
      <c r="C341" s="616"/>
      <c r="D341" s="616"/>
      <c r="E341" s="477"/>
      <c r="F341" s="468"/>
      <c r="G341" s="468"/>
      <c r="H341" s="477"/>
      <c r="I341" s="477"/>
      <c r="J341" s="468"/>
      <c r="K341" s="477"/>
      <c r="L341" s="576">
        <v>0</v>
      </c>
    </row>
    <row r="342" spans="1:14" ht="13.15" customHeight="1" thickTop="1" thickBot="1">
      <c r="A342" s="1618" t="s">
        <v>505</v>
      </c>
      <c r="B342" s="1633"/>
      <c r="C342" s="1602">
        <f>SUM(C330)</f>
        <v>478079</v>
      </c>
      <c r="D342" s="1602">
        <f>SUM(D330)</f>
        <v>9826</v>
      </c>
      <c r="E342" s="1602">
        <f>SUM(E330)</f>
        <v>582764</v>
      </c>
      <c r="F342" s="1602">
        <f>SUM(F330)</f>
        <v>125</v>
      </c>
      <c r="G342" s="1602">
        <f>SUM(G330)</f>
        <v>0</v>
      </c>
      <c r="H342" s="1602">
        <f>SUM(H330,H334,H340)</f>
        <v>72064</v>
      </c>
      <c r="I342" s="1602">
        <f>SUM(I330)</f>
        <v>0</v>
      </c>
      <c r="J342" s="1602">
        <f>SUM(J330)</f>
        <v>0</v>
      </c>
      <c r="K342" s="1602">
        <f>SUM(K330,K334,K340)</f>
        <v>1142858</v>
      </c>
      <c r="L342" s="1609">
        <f>SUM(L330,L340,L341)</f>
        <v>1134579</v>
      </c>
    </row>
    <row r="343" spans="1:14" ht="13.15" customHeight="1" thickTop="1">
      <c r="A343" s="2177" t="s">
        <v>996</v>
      </c>
      <c r="B343" s="2178"/>
      <c r="C343" s="616"/>
      <c r="D343" s="616"/>
      <c r="E343" s="616"/>
      <c r="F343" s="616"/>
      <c r="G343" s="616"/>
      <c r="H343" s="616"/>
      <c r="I343" s="616"/>
      <c r="J343" s="616"/>
      <c r="K343" s="1616">
        <f>'Revenues 9-14'!J268-'Expenditures 15-22'!K342</f>
        <v>51729</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67" t="s">
        <v>966</v>
      </c>
      <c r="B345" s="2168"/>
      <c r="C345" s="1484"/>
      <c r="D345" s="1485"/>
      <c r="E345" s="1485"/>
      <c r="F345" s="1485"/>
      <c r="G345" s="1485"/>
      <c r="H345" s="1485"/>
      <c r="I345" s="1485"/>
      <c r="J345" s="1485"/>
      <c r="K345" s="1485"/>
      <c r="L345" s="1486"/>
      <c r="M345" s="667"/>
      <c r="N345" s="667"/>
    </row>
    <row r="346" spans="1:14" s="343" customFormat="1" ht="15.75" customHeight="1">
      <c r="A346" s="1556" t="s">
        <v>844</v>
      </c>
      <c r="B346" s="1548"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7" t="s">
        <v>4</v>
      </c>
      <c r="B348" s="614">
        <v>2530</v>
      </c>
      <c r="C348" s="466"/>
      <c r="D348" s="466"/>
      <c r="E348" s="466">
        <v>1560729</v>
      </c>
      <c r="F348" s="466"/>
      <c r="G348" s="466">
        <v>11377842</v>
      </c>
      <c r="H348" s="466"/>
      <c r="I348" s="467"/>
      <c r="J348" s="467"/>
      <c r="K348" s="1603">
        <f>SUM(C348:J348)</f>
        <v>12938571</v>
      </c>
      <c r="L348" s="466">
        <v>12204827</v>
      </c>
    </row>
    <row r="349" spans="1:14">
      <c r="A349" s="1437" t="s">
        <v>197</v>
      </c>
      <c r="B349" s="614">
        <v>2540</v>
      </c>
      <c r="C349" s="466"/>
      <c r="D349" s="466"/>
      <c r="E349" s="466"/>
      <c r="F349" s="466"/>
      <c r="G349" s="466"/>
      <c r="H349" s="466"/>
      <c r="I349" s="467"/>
      <c r="J349" s="467"/>
      <c r="K349" s="1603">
        <f>SUM(C349:J349)</f>
        <v>0</v>
      </c>
      <c r="L349" s="466">
        <v>0</v>
      </c>
    </row>
    <row r="350" spans="1:14" ht="13.15" customHeight="1" thickBot="1">
      <c r="A350" s="1600" t="s">
        <v>719</v>
      </c>
      <c r="B350" s="1601" t="s">
        <v>35</v>
      </c>
      <c r="C350" s="1602">
        <f>SUM(C348:C349)</f>
        <v>0</v>
      </c>
      <c r="D350" s="1602">
        <f t="shared" ref="D350:L350" si="26">SUM(D348:D349)</f>
        <v>0</v>
      </c>
      <c r="E350" s="1602">
        <f t="shared" si="26"/>
        <v>1560729</v>
      </c>
      <c r="F350" s="1602">
        <f t="shared" si="26"/>
        <v>0</v>
      </c>
      <c r="G350" s="1602">
        <f t="shared" si="26"/>
        <v>11377842</v>
      </c>
      <c r="H350" s="1602">
        <f t="shared" si="26"/>
        <v>0</v>
      </c>
      <c r="I350" s="1602">
        <f t="shared" si="26"/>
        <v>0</v>
      </c>
      <c r="J350" s="1602">
        <f t="shared" si="26"/>
        <v>0</v>
      </c>
      <c r="K350" s="1602">
        <f t="shared" si="26"/>
        <v>12938571</v>
      </c>
      <c r="L350" s="1602">
        <f t="shared" si="26"/>
        <v>12204827</v>
      </c>
    </row>
    <row r="351" spans="1:14" ht="13.15" customHeight="1" thickTop="1">
      <c r="A351" s="1443" t="s">
        <v>980</v>
      </c>
      <c r="B351" s="643" t="s">
        <v>574</v>
      </c>
      <c r="C351" s="481"/>
      <c r="D351" s="481"/>
      <c r="E351" s="481"/>
      <c r="F351" s="481"/>
      <c r="G351" s="481"/>
      <c r="H351" s="481"/>
      <c r="I351" s="478"/>
      <c r="J351" s="478"/>
      <c r="K351" s="615">
        <f>SUM(C351:J351)</f>
        <v>0</v>
      </c>
      <c r="L351" s="481">
        <v>0</v>
      </c>
    </row>
    <row r="352" spans="1:14" ht="13.15" customHeight="1" thickBot="1">
      <c r="A352" s="1600" t="s">
        <v>624</v>
      </c>
      <c r="B352" s="1607" t="s">
        <v>569</v>
      </c>
      <c r="C352" s="1602">
        <f>SUM(C350:C351)</f>
        <v>0</v>
      </c>
      <c r="D352" s="1602">
        <f t="shared" ref="D352:L352" si="27">SUM(D350:D351)</f>
        <v>0</v>
      </c>
      <c r="E352" s="1602">
        <f t="shared" si="27"/>
        <v>1560729</v>
      </c>
      <c r="F352" s="1602">
        <f t="shared" si="27"/>
        <v>0</v>
      </c>
      <c r="G352" s="1602">
        <f t="shared" si="27"/>
        <v>11377842</v>
      </c>
      <c r="H352" s="1602">
        <f t="shared" si="27"/>
        <v>0</v>
      </c>
      <c r="I352" s="1602">
        <f t="shared" si="27"/>
        <v>0</v>
      </c>
      <c r="J352" s="1602">
        <f t="shared" si="27"/>
        <v>0</v>
      </c>
      <c r="K352" s="1602">
        <f t="shared" si="27"/>
        <v>12938571</v>
      </c>
      <c r="L352" s="1602">
        <f t="shared" si="27"/>
        <v>12204827</v>
      </c>
    </row>
    <row r="353" spans="1:14" s="343" customFormat="1" ht="15.75" customHeight="1" thickTop="1">
      <c r="A353" s="1545" t="s">
        <v>625</v>
      </c>
      <c r="B353" s="1542" t="s">
        <v>860</v>
      </c>
      <c r="C353" s="616"/>
      <c r="D353" s="616"/>
      <c r="E353" s="616"/>
      <c r="F353" s="616"/>
      <c r="G353" s="616"/>
      <c r="H353" s="616"/>
      <c r="I353" s="616"/>
      <c r="J353" s="616"/>
      <c r="K353" s="616"/>
      <c r="L353" s="616"/>
      <c r="M353" s="609"/>
      <c r="N353" s="609"/>
    </row>
    <row r="354" spans="1:14">
      <c r="A354" s="1766" t="s">
        <v>1813</v>
      </c>
      <c r="B354" s="683" t="s">
        <v>1805</v>
      </c>
      <c r="C354" s="616"/>
      <c r="D354" s="616"/>
      <c r="E354" s="616"/>
      <c r="F354" s="616"/>
      <c r="G354" s="616"/>
      <c r="H354" s="474"/>
      <c r="I354" s="701"/>
      <c r="J354" s="616"/>
      <c r="K354" s="1631">
        <f>H354</f>
        <v>0</v>
      </c>
      <c r="L354" s="471">
        <v>0</v>
      </c>
    </row>
    <row r="355" spans="1:14" ht="13.15" customHeight="1">
      <c r="A355" s="1446" t="s">
        <v>1814</v>
      </c>
      <c r="B355" s="690" t="s">
        <v>1807</v>
      </c>
      <c r="C355" s="616"/>
      <c r="D355" s="616"/>
      <c r="E355" s="616"/>
      <c r="F355" s="616"/>
      <c r="G355" s="616"/>
      <c r="H355" s="467"/>
      <c r="I355" s="701"/>
      <c r="J355" s="616"/>
      <c r="K355" s="1675">
        <f>H355</f>
        <v>0</v>
      </c>
      <c r="L355" s="467">
        <v>0</v>
      </c>
    </row>
    <row r="356" spans="1:14" ht="13.15" customHeight="1">
      <c r="A356" s="1766" t="s">
        <v>698</v>
      </c>
      <c r="B356" s="683" t="s">
        <v>558</v>
      </c>
      <c r="C356" s="616"/>
      <c r="D356" s="616"/>
      <c r="E356" s="616"/>
      <c r="F356" s="616"/>
      <c r="G356" s="616"/>
      <c r="H356" s="479"/>
      <c r="I356" s="701"/>
      <c r="J356" s="616"/>
      <c r="K356" s="1672">
        <f>H356</f>
        <v>0</v>
      </c>
      <c r="L356" s="479">
        <v>0</v>
      </c>
    </row>
    <row r="357" spans="1:14" ht="13.15" customHeight="1" thickBot="1">
      <c r="A357" s="1600" t="s">
        <v>1466</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c r="A358" s="1545" t="s">
        <v>948</v>
      </c>
      <c r="B358" s="1542"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7" t="s">
        <v>87</v>
      </c>
      <c r="B360" s="614">
        <v>5110</v>
      </c>
      <c r="C360" s="616"/>
      <c r="D360" s="616"/>
      <c r="E360" s="616"/>
      <c r="F360" s="616"/>
      <c r="G360" s="616"/>
      <c r="H360" s="467"/>
      <c r="I360" s="616"/>
      <c r="J360" s="616"/>
      <c r="K360" s="1603">
        <f>SUM(C360:J360)</f>
        <v>0</v>
      </c>
      <c r="L360" s="466">
        <v>0</v>
      </c>
    </row>
    <row r="361" spans="1:14" ht="13.15" customHeight="1">
      <c r="A361" s="1438" t="s">
        <v>619</v>
      </c>
      <c r="B361" s="602" t="s">
        <v>618</v>
      </c>
      <c r="C361" s="616"/>
      <c r="D361" s="616"/>
      <c r="E361" s="616"/>
      <c r="F361" s="616"/>
      <c r="G361" s="616"/>
      <c r="H361" s="467"/>
      <c r="I361" s="616"/>
      <c r="J361" s="616"/>
      <c r="K361" s="1603">
        <f>SUM(C361:J361)</f>
        <v>0</v>
      </c>
      <c r="L361" s="466">
        <v>0</v>
      </c>
    </row>
    <row r="362" spans="1:14" ht="13.15" customHeight="1" thickBot="1">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c r="A363" s="660" t="s">
        <v>83</v>
      </c>
      <c r="B363" s="661" t="s">
        <v>38</v>
      </c>
      <c r="C363" s="638"/>
      <c r="D363" s="638"/>
      <c r="E363" s="638"/>
      <c r="F363" s="638"/>
      <c r="G363" s="638"/>
      <c r="H363" s="479">
        <v>50919</v>
      </c>
      <c r="I363" s="638"/>
      <c r="J363" s="638"/>
      <c r="K363" s="1631">
        <f>SUM(C363:J363)</f>
        <v>50919</v>
      </c>
      <c r="L363" s="479">
        <v>0</v>
      </c>
      <c r="M363" s="665"/>
      <c r="N363" s="665"/>
    </row>
    <row r="364" spans="1:14" s="708" customFormat="1" ht="29.25" customHeight="1">
      <c r="A364" s="702" t="s">
        <v>1645</v>
      </c>
      <c r="B364" s="703">
        <v>5300</v>
      </c>
      <c r="C364" s="704"/>
      <c r="D364" s="705"/>
      <c r="E364" s="705"/>
      <c r="F364" s="704"/>
      <c r="G364" s="705"/>
      <c r="H364" s="706"/>
      <c r="I364" s="705"/>
      <c r="J364" s="705"/>
      <c r="K364" s="1603">
        <f>SUM(C364:J364)</f>
        <v>0</v>
      </c>
      <c r="L364" s="707">
        <v>0</v>
      </c>
    </row>
    <row r="365" spans="1:14" s="674" customFormat="1" ht="13.15" customHeight="1" thickBot="1">
      <c r="A365" s="1454" t="s">
        <v>590</v>
      </c>
      <c r="B365" s="659" t="s">
        <v>492</v>
      </c>
      <c r="C365" s="638"/>
      <c r="D365" s="638"/>
      <c r="E365" s="638"/>
      <c r="F365" s="638"/>
      <c r="G365" s="638"/>
      <c r="H365" s="1635">
        <f>SUM(H362,H363,H364)</f>
        <v>50919</v>
      </c>
      <c r="I365" s="638"/>
      <c r="J365" s="638"/>
      <c r="K365" s="1635">
        <f>SUM(K362,K363,K364)</f>
        <v>50919</v>
      </c>
      <c r="L365" s="1635">
        <f>SUM(L362,L363,L364)</f>
        <v>0</v>
      </c>
      <c r="M365" s="665"/>
      <c r="N365" s="665"/>
    </row>
    <row r="366" spans="1:14" s="343" customFormat="1" ht="15.75" customHeight="1" thickTop="1" thickBot="1">
      <c r="A366" s="1539" t="s">
        <v>949</v>
      </c>
      <c r="B366" s="1546" t="s">
        <v>861</v>
      </c>
      <c r="C366" s="623"/>
      <c r="D366" s="623"/>
      <c r="E366" s="623"/>
      <c r="F366" s="623"/>
      <c r="G366" s="623"/>
      <c r="H366" s="623"/>
      <c r="I366" s="623"/>
      <c r="J366" s="616"/>
      <c r="K366" s="623"/>
      <c r="L366" s="573">
        <v>0</v>
      </c>
      <c r="M366" s="609"/>
      <c r="N366" s="609"/>
    </row>
    <row r="367" spans="1:14" ht="13.15" customHeight="1" thickTop="1" thickBot="1">
      <c r="A367" s="1624" t="s">
        <v>505</v>
      </c>
      <c r="B367" s="1636"/>
      <c r="C367" s="1602">
        <f t="shared" ref="C367:L367" si="28">SUM(C352,C357,C365,C366)</f>
        <v>0</v>
      </c>
      <c r="D367" s="1602">
        <f t="shared" si="28"/>
        <v>0</v>
      </c>
      <c r="E367" s="1602">
        <f t="shared" si="28"/>
        <v>1560729</v>
      </c>
      <c r="F367" s="1602">
        <f t="shared" si="28"/>
        <v>0</v>
      </c>
      <c r="G367" s="1602">
        <f t="shared" si="28"/>
        <v>11377842</v>
      </c>
      <c r="H367" s="1602">
        <f t="shared" si="28"/>
        <v>50919</v>
      </c>
      <c r="I367" s="1602">
        <f t="shared" si="28"/>
        <v>0</v>
      </c>
      <c r="J367" s="1602">
        <f t="shared" si="28"/>
        <v>0</v>
      </c>
      <c r="K367" s="1602">
        <f t="shared" si="28"/>
        <v>12989490</v>
      </c>
      <c r="L367" s="1602">
        <f t="shared" si="28"/>
        <v>12204827</v>
      </c>
    </row>
    <row r="368" spans="1:14" ht="13.5" thickTop="1">
      <c r="A368" s="2164" t="s">
        <v>996</v>
      </c>
      <c r="B368" s="2165"/>
      <c r="C368" s="654"/>
      <c r="D368" s="654"/>
      <c r="E368" s="626"/>
      <c r="F368" s="626"/>
      <c r="G368" s="626"/>
      <c r="H368" s="626"/>
      <c r="I368" s="626"/>
      <c r="J368" s="623"/>
      <c r="K368" s="1603">
        <f>'Revenues 9-14'!K268-'Expenditures 15-22'!K367</f>
        <v>-12646728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15" sqref="T15:AA15"/>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5" t="s">
        <v>104</v>
      </c>
    </row>
    <row r="2" spans="1:6" ht="39.75" customHeight="1">
      <c r="A2" s="2191" t="s">
        <v>1764</v>
      </c>
      <c r="B2" s="1461" t="s">
        <v>1911</v>
      </c>
      <c r="C2" s="714" t="s">
        <v>1912</v>
      </c>
      <c r="D2" s="714" t="s">
        <v>1913</v>
      </c>
      <c r="E2" s="714" t="s">
        <v>1914</v>
      </c>
      <c r="F2" s="714" t="s">
        <v>1915</v>
      </c>
    </row>
    <row r="3" spans="1:6" ht="12" customHeight="1">
      <c r="A3" s="2192"/>
      <c r="B3" s="1458"/>
      <c r="C3" s="1459"/>
      <c r="D3" s="1460" t="s">
        <v>256</v>
      </c>
      <c r="E3" s="1459"/>
      <c r="F3" s="1460" t="s">
        <v>257</v>
      </c>
    </row>
    <row r="4" spans="1:6" ht="13.7" customHeight="1">
      <c r="A4" s="715" t="s">
        <v>1155</v>
      </c>
      <c r="B4" s="1681">
        <f>'Revenues 9-14'!C5</f>
        <v>10615512</v>
      </c>
      <c r="C4" s="1457">
        <v>522915</v>
      </c>
      <c r="D4" s="1684">
        <f>B4-C4</f>
        <v>10092597</v>
      </c>
      <c r="E4" s="1457">
        <v>10878939</v>
      </c>
      <c r="F4" s="1684">
        <f>E4-C4</f>
        <v>10356024</v>
      </c>
    </row>
    <row r="5" spans="1:6" ht="13.7" customHeight="1">
      <c r="A5" s="715" t="s">
        <v>870</v>
      </c>
      <c r="B5" s="1682">
        <f>'Revenues 9-14'!D5</f>
        <v>1797856</v>
      </c>
      <c r="C5" s="585">
        <v>90062</v>
      </c>
      <c r="D5" s="1685">
        <f t="shared" ref="D5:D18" si="0">B5-C5</f>
        <v>1707794</v>
      </c>
      <c r="E5" s="585">
        <v>1843888</v>
      </c>
      <c r="F5" s="1685">
        <f>E5-C5</f>
        <v>1753826</v>
      </c>
    </row>
    <row r="6" spans="1:6" ht="13.7" customHeight="1">
      <c r="A6" s="715" t="s">
        <v>411</v>
      </c>
      <c r="B6" s="1682">
        <f>'Revenues 9-14'!E5</f>
        <v>2026976</v>
      </c>
      <c r="C6" s="585">
        <v>99765</v>
      </c>
      <c r="D6" s="1685">
        <f t="shared" si="0"/>
        <v>1927211</v>
      </c>
      <c r="E6" s="585">
        <v>2006888</v>
      </c>
      <c r="F6" s="1685">
        <f t="shared" ref="F6:F18" si="1">E6-C6</f>
        <v>1907123</v>
      </c>
    </row>
    <row r="7" spans="1:6" ht="13.7" customHeight="1">
      <c r="A7" s="715" t="s">
        <v>155</v>
      </c>
      <c r="B7" s="1682">
        <f>'Revenues 9-14'!F5</f>
        <v>719141</v>
      </c>
      <c r="C7" s="585">
        <v>36025</v>
      </c>
      <c r="D7" s="1685">
        <f t="shared" si="0"/>
        <v>683116</v>
      </c>
      <c r="E7" s="585">
        <v>737555</v>
      </c>
      <c r="F7" s="1685">
        <f t="shared" si="1"/>
        <v>701530</v>
      </c>
    </row>
    <row r="8" spans="1:6" ht="13.7" customHeight="1">
      <c r="A8" s="715" t="s">
        <v>1179</v>
      </c>
      <c r="B8" s="1682">
        <f>'Revenues 9-14'!G5</f>
        <v>297171</v>
      </c>
      <c r="C8" s="585">
        <v>14208</v>
      </c>
      <c r="D8" s="1685">
        <f t="shared" si="0"/>
        <v>282963</v>
      </c>
      <c r="E8" s="585">
        <v>284328</v>
      </c>
      <c r="F8" s="1685">
        <f t="shared" si="1"/>
        <v>270120</v>
      </c>
    </row>
    <row r="9" spans="1:6" ht="13.7" customHeight="1">
      <c r="A9" s="715" t="s">
        <v>408</v>
      </c>
      <c r="B9" s="1682">
        <f>'Revenues 9-14'!H5</f>
        <v>0</v>
      </c>
      <c r="C9" s="585"/>
      <c r="D9" s="1685">
        <f t="shared" si="0"/>
        <v>0</v>
      </c>
      <c r="E9" s="585"/>
      <c r="F9" s="1685">
        <f t="shared" si="1"/>
        <v>0</v>
      </c>
    </row>
    <row r="10" spans="1:6" ht="13.7" customHeight="1">
      <c r="A10" s="715" t="s">
        <v>407</v>
      </c>
      <c r="B10" s="1682">
        <f>'Revenues 9-14'!I5</f>
        <v>179788</v>
      </c>
      <c r="C10" s="585">
        <v>9006</v>
      </c>
      <c r="D10" s="1685">
        <f t="shared" si="0"/>
        <v>170782</v>
      </c>
      <c r="E10" s="585">
        <v>184389</v>
      </c>
      <c r="F10" s="1685">
        <f t="shared" si="1"/>
        <v>175383</v>
      </c>
    </row>
    <row r="11" spans="1:6">
      <c r="A11" s="715" t="s">
        <v>409</v>
      </c>
      <c r="B11" s="1682">
        <f>'Revenues 9-14'!J5</f>
        <v>1187576</v>
      </c>
      <c r="C11" s="585">
        <v>61725</v>
      </c>
      <c r="D11" s="1685">
        <f t="shared" si="0"/>
        <v>1125851</v>
      </c>
      <c r="E11" s="585">
        <v>1235405</v>
      </c>
      <c r="F11" s="1685">
        <f t="shared" si="1"/>
        <v>1173680</v>
      </c>
    </row>
    <row r="12" spans="1:6" ht="13.7" customHeight="1">
      <c r="A12" s="715" t="s">
        <v>157</v>
      </c>
      <c r="B12" s="1682">
        <f>'Revenues 9-14'!K5</f>
        <v>179788</v>
      </c>
      <c r="C12" s="585">
        <v>9006</v>
      </c>
      <c r="D12" s="1685">
        <f t="shared" si="0"/>
        <v>170782</v>
      </c>
      <c r="E12" s="585">
        <v>184389</v>
      </c>
      <c r="F12" s="1685">
        <f t="shared" si="1"/>
        <v>175383</v>
      </c>
    </row>
    <row r="13" spans="1:6" ht="13.7" customHeight="1">
      <c r="A13" s="715" t="s">
        <v>936</v>
      </c>
      <c r="B13" s="1682">
        <f>SUM('Revenues 9-14'!C6:D6)</f>
        <v>179924</v>
      </c>
      <c r="C13" s="585">
        <v>9006</v>
      </c>
      <c r="D13" s="1685">
        <f t="shared" si="0"/>
        <v>170918</v>
      </c>
      <c r="E13" s="585">
        <v>184389</v>
      </c>
      <c r="F13" s="1685">
        <f t="shared" si="1"/>
        <v>175383</v>
      </c>
    </row>
    <row r="14" spans="1:6" ht="13.7" customHeight="1">
      <c r="A14" s="715" t="s">
        <v>410</v>
      </c>
      <c r="B14" s="1682">
        <f>SUM('Revenues 9-14'!C7:D7,'Revenues 9-14'!F7:H7)</f>
        <v>143945</v>
      </c>
      <c r="C14" s="585">
        <v>7205</v>
      </c>
      <c r="D14" s="1685">
        <f t="shared" si="0"/>
        <v>136740</v>
      </c>
      <c r="E14" s="585">
        <v>147511</v>
      </c>
      <c r="F14" s="1685">
        <f t="shared" si="1"/>
        <v>140306</v>
      </c>
    </row>
    <row r="15" spans="1:6" ht="13.7" customHeight="1">
      <c r="A15" s="715" t="s">
        <v>1158</v>
      </c>
      <c r="B15" s="1682">
        <f>SUM('Revenues 9-14'!D9:E9,'Revenues 9-14'!H9)</f>
        <v>0</v>
      </c>
      <c r="C15" s="585"/>
      <c r="D15" s="1685">
        <f t="shared" si="0"/>
        <v>0</v>
      </c>
      <c r="E15" s="585"/>
      <c r="F15" s="1685">
        <f t="shared" si="1"/>
        <v>0</v>
      </c>
    </row>
    <row r="16" spans="1:6" ht="13.7" customHeight="1">
      <c r="A16" s="715" t="s">
        <v>1159</v>
      </c>
      <c r="B16" s="1682">
        <f>'Revenues 9-14'!G8</f>
        <v>324195</v>
      </c>
      <c r="C16" s="585">
        <v>16676</v>
      </c>
      <c r="D16" s="1685">
        <f t="shared" si="0"/>
        <v>307519</v>
      </c>
      <c r="E16" s="585">
        <v>333743</v>
      </c>
      <c r="F16" s="1685">
        <f t="shared" si="1"/>
        <v>317067</v>
      </c>
    </row>
    <row r="17" spans="1:6" ht="13.7" customHeight="1">
      <c r="A17" s="715" t="s">
        <v>1160</v>
      </c>
      <c r="B17" s="1682">
        <f>'Revenues 9-14'!C10</f>
        <v>0</v>
      </c>
      <c r="C17" s="585"/>
      <c r="D17" s="1685">
        <f t="shared" si="0"/>
        <v>0</v>
      </c>
      <c r="E17" s="585"/>
      <c r="F17" s="1685">
        <f t="shared" si="1"/>
        <v>0</v>
      </c>
    </row>
    <row r="18" spans="1:6" ht="13.7" customHeight="1">
      <c r="A18" s="715" t="s">
        <v>762</v>
      </c>
      <c r="B18" s="1682">
        <f>SUM('Revenues 9-14'!C11:K11)</f>
        <v>0</v>
      </c>
      <c r="C18" s="585"/>
      <c r="D18" s="1685">
        <f t="shared" si="0"/>
        <v>0</v>
      </c>
      <c r="E18" s="585"/>
      <c r="F18" s="1685">
        <f t="shared" si="1"/>
        <v>0</v>
      </c>
    </row>
    <row r="19" spans="1:6" ht="13.7" customHeight="1" thickBot="1">
      <c r="A19" s="1686" t="s">
        <v>1161</v>
      </c>
      <c r="B19" s="1683">
        <f>SUM(B4:B18)</f>
        <v>17651872</v>
      </c>
      <c r="C19" s="1683">
        <f>SUM(C4:C18)</f>
        <v>875599</v>
      </c>
      <c r="D19" s="1683">
        <f>SUM(D4:D18)</f>
        <v>16776273</v>
      </c>
      <c r="E19" s="1683">
        <f>SUM(E4:E18)</f>
        <v>18021424</v>
      </c>
      <c r="F19" s="1683">
        <f>SUM(F4:F18)</f>
        <v>17145825</v>
      </c>
    </row>
    <row r="20" spans="1:6" ht="13.5" thickTop="1">
      <c r="B20" s="713"/>
      <c r="F20" s="716"/>
    </row>
    <row r="21" spans="1:6">
      <c r="A21" s="717" t="s">
        <v>1770</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T15" sqref="T15:AA15"/>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4" customHeight="1">
      <c r="A1" s="2213" t="s">
        <v>629</v>
      </c>
      <c r="B1" s="2211"/>
      <c r="C1" s="721"/>
    </row>
    <row r="2" spans="1:7" ht="33.75">
      <c r="A2" s="2218" t="s">
        <v>1764</v>
      </c>
      <c r="B2" s="2219"/>
      <c r="C2" s="1816" t="s">
        <v>1916</v>
      </c>
      <c r="D2" s="723" t="s">
        <v>1917</v>
      </c>
      <c r="E2" s="723" t="s">
        <v>1918</v>
      </c>
      <c r="F2" s="1816" t="s">
        <v>1919</v>
      </c>
    </row>
    <row r="3" spans="1:7" ht="15.75" customHeight="1">
      <c r="A3" s="2220" t="s">
        <v>1114</v>
      </c>
      <c r="B3" s="2221"/>
      <c r="C3" s="2214"/>
      <c r="D3" s="2215"/>
      <c r="E3" s="2215"/>
      <c r="F3" s="2216"/>
    </row>
    <row r="4" spans="1:7" ht="13.15" customHeight="1" thickBot="1">
      <c r="A4" s="2208" t="s">
        <v>630</v>
      </c>
      <c r="B4" s="2209"/>
      <c r="C4" s="581"/>
      <c r="D4" s="581"/>
      <c r="E4" s="581"/>
      <c r="F4" s="1687">
        <f>SUM(C4+D4)-E4</f>
        <v>0</v>
      </c>
    </row>
    <row r="5" spans="1:7" ht="15.75" customHeight="1" thickTop="1">
      <c r="A5" s="2212" t="s">
        <v>1110</v>
      </c>
      <c r="B5" s="2207"/>
      <c r="C5" s="2201"/>
      <c r="D5" s="2202"/>
      <c r="E5" s="2202"/>
      <c r="F5" s="2203"/>
    </row>
    <row r="6" spans="1:7" ht="13.15" customHeight="1" thickBot="1">
      <c r="A6" s="724" t="s">
        <v>64</v>
      </c>
      <c r="B6" s="725"/>
      <c r="C6" s="726"/>
      <c r="D6" s="585"/>
      <c r="E6" s="726"/>
      <c r="F6" s="1687">
        <f t="shared" ref="F6:F14" si="0">SUM(C6+D6)-E6</f>
        <v>0</v>
      </c>
    </row>
    <row r="7" spans="1:7" ht="13.15" customHeight="1" thickTop="1" thickBot="1">
      <c r="A7" s="724" t="s">
        <v>6</v>
      </c>
      <c r="B7" s="725"/>
      <c r="C7" s="726"/>
      <c r="D7" s="585"/>
      <c r="E7" s="726"/>
      <c r="F7" s="1687">
        <f t="shared" si="0"/>
        <v>0</v>
      </c>
    </row>
    <row r="8" spans="1:7" ht="13.15" customHeight="1" thickTop="1" thickBot="1">
      <c r="A8" s="724" t="s">
        <v>508</v>
      </c>
      <c r="B8" s="725"/>
      <c r="C8" s="726"/>
      <c r="D8" s="585"/>
      <c r="E8" s="726"/>
      <c r="F8" s="1687">
        <f t="shared" si="0"/>
        <v>0</v>
      </c>
    </row>
    <row r="9" spans="1:7" ht="13.15" customHeight="1" thickTop="1" thickBot="1">
      <c r="A9" s="724" t="s">
        <v>509</v>
      </c>
      <c r="B9" s="725"/>
      <c r="C9" s="726"/>
      <c r="D9" s="585"/>
      <c r="E9" s="726"/>
      <c r="F9" s="1687">
        <f t="shared" si="0"/>
        <v>0</v>
      </c>
    </row>
    <row r="10" spans="1:7" ht="13.15" customHeight="1" thickTop="1" thickBot="1">
      <c r="A10" s="724" t="s">
        <v>510</v>
      </c>
      <c r="B10" s="725"/>
      <c r="C10" s="726"/>
      <c r="D10" s="585"/>
      <c r="E10" s="726"/>
      <c r="F10" s="1687">
        <f t="shared" si="0"/>
        <v>0</v>
      </c>
    </row>
    <row r="11" spans="1:7" ht="13.15" customHeight="1" thickTop="1" thickBot="1">
      <c r="A11" s="724" t="s">
        <v>341</v>
      </c>
      <c r="B11" s="725"/>
      <c r="C11" s="726"/>
      <c r="D11" s="585"/>
      <c r="E11" s="726"/>
      <c r="F11" s="1687">
        <f t="shared" si="0"/>
        <v>0</v>
      </c>
    </row>
    <row r="12" spans="1:7" ht="13.15" customHeight="1" thickTop="1" thickBot="1">
      <c r="A12" s="724" t="s">
        <v>1157</v>
      </c>
      <c r="B12" s="725"/>
      <c r="C12" s="726"/>
      <c r="D12" s="585"/>
      <c r="E12" s="726"/>
      <c r="F12" s="1687">
        <f t="shared" si="0"/>
        <v>0</v>
      </c>
    </row>
    <row r="13" spans="1:7" ht="13.15" customHeight="1" thickTop="1" thickBot="1">
      <c r="A13" s="724" t="s">
        <v>388</v>
      </c>
      <c r="B13" s="725"/>
      <c r="C13" s="726"/>
      <c r="D13" s="585"/>
      <c r="E13" s="726"/>
      <c r="F13" s="1687">
        <f t="shared" si="0"/>
        <v>0</v>
      </c>
    </row>
    <row r="14" spans="1:7" ht="13.15" customHeight="1" thickTop="1" thickBot="1">
      <c r="A14" s="724" t="s">
        <v>448</v>
      </c>
      <c r="B14" s="725"/>
      <c r="C14" s="726"/>
      <c r="D14" s="585"/>
      <c r="E14" s="726"/>
      <c r="F14" s="1687">
        <f t="shared" si="0"/>
        <v>0</v>
      </c>
    </row>
    <row r="15" spans="1:7" ht="14.25" thickTop="1" thickBot="1">
      <c r="A15" s="2204" t="s">
        <v>631</v>
      </c>
      <c r="B15" s="2205"/>
      <c r="C15" s="1687">
        <f>SUM(C6:C14)</f>
        <v>0</v>
      </c>
      <c r="D15" s="1687">
        <f>SUM(D6:D14)</f>
        <v>0</v>
      </c>
      <c r="E15" s="1687">
        <f>SUM(E6:E14)</f>
        <v>0</v>
      </c>
      <c r="F15" s="1687">
        <f>SUM(F6:F14)</f>
        <v>0</v>
      </c>
      <c r="G15" s="552"/>
    </row>
    <row r="16" spans="1:7" s="202" customFormat="1" ht="15.75" customHeight="1" thickTop="1">
      <c r="A16" s="2217" t="s">
        <v>1111</v>
      </c>
      <c r="B16" s="2207"/>
      <c r="C16" s="2201"/>
      <c r="D16" s="2202"/>
      <c r="E16" s="2202"/>
      <c r="F16" s="2203"/>
    </row>
    <row r="17" spans="1:11" ht="13.15" customHeight="1" thickBot="1">
      <c r="A17" s="2199" t="s">
        <v>64</v>
      </c>
      <c r="B17" s="2200"/>
      <c r="C17" s="726"/>
      <c r="D17" s="585"/>
      <c r="E17" s="726"/>
      <c r="F17" s="1687">
        <f>SUM(C17+D17)-E17</f>
        <v>0</v>
      </c>
    </row>
    <row r="18" spans="1:11" ht="13.15" customHeight="1" thickTop="1" thickBot="1">
      <c r="A18" s="2199" t="s">
        <v>6</v>
      </c>
      <c r="B18" s="2200"/>
      <c r="C18" s="726"/>
      <c r="D18" s="585"/>
      <c r="E18" s="726"/>
      <c r="F18" s="1687">
        <f>SUM(C18+D18)-E18</f>
        <v>0</v>
      </c>
    </row>
    <row r="19" spans="1:11" ht="13.15" customHeight="1" thickTop="1" thickBot="1">
      <c r="A19" s="2199" t="s">
        <v>388</v>
      </c>
      <c r="B19" s="2200"/>
      <c r="C19" s="726"/>
      <c r="D19" s="585"/>
      <c r="E19" s="726"/>
      <c r="F19" s="1687">
        <f>SUM(C19+D19)-E19</f>
        <v>0</v>
      </c>
    </row>
    <row r="20" spans="1:11" ht="13.15" customHeight="1" thickTop="1" thickBot="1">
      <c r="A20" s="2199" t="s">
        <v>448</v>
      </c>
      <c r="B20" s="2200"/>
      <c r="C20" s="726"/>
      <c r="D20" s="585"/>
      <c r="E20" s="726"/>
      <c r="F20" s="1687">
        <f>SUM(C20+D20)-E20</f>
        <v>0</v>
      </c>
    </row>
    <row r="21" spans="1:11" ht="14.25" thickTop="1" thickBot="1">
      <c r="A21" s="2204" t="s">
        <v>632</v>
      </c>
      <c r="B21" s="2205"/>
      <c r="C21" s="1687">
        <f>SUM(C17:C20)</f>
        <v>0</v>
      </c>
      <c r="D21" s="1687">
        <f>SUM(D17:D20)</f>
        <v>0</v>
      </c>
      <c r="E21" s="1687">
        <f>SUM(E17:E20)</f>
        <v>0</v>
      </c>
      <c r="F21" s="1687">
        <f>SUM(F17:F20)</f>
        <v>0</v>
      </c>
      <c r="G21" s="552"/>
    </row>
    <row r="22" spans="1:11" ht="15.75" customHeight="1" thickTop="1">
      <c r="A22" s="2206" t="s">
        <v>1112</v>
      </c>
      <c r="B22" s="2207"/>
      <c r="C22" s="2201"/>
      <c r="D22" s="2202"/>
      <c r="E22" s="2202"/>
      <c r="F22" s="2203"/>
    </row>
    <row r="23" spans="1:11" ht="13.5" thickBot="1">
      <c r="A23" s="2208" t="s">
        <v>633</v>
      </c>
      <c r="B23" s="2209"/>
      <c r="C23" s="581"/>
      <c r="D23" s="581"/>
      <c r="E23" s="581"/>
      <c r="F23" s="1687">
        <f>SUM(C23+D23)-E23</f>
        <v>0</v>
      </c>
      <c r="G23" s="552"/>
    </row>
    <row r="24" spans="1:11" ht="15.75" customHeight="1" thickTop="1">
      <c r="A24" s="2206" t="s">
        <v>1113</v>
      </c>
      <c r="B24" s="2207"/>
      <c r="C24" s="2201"/>
      <c r="D24" s="2202"/>
      <c r="E24" s="2202"/>
      <c r="F24" s="2203"/>
    </row>
    <row r="25" spans="1:11" ht="13.5" thickBot="1">
      <c r="A25" s="2208" t="s">
        <v>634</v>
      </c>
      <c r="B25" s="2209"/>
      <c r="C25" s="581"/>
      <c r="D25" s="581"/>
      <c r="E25" s="581"/>
      <c r="F25" s="1687">
        <f>SUM(C25+D25)-E25</f>
        <v>0</v>
      </c>
      <c r="G25" s="552"/>
    </row>
    <row r="26" spans="1:11" ht="15.75" customHeight="1" thickTop="1">
      <c r="A26" s="2212" t="s">
        <v>657</v>
      </c>
      <c r="B26" s="2207"/>
      <c r="C26" s="727"/>
      <c r="D26" s="727"/>
      <c r="E26" s="727"/>
      <c r="F26" s="728"/>
    </row>
    <row r="27" spans="1:11" ht="13.5" thickBot="1">
      <c r="A27" s="2204" t="s">
        <v>1070</v>
      </c>
      <c r="B27" s="2205"/>
      <c r="C27" s="585"/>
      <c r="D27" s="585"/>
      <c r="E27" s="585"/>
      <c r="F27" s="1687">
        <f>SUM(C27+D27)-E27</f>
        <v>0</v>
      </c>
      <c r="G27" s="552"/>
    </row>
    <row r="28" spans="1:11" ht="7.5" customHeight="1" thickTop="1">
      <c r="A28" s="593"/>
    </row>
    <row r="29" spans="1:11" ht="23.25" customHeight="1">
      <c r="A29" s="2210" t="s">
        <v>582</v>
      </c>
      <c r="B29" s="2211"/>
      <c r="C29" s="729"/>
      <c r="D29" s="729"/>
      <c r="E29" s="729"/>
      <c r="F29" s="729"/>
      <c r="G29" s="729"/>
      <c r="H29" s="729"/>
      <c r="I29" s="729"/>
      <c r="J29" s="729"/>
    </row>
    <row r="30" spans="1:11" ht="33.75">
      <c r="A30" s="1462" t="s">
        <v>1071</v>
      </c>
      <c r="B30" s="730" t="s">
        <v>1124</v>
      </c>
      <c r="C30" s="1817" t="s">
        <v>583</v>
      </c>
      <c r="D30" s="1817" t="s">
        <v>1646</v>
      </c>
      <c r="E30" s="1817" t="s">
        <v>1920</v>
      </c>
      <c r="F30" s="1817" t="s">
        <v>1921</v>
      </c>
      <c r="G30" s="1817" t="s">
        <v>1871</v>
      </c>
      <c r="H30" s="1817" t="s">
        <v>1922</v>
      </c>
      <c r="I30" s="1817" t="s">
        <v>1923</v>
      </c>
      <c r="J30" s="1818" t="s">
        <v>2</v>
      </c>
      <c r="K30" s="731"/>
    </row>
    <row r="31" spans="1:11" ht="12" customHeight="1">
      <c r="A31" s="732" t="s">
        <v>2043</v>
      </c>
      <c r="B31" s="733">
        <v>41708</v>
      </c>
      <c r="C31" s="734">
        <v>3700000</v>
      </c>
      <c r="D31" s="735">
        <v>4</v>
      </c>
      <c r="E31" s="734">
        <v>1900000</v>
      </c>
      <c r="F31" s="734"/>
      <c r="G31" s="734"/>
      <c r="H31" s="734">
        <v>470000</v>
      </c>
      <c r="I31" s="1688">
        <f>((E31+F31)-H31)+G31</f>
        <v>1430000</v>
      </c>
      <c r="J31" s="734">
        <v>1405801</v>
      </c>
      <c r="K31" s="736"/>
    </row>
    <row r="32" spans="1:11" ht="12" customHeight="1">
      <c r="A32" s="732" t="s">
        <v>2044</v>
      </c>
      <c r="B32" s="733">
        <v>42522</v>
      </c>
      <c r="C32" s="734">
        <v>2245000</v>
      </c>
      <c r="D32" s="735">
        <v>4</v>
      </c>
      <c r="E32" s="734">
        <v>2245000</v>
      </c>
      <c r="F32" s="734"/>
      <c r="G32" s="734"/>
      <c r="H32" s="734"/>
      <c r="I32" s="1688">
        <f>((E32+F32)-H32)+G32</f>
        <v>2245000</v>
      </c>
      <c r="J32" s="734">
        <v>2207009</v>
      </c>
      <c r="K32" s="736"/>
    </row>
    <row r="33" spans="1:11" ht="12" customHeight="1">
      <c r="A33" s="732" t="s">
        <v>2045</v>
      </c>
      <c r="B33" s="733">
        <v>42794</v>
      </c>
      <c r="C33" s="734">
        <v>21390000</v>
      </c>
      <c r="D33" s="735">
        <v>4</v>
      </c>
      <c r="E33" s="734">
        <v>21125000</v>
      </c>
      <c r="F33" s="734"/>
      <c r="G33" s="734"/>
      <c r="H33" s="734">
        <v>210000</v>
      </c>
      <c r="I33" s="1688">
        <f t="shared" ref="I33:I48" si="1">((E33+F33)-H33)+G33</f>
        <v>20915000</v>
      </c>
      <c r="J33" s="734">
        <v>20561062</v>
      </c>
      <c r="K33" s="736"/>
    </row>
    <row r="34" spans="1:11" ht="12" customHeight="1">
      <c r="A34" s="732" t="s">
        <v>2046</v>
      </c>
      <c r="B34" s="733">
        <v>43221</v>
      </c>
      <c r="C34" s="734">
        <v>10650000</v>
      </c>
      <c r="D34" s="735">
        <v>4</v>
      </c>
      <c r="E34" s="734">
        <v>10650000</v>
      </c>
      <c r="F34" s="734"/>
      <c r="G34" s="734"/>
      <c r="H34" s="734"/>
      <c r="I34" s="1688">
        <f t="shared" si="1"/>
        <v>10650000</v>
      </c>
      <c r="J34" s="734">
        <v>10469773</v>
      </c>
      <c r="K34" s="737"/>
    </row>
    <row r="35" spans="1:11" ht="12" customHeight="1">
      <c r="A35" s="732" t="s">
        <v>2047</v>
      </c>
      <c r="B35" s="733">
        <v>43221</v>
      </c>
      <c r="C35" s="738">
        <v>1195000</v>
      </c>
      <c r="D35" s="735">
        <v>3</v>
      </c>
      <c r="E35" s="738">
        <v>1195000</v>
      </c>
      <c r="F35" s="738"/>
      <c r="G35" s="738"/>
      <c r="H35" s="738">
        <v>300000</v>
      </c>
      <c r="I35" s="1688">
        <f t="shared" si="1"/>
        <v>895000</v>
      </c>
      <c r="J35" s="738">
        <v>879854</v>
      </c>
      <c r="K35" s="737"/>
    </row>
    <row r="36" spans="1:11" ht="12" customHeight="1">
      <c r="A36" s="732" t="s">
        <v>2049</v>
      </c>
      <c r="B36" s="733">
        <v>43584</v>
      </c>
      <c r="C36" s="734">
        <v>4215000</v>
      </c>
      <c r="D36" s="735">
        <v>3</v>
      </c>
      <c r="E36" s="734"/>
      <c r="F36" s="734">
        <v>4215000</v>
      </c>
      <c r="G36" s="734"/>
      <c r="H36" s="734"/>
      <c r="I36" s="1688">
        <f t="shared" si="1"/>
        <v>4215000</v>
      </c>
      <c r="J36" s="734">
        <v>4143671</v>
      </c>
      <c r="K36" s="739"/>
    </row>
    <row r="37" spans="1:11" ht="12" customHeight="1">
      <c r="A37" s="732" t="s">
        <v>2050</v>
      </c>
      <c r="B37" s="733">
        <v>43584</v>
      </c>
      <c r="C37" s="467">
        <v>2460000</v>
      </c>
      <c r="D37" s="740">
        <v>4</v>
      </c>
      <c r="E37" s="467"/>
      <c r="F37" s="467">
        <v>2460000</v>
      </c>
      <c r="G37" s="467"/>
      <c r="H37" s="467"/>
      <c r="I37" s="1688">
        <f t="shared" si="1"/>
        <v>2460000</v>
      </c>
      <c r="J37" s="467">
        <v>2418370</v>
      </c>
      <c r="K37" s="737"/>
    </row>
    <row r="38" spans="1:11" ht="12" customHeight="1">
      <c r="A38" s="732"/>
      <c r="B38" s="733"/>
      <c r="C38" s="734"/>
      <c r="D38" s="741"/>
      <c r="E38" s="742"/>
      <c r="F38" s="742"/>
      <c r="G38" s="742"/>
      <c r="H38" s="742"/>
      <c r="I38" s="1688">
        <f t="shared" si="1"/>
        <v>0</v>
      </c>
      <c r="J38" s="743" t="s">
        <v>264</v>
      </c>
      <c r="K38" s="744"/>
    </row>
    <row r="39" spans="1:11" ht="12" customHeight="1">
      <c r="A39" s="732"/>
      <c r="B39" s="733"/>
      <c r="C39" s="734"/>
      <c r="D39" s="741"/>
      <c r="E39" s="742"/>
      <c r="F39" s="742"/>
      <c r="G39" s="742"/>
      <c r="H39" s="742"/>
      <c r="I39" s="1688">
        <f t="shared" si="1"/>
        <v>0</v>
      </c>
      <c r="J39" s="743"/>
      <c r="K39" s="744"/>
    </row>
    <row r="40" spans="1:11" ht="12" customHeight="1">
      <c r="A40" s="732"/>
      <c r="B40" s="733"/>
      <c r="C40" s="734"/>
      <c r="D40" s="741"/>
      <c r="E40" s="742"/>
      <c r="F40" s="742"/>
      <c r="G40" s="742"/>
      <c r="H40" s="742"/>
      <c r="I40" s="1688">
        <f t="shared" si="1"/>
        <v>0</v>
      </c>
      <c r="J40" s="743"/>
      <c r="K40" s="744"/>
    </row>
    <row r="41" spans="1:11" ht="12" customHeight="1">
      <c r="A41" s="732"/>
      <c r="B41" s="733"/>
      <c r="C41" s="734"/>
      <c r="D41" s="741"/>
      <c r="E41" s="742"/>
      <c r="F41" s="742"/>
      <c r="G41" s="742"/>
      <c r="H41" s="742"/>
      <c r="I41" s="1688">
        <f t="shared" si="1"/>
        <v>0</v>
      </c>
      <c r="J41" s="743"/>
      <c r="K41" s="744"/>
    </row>
    <row r="42" spans="1:11" ht="12" customHeight="1">
      <c r="A42" s="732"/>
      <c r="B42" s="733"/>
      <c r="C42" s="734"/>
      <c r="D42" s="741"/>
      <c r="E42" s="742"/>
      <c r="F42" s="742"/>
      <c r="G42" s="742"/>
      <c r="H42" s="742"/>
      <c r="I42" s="1688">
        <f t="shared" si="1"/>
        <v>0</v>
      </c>
      <c r="J42" s="743"/>
      <c r="K42" s="744"/>
    </row>
    <row r="43" spans="1:11" ht="12" customHeight="1">
      <c r="A43" s="732"/>
      <c r="B43" s="733"/>
      <c r="C43" s="734"/>
      <c r="D43" s="741"/>
      <c r="E43" s="742"/>
      <c r="F43" s="742"/>
      <c r="G43" s="742"/>
      <c r="H43" s="742"/>
      <c r="I43" s="1688">
        <f t="shared" si="1"/>
        <v>0</v>
      </c>
      <c r="J43" s="743"/>
      <c r="K43" s="744"/>
    </row>
    <row r="44" spans="1:11" ht="12" customHeight="1">
      <c r="A44" s="732"/>
      <c r="B44" s="733"/>
      <c r="C44" s="734"/>
      <c r="D44" s="735"/>
      <c r="E44" s="734"/>
      <c r="F44" s="734"/>
      <c r="G44" s="734"/>
      <c r="H44" s="734"/>
      <c r="I44" s="1688">
        <f t="shared" si="1"/>
        <v>0</v>
      </c>
      <c r="J44" s="734"/>
      <c r="K44" s="737"/>
    </row>
    <row r="45" spans="1:11" ht="12" customHeight="1">
      <c r="A45" s="732"/>
      <c r="B45" s="733"/>
      <c r="C45" s="734"/>
      <c r="D45" s="735"/>
      <c r="E45" s="734"/>
      <c r="F45" s="734"/>
      <c r="G45" s="734"/>
      <c r="H45" s="734"/>
      <c r="I45" s="1688">
        <f t="shared" si="1"/>
        <v>0</v>
      </c>
      <c r="J45" s="734"/>
      <c r="K45" s="737"/>
    </row>
    <row r="46" spans="1:11" ht="12" customHeight="1">
      <c r="A46" s="732"/>
      <c r="B46" s="733"/>
      <c r="C46" s="734"/>
      <c r="D46" s="735"/>
      <c r="E46" s="734"/>
      <c r="F46" s="734"/>
      <c r="G46" s="734"/>
      <c r="H46" s="734"/>
      <c r="I46" s="1688">
        <f t="shared" si="1"/>
        <v>0</v>
      </c>
      <c r="J46" s="734"/>
      <c r="K46" s="737"/>
    </row>
    <row r="47" spans="1:11" ht="12" customHeight="1">
      <c r="A47" s="732"/>
      <c r="B47" s="733"/>
      <c r="C47" s="738"/>
      <c r="D47" s="735"/>
      <c r="E47" s="738"/>
      <c r="F47" s="738"/>
      <c r="G47" s="738"/>
      <c r="H47" s="738"/>
      <c r="I47" s="1688">
        <f t="shared" si="1"/>
        <v>0</v>
      </c>
      <c r="J47" s="738"/>
      <c r="K47" s="737"/>
    </row>
    <row r="48" spans="1:11" ht="12" customHeight="1">
      <c r="A48" s="732"/>
      <c r="B48" s="733"/>
      <c r="C48" s="734"/>
      <c r="D48" s="735"/>
      <c r="E48" s="734"/>
      <c r="F48" s="734"/>
      <c r="G48" s="734"/>
      <c r="H48" s="734"/>
      <c r="I48" s="1688">
        <f t="shared" si="1"/>
        <v>0</v>
      </c>
      <c r="J48" s="734"/>
      <c r="K48" s="737"/>
    </row>
    <row r="49" spans="1:11" ht="12" customHeight="1">
      <c r="A49" s="732"/>
      <c r="B49" s="733"/>
      <c r="C49" s="1688">
        <f>SUM(C31:C48)</f>
        <v>45855000</v>
      </c>
      <c r="D49" s="745"/>
      <c r="E49" s="1688">
        <f t="shared" ref="E49:J49" si="2">SUM(E31:E48)</f>
        <v>37115000</v>
      </c>
      <c r="F49" s="1688">
        <f t="shared" si="2"/>
        <v>6675000</v>
      </c>
      <c r="G49" s="1688">
        <f t="shared" si="2"/>
        <v>0</v>
      </c>
      <c r="H49" s="1688">
        <f t="shared" si="2"/>
        <v>980000</v>
      </c>
      <c r="I49" s="1688">
        <f t="shared" si="2"/>
        <v>42810000</v>
      </c>
      <c r="J49" s="1688">
        <f t="shared" si="2"/>
        <v>42085540</v>
      </c>
      <c r="K49" s="737"/>
    </row>
    <row r="50" spans="1:11" ht="6" customHeight="1">
      <c r="A50" s="746"/>
      <c r="B50" s="736"/>
      <c r="C50" s="736"/>
      <c r="D50" s="736"/>
      <c r="E50" s="736"/>
      <c r="F50" s="736"/>
      <c r="G50" s="736"/>
      <c r="H50" s="736"/>
      <c r="I50" s="736"/>
      <c r="J50" s="746"/>
    </row>
    <row r="51" spans="1:11">
      <c r="A51" s="747" t="s">
        <v>1769</v>
      </c>
      <c r="B51" s="746"/>
      <c r="C51" s="737"/>
      <c r="D51" s="737"/>
      <c r="E51" s="737"/>
      <c r="F51" s="737"/>
      <c r="G51" s="737"/>
      <c r="H51" s="736"/>
      <c r="I51" s="736"/>
      <c r="J51" s="746"/>
    </row>
    <row r="52" spans="1:11" ht="11.25" customHeight="1">
      <c r="A52" s="748" t="s">
        <v>912</v>
      </c>
      <c r="B52" s="2193" t="s">
        <v>584</v>
      </c>
      <c r="C52" s="2194"/>
      <c r="D52" s="2194"/>
      <c r="E52" s="749" t="s">
        <v>845</v>
      </c>
      <c r="F52" s="2195"/>
      <c r="G52" s="2196"/>
      <c r="H52" s="736"/>
      <c r="I52" s="736"/>
      <c r="J52" s="746"/>
    </row>
    <row r="53" spans="1:11" ht="11.25" customHeight="1">
      <c r="A53" s="750" t="s">
        <v>913</v>
      </c>
      <c r="B53" s="751" t="s">
        <v>951</v>
      </c>
      <c r="C53" s="746"/>
      <c r="D53" s="737"/>
      <c r="E53" s="749" t="s">
        <v>497</v>
      </c>
      <c r="F53" s="2197"/>
      <c r="G53" s="2198"/>
      <c r="H53" s="736"/>
      <c r="I53" s="736"/>
      <c r="J53" s="746"/>
    </row>
    <row r="54" spans="1:11" ht="11.25" customHeight="1">
      <c r="A54" s="752" t="s">
        <v>914</v>
      </c>
      <c r="B54" s="747" t="s">
        <v>952</v>
      </c>
      <c r="C54" s="746"/>
      <c r="D54" s="737"/>
      <c r="E54" s="749" t="s">
        <v>498</v>
      </c>
      <c r="F54" s="2197"/>
      <c r="G54" s="2198"/>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T15" sqref="T15:AA1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22" t="s">
        <v>856</v>
      </c>
      <c r="B1" s="2223"/>
      <c r="C1" s="2223"/>
      <c r="D1" s="2223"/>
      <c r="E1" s="2223"/>
      <c r="F1" s="2223"/>
      <c r="G1" s="2224"/>
      <c r="H1" s="1463"/>
      <c r="I1" s="760"/>
      <c r="J1" s="433"/>
    </row>
    <row r="2" spans="1:11" ht="26.25">
      <c r="A2" s="2241" t="s">
        <v>1650</v>
      </c>
      <c r="B2" s="2242"/>
      <c r="C2" s="2242"/>
      <c r="D2" s="2242"/>
      <c r="E2" s="2243"/>
      <c r="F2" s="761" t="s">
        <v>904</v>
      </c>
      <c r="G2" s="762" t="s">
        <v>1647</v>
      </c>
      <c r="H2" s="762" t="s">
        <v>410</v>
      </c>
      <c r="I2" s="762" t="s">
        <v>1158</v>
      </c>
      <c r="J2" s="762" t="s">
        <v>1774</v>
      </c>
      <c r="K2" s="762" t="s">
        <v>138</v>
      </c>
    </row>
    <row r="3" spans="1:11">
      <c r="A3" s="2244" t="s">
        <v>1924</v>
      </c>
      <c r="B3" s="2245"/>
      <c r="C3" s="2245"/>
      <c r="D3" s="2245"/>
      <c r="E3" s="2246"/>
      <c r="F3" s="763"/>
      <c r="G3" s="764"/>
      <c r="H3" s="764"/>
      <c r="I3" s="764"/>
      <c r="J3" s="765">
        <v>1329700</v>
      </c>
      <c r="K3" s="765"/>
    </row>
    <row r="4" spans="1:11">
      <c r="A4" s="2247" t="s">
        <v>369</v>
      </c>
      <c r="B4" s="2248"/>
      <c r="C4" s="2248"/>
      <c r="D4" s="2248"/>
      <c r="E4" s="2194"/>
      <c r="F4" s="766"/>
      <c r="G4" s="767"/>
      <c r="H4" s="768"/>
      <c r="I4" s="767"/>
      <c r="J4" s="769"/>
      <c r="K4" s="769"/>
    </row>
    <row r="5" spans="1:11">
      <c r="A5" s="2225" t="s">
        <v>1069</v>
      </c>
      <c r="B5" s="2226"/>
      <c r="C5" s="2226"/>
      <c r="D5" s="2226"/>
      <c r="E5" s="2227"/>
      <c r="F5" s="770" t="s">
        <v>848</v>
      </c>
      <c r="G5" s="771"/>
      <c r="H5" s="764">
        <v>143945</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v>1371172</v>
      </c>
      <c r="K8" s="769"/>
    </row>
    <row r="9" spans="1:11">
      <c r="A9" s="778" t="s">
        <v>138</v>
      </c>
      <c r="B9" s="779"/>
      <c r="C9" s="779"/>
      <c r="D9" s="779"/>
      <c r="E9" s="780"/>
      <c r="F9" s="777" t="s">
        <v>853</v>
      </c>
      <c r="G9" s="782"/>
      <c r="H9" s="771"/>
      <c r="I9" s="771"/>
      <c r="J9" s="781"/>
      <c r="K9" s="765"/>
    </row>
    <row r="10" spans="1:11">
      <c r="A10" s="2225" t="s">
        <v>1775</v>
      </c>
      <c r="B10" s="2226"/>
      <c r="C10" s="2226"/>
      <c r="D10" s="2226"/>
      <c r="E10" s="2228"/>
      <c r="F10" s="783" t="s">
        <v>862</v>
      </c>
      <c r="G10" s="782"/>
      <c r="H10" s="784"/>
      <c r="I10" s="764"/>
      <c r="J10" s="765"/>
      <c r="K10" s="765"/>
    </row>
    <row r="11" spans="1:11">
      <c r="A11" s="2225" t="s">
        <v>160</v>
      </c>
      <c r="B11" s="2226"/>
      <c r="C11" s="2226"/>
      <c r="D11" s="2226"/>
      <c r="E11" s="2227"/>
      <c r="F11" s="770" t="s">
        <v>852</v>
      </c>
      <c r="G11" s="771"/>
      <c r="H11" s="764"/>
      <c r="I11" s="764"/>
      <c r="J11" s="765"/>
      <c r="K11" s="773"/>
    </row>
    <row r="12" spans="1:11" ht="13.5" thickBot="1">
      <c r="A12" s="2252" t="s">
        <v>905</v>
      </c>
      <c r="B12" s="2253"/>
      <c r="C12" s="2253"/>
      <c r="D12" s="2253"/>
      <c r="E12" s="2254"/>
      <c r="F12" s="1689"/>
      <c r="G12" s="1690">
        <f>SUM(G5:G11)</f>
        <v>0</v>
      </c>
      <c r="H12" s="1690">
        <f>SUM(H5:H11)</f>
        <v>143945</v>
      </c>
      <c r="I12" s="1690">
        <f>SUM(I5:I11)</f>
        <v>0</v>
      </c>
      <c r="J12" s="1690">
        <f>SUM(J5:J11)</f>
        <v>1371172</v>
      </c>
      <c r="K12" s="1690">
        <f>SUM(K5:K11)</f>
        <v>0</v>
      </c>
    </row>
    <row r="13" spans="1:11" ht="13.5" thickTop="1">
      <c r="A13" s="2249" t="s">
        <v>370</v>
      </c>
      <c r="B13" s="2250"/>
      <c r="C13" s="2250"/>
      <c r="D13" s="2250"/>
      <c r="E13" s="2251"/>
      <c r="F13" s="785"/>
      <c r="G13" s="786"/>
      <c r="H13" s="787"/>
      <c r="I13" s="788"/>
      <c r="J13" s="788"/>
      <c r="K13" s="788"/>
    </row>
    <row r="14" spans="1:11">
      <c r="A14" s="2232" t="s">
        <v>456</v>
      </c>
      <c r="B14" s="2232"/>
      <c r="C14" s="2232"/>
      <c r="D14" s="2232"/>
      <c r="E14" s="2233"/>
      <c r="F14" s="789" t="s">
        <v>854</v>
      </c>
      <c r="G14" s="782"/>
      <c r="H14" s="764">
        <v>143945</v>
      </c>
      <c r="I14" s="771"/>
      <c r="J14" s="773"/>
      <c r="K14" s="765"/>
    </row>
    <row r="15" spans="1:11">
      <c r="A15" s="2226" t="s">
        <v>4</v>
      </c>
      <c r="B15" s="2226"/>
      <c r="C15" s="2226"/>
      <c r="D15" s="2226"/>
      <c r="E15" s="2227"/>
      <c r="F15" s="789" t="s">
        <v>855</v>
      </c>
      <c r="G15" s="771"/>
      <c r="H15" s="764"/>
      <c r="I15" s="764"/>
      <c r="J15" s="765"/>
      <c r="K15" s="765"/>
    </row>
    <row r="16" spans="1:11">
      <c r="A16" s="2226" t="s">
        <v>298</v>
      </c>
      <c r="B16" s="2226"/>
      <c r="C16" s="2226"/>
      <c r="D16" s="2226"/>
      <c r="E16" s="2227"/>
      <c r="F16" s="789" t="s">
        <v>923</v>
      </c>
      <c r="G16" s="772"/>
      <c r="H16" s="767"/>
      <c r="I16" s="767"/>
      <c r="J16" s="769"/>
      <c r="K16" s="769"/>
    </row>
    <row r="17" spans="1:11">
      <c r="A17" s="2257" t="s">
        <v>935</v>
      </c>
      <c r="B17" s="2257"/>
      <c r="C17" s="2257"/>
      <c r="D17" s="2257"/>
      <c r="E17" s="2258"/>
      <c r="F17" s="790"/>
      <c r="G17" s="791"/>
      <c r="H17" s="792"/>
      <c r="I17" s="792"/>
      <c r="J17" s="793"/>
      <c r="K17" s="794"/>
    </row>
    <row r="18" spans="1:11">
      <c r="A18" s="2236" t="s">
        <v>368</v>
      </c>
      <c r="B18" s="2237"/>
      <c r="C18" s="2237"/>
      <c r="D18" s="2237"/>
      <c r="E18" s="2238"/>
      <c r="F18" s="789" t="s">
        <v>932</v>
      </c>
      <c r="G18" s="782"/>
      <c r="H18" s="782"/>
      <c r="I18" s="782"/>
      <c r="J18" s="765"/>
      <c r="K18" s="795"/>
    </row>
    <row r="19" spans="1:11" ht="21.75" customHeight="1">
      <c r="A19" s="2234" t="s">
        <v>1771</v>
      </c>
      <c r="B19" s="2234"/>
      <c r="C19" s="2234"/>
      <c r="D19" s="2234"/>
      <c r="E19" s="2235"/>
      <c r="F19" s="789" t="s">
        <v>933</v>
      </c>
      <c r="G19" s="782"/>
      <c r="H19" s="782"/>
      <c r="I19" s="782"/>
      <c r="J19" s="765"/>
      <c r="K19" s="795"/>
    </row>
    <row r="20" spans="1:11">
      <c r="A20" s="2236" t="s">
        <v>1776</v>
      </c>
      <c r="B20" s="2237"/>
      <c r="C20" s="2237"/>
      <c r="D20" s="2237"/>
      <c r="E20" s="2238"/>
      <c r="F20" s="789" t="s">
        <v>934</v>
      </c>
      <c r="G20" s="782"/>
      <c r="H20" s="782"/>
      <c r="I20" s="782"/>
      <c r="J20" s="765"/>
      <c r="K20" s="795"/>
    </row>
    <row r="21" spans="1:11" ht="13.5" thickBot="1">
      <c r="A21" s="2255" t="s">
        <v>638</v>
      </c>
      <c r="B21" s="2255"/>
      <c r="C21" s="2255"/>
      <c r="D21" s="2255"/>
      <c r="E21" s="2255"/>
      <c r="F21" s="1691"/>
      <c r="G21" s="792"/>
      <c r="H21" s="796"/>
      <c r="I21" s="796"/>
      <c r="J21" s="1692">
        <f>SUM(J18:J20)</f>
        <v>0</v>
      </c>
      <c r="K21" s="793"/>
    </row>
    <row r="22" spans="1:11" ht="13.5" thickTop="1">
      <c r="A22" s="2226" t="s">
        <v>1777</v>
      </c>
      <c r="B22" s="2226"/>
      <c r="C22" s="2226"/>
      <c r="D22" s="2226"/>
      <c r="E22" s="2227"/>
      <c r="F22" s="789" t="s">
        <v>862</v>
      </c>
      <c r="G22" s="782"/>
      <c r="H22" s="764"/>
      <c r="I22" s="764"/>
      <c r="J22" s="797"/>
      <c r="K22" s="765"/>
    </row>
    <row r="23" spans="1:11" ht="13.5" thickBot="1">
      <c r="A23" s="2256" t="s">
        <v>906</v>
      </c>
      <c r="B23" s="2255"/>
      <c r="C23" s="2255"/>
      <c r="D23" s="2255"/>
      <c r="E23" s="2255"/>
      <c r="F23" s="1693"/>
      <c r="G23" s="1690">
        <f>SUM(G14:G16,G21,G22)</f>
        <v>0</v>
      </c>
      <c r="H23" s="1690">
        <f>SUM(H14:H16,H21,H22)</f>
        <v>143945</v>
      </c>
      <c r="I23" s="1690">
        <f>SUM(I14:I16,I21,I22)</f>
        <v>0</v>
      </c>
      <c r="J23" s="1690">
        <f>SUM(J14:J16,J21,J22)</f>
        <v>0</v>
      </c>
      <c r="K23" s="1690">
        <f>SUM(K14:K16,K21,K22)</f>
        <v>0</v>
      </c>
    </row>
    <row r="24" spans="1:11" ht="14.25" thickTop="1" thickBot="1">
      <c r="A24" s="2256" t="s">
        <v>1925</v>
      </c>
      <c r="B24" s="2255"/>
      <c r="C24" s="2255"/>
      <c r="D24" s="2255"/>
      <c r="E24" s="2255"/>
      <c r="F24" s="1694"/>
      <c r="G24" s="1695">
        <f>SUM(G3,G12)-G23</f>
        <v>0</v>
      </c>
      <c r="H24" s="1695">
        <f>SUM(H3,H12)-H23</f>
        <v>0</v>
      </c>
      <c r="I24" s="1695">
        <f>SUM(I3,I12)-I23</f>
        <v>0</v>
      </c>
      <c r="J24" s="1695">
        <f>SUM(J3,J12)-J23</f>
        <v>2700872</v>
      </c>
      <c r="K24" s="1695">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0">
        <f>G24-G25</f>
        <v>0</v>
      </c>
      <c r="H26" s="1690">
        <f>H24-H25</f>
        <v>0</v>
      </c>
      <c r="I26" s="1690">
        <f>I24-I25</f>
        <v>0</v>
      </c>
      <c r="J26" s="1690">
        <f>J24-J25</f>
        <v>2700872</v>
      </c>
      <c r="K26" s="1690">
        <f>K24-K25</f>
        <v>0</v>
      </c>
    </row>
    <row r="27" spans="1:11" ht="5.25" customHeight="1" thickTop="1">
      <c r="I27" s="202"/>
      <c r="J27" s="202"/>
    </row>
    <row r="28" spans="1:11" ht="29.25" customHeight="1">
      <c r="A28" s="1812" t="s">
        <v>1870</v>
      </c>
      <c r="B28" s="1813"/>
      <c r="C28" s="1813"/>
      <c r="D28" s="1813"/>
      <c r="E28" s="1814"/>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29"/>
      <c r="I31" s="2230"/>
      <c r="J31" s="2230"/>
      <c r="K31" s="2230"/>
    </row>
    <row r="32" spans="1:11">
      <c r="A32" s="809"/>
      <c r="B32" s="237"/>
      <c r="C32" s="237"/>
      <c r="D32" s="237"/>
      <c r="E32" s="805"/>
      <c r="F32" s="811" t="s">
        <v>540</v>
      </c>
      <c r="G32" s="764"/>
      <c r="H32" s="2231"/>
      <c r="I32" s="2230"/>
      <c r="J32" s="2230"/>
      <c r="K32" s="2230"/>
    </row>
    <row r="33" spans="1:11" ht="1.5" customHeight="1">
      <c r="A33" s="812" t="s">
        <v>1169</v>
      </c>
      <c r="B33" s="364"/>
      <c r="C33" s="364"/>
      <c r="D33" s="364"/>
      <c r="E33" s="364"/>
      <c r="F33" s="364"/>
      <c r="G33" s="813"/>
      <c r="H33" s="2231"/>
      <c r="I33" s="2230"/>
      <c r="J33" s="2230"/>
      <c r="K33" s="2230"/>
    </row>
    <row r="34" spans="1:11">
      <c r="A34" s="814" t="s">
        <v>1778</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26" t="s">
        <v>541</v>
      </c>
      <c r="B41" s="2239"/>
      <c r="C41" s="2239"/>
      <c r="D41" s="2239"/>
      <c r="E41" s="2239"/>
      <c r="F41" s="2240"/>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4" t="s">
        <v>1772</v>
      </c>
      <c r="B46" s="408" t="s">
        <v>1648</v>
      </c>
    </row>
    <row r="47" spans="1:11" s="823" customFormat="1" ht="13.15" customHeight="1">
      <c r="A47" s="821"/>
      <c r="B47" s="822" t="s">
        <v>1649</v>
      </c>
      <c r="E47" s="822"/>
      <c r="K47" s="824"/>
    </row>
    <row r="48" spans="1:11" ht="13.15" customHeight="1">
      <c r="A48" s="1465" t="s">
        <v>1773</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15" sqref="T15:AA15"/>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61" t="s">
        <v>1869</v>
      </c>
      <c r="B1" s="2262"/>
      <c r="C1" s="2263"/>
      <c r="D1" s="826"/>
      <c r="E1" s="827"/>
      <c r="F1" s="827"/>
      <c r="G1" s="828"/>
      <c r="H1" s="829"/>
      <c r="I1" s="830"/>
      <c r="J1" s="2259"/>
      <c r="K1" s="2260"/>
      <c r="L1" s="2260"/>
    </row>
    <row r="2" spans="1:14" ht="69.75" customHeight="1">
      <c r="A2" s="831" t="s">
        <v>1651</v>
      </c>
      <c r="B2" s="832" t="s">
        <v>378</v>
      </c>
      <c r="C2" s="833" t="s">
        <v>1926</v>
      </c>
      <c r="D2" s="833" t="s">
        <v>1927</v>
      </c>
      <c r="E2" s="833" t="s">
        <v>1928</v>
      </c>
      <c r="F2" s="833" t="s">
        <v>1929</v>
      </c>
      <c r="G2" s="833" t="s">
        <v>605</v>
      </c>
      <c r="H2" s="833" t="s">
        <v>1930</v>
      </c>
      <c r="I2" s="833" t="s">
        <v>1931</v>
      </c>
      <c r="J2" s="833" t="s">
        <v>1932</v>
      </c>
      <c r="K2" s="833" t="s">
        <v>1933</v>
      </c>
      <c r="L2" s="833" t="s">
        <v>1934</v>
      </c>
      <c r="M2" s="834"/>
      <c r="N2" s="834"/>
    </row>
    <row r="3" spans="1:14" ht="13.5" thickBot="1">
      <c r="A3" s="1562" t="s">
        <v>892</v>
      </c>
      <c r="B3" s="1563">
        <v>210</v>
      </c>
      <c r="C3" s="835"/>
      <c r="D3" s="835"/>
      <c r="E3" s="835"/>
      <c r="F3" s="1692">
        <f>(C3+D3)-E3</f>
        <v>0</v>
      </c>
      <c r="G3" s="836"/>
      <c r="H3" s="835"/>
      <c r="I3" s="835"/>
      <c r="J3" s="835"/>
      <c r="K3" s="1701">
        <f>(H3+I3)-J3</f>
        <v>0</v>
      </c>
      <c r="L3" s="1701">
        <f>F3-K3</f>
        <v>0</v>
      </c>
      <c r="M3" s="834"/>
      <c r="N3" s="834"/>
    </row>
    <row r="4" spans="1:14" ht="15" customHeight="1" thickTop="1">
      <c r="A4" s="1564" t="s">
        <v>158</v>
      </c>
      <c r="B4" s="1563">
        <v>220</v>
      </c>
      <c r="C4" s="781"/>
      <c r="D4" s="781"/>
      <c r="E4" s="781"/>
      <c r="F4" s="773"/>
      <c r="G4" s="837"/>
      <c r="H4" s="838"/>
      <c r="I4" s="838"/>
      <c r="J4" s="838"/>
      <c r="K4" s="839"/>
      <c r="L4" s="773"/>
    </row>
    <row r="5" spans="1:14" ht="13.5" thickBot="1">
      <c r="A5" s="778" t="s">
        <v>893</v>
      </c>
      <c r="B5" s="840">
        <v>221</v>
      </c>
      <c r="C5" s="841">
        <v>1191208</v>
      </c>
      <c r="D5" s="841"/>
      <c r="E5" s="841"/>
      <c r="F5" s="1692">
        <f>(C5+D5)-E5</f>
        <v>1191208</v>
      </c>
      <c r="G5" s="837"/>
      <c r="H5" s="842"/>
      <c r="I5" s="842"/>
      <c r="J5" s="842"/>
      <c r="K5" s="793"/>
      <c r="L5" s="1701">
        <f>F5-K5</f>
        <v>1191208</v>
      </c>
    </row>
    <row r="6" spans="1:14" ht="14.25" thickTop="1" thickBot="1">
      <c r="A6" s="778" t="s">
        <v>1117</v>
      </c>
      <c r="B6" s="840">
        <v>222</v>
      </c>
      <c r="C6" s="765"/>
      <c r="D6" s="765"/>
      <c r="E6" s="765"/>
      <c r="F6" s="1692">
        <f>(C6+D6)-E6</f>
        <v>0</v>
      </c>
      <c r="G6" s="837">
        <v>50</v>
      </c>
      <c r="H6" s="765"/>
      <c r="I6" s="765"/>
      <c r="J6" s="765"/>
      <c r="K6" s="1701">
        <f>(H6+I6)-J6</f>
        <v>0</v>
      </c>
      <c r="L6" s="1701">
        <f>F6-K6</f>
        <v>0</v>
      </c>
    </row>
    <row r="7" spans="1:14" ht="15" customHeight="1" thickTop="1">
      <c r="A7" s="1564" t="s">
        <v>159</v>
      </c>
      <c r="B7" s="1563">
        <v>230</v>
      </c>
      <c r="C7" s="781"/>
      <c r="D7" s="781"/>
      <c r="E7" s="781"/>
      <c r="F7" s="773"/>
      <c r="G7" s="843"/>
      <c r="H7" s="781"/>
      <c r="I7" s="781"/>
      <c r="J7" s="781"/>
      <c r="K7" s="773"/>
      <c r="L7" s="773"/>
    </row>
    <row r="8" spans="1:14" ht="13.5" thickBot="1">
      <c r="A8" s="778" t="s">
        <v>1118</v>
      </c>
      <c r="B8" s="840">
        <v>231</v>
      </c>
      <c r="C8" s="844">
        <v>20332304</v>
      </c>
      <c r="D8" s="844">
        <f>2041326+2369539</f>
        <v>4410865</v>
      </c>
      <c r="E8" s="844"/>
      <c r="F8" s="1692">
        <f>(C8+D8)-E8</f>
        <v>24743169</v>
      </c>
      <c r="G8" s="843">
        <v>50</v>
      </c>
      <c r="H8" s="765">
        <v>10291802</v>
      </c>
      <c r="I8" s="765">
        <v>446382</v>
      </c>
      <c r="J8" s="765"/>
      <c r="K8" s="1701">
        <f>(H8+I8)-J8</f>
        <v>10738184</v>
      </c>
      <c r="L8" s="1701">
        <f>F8-K8</f>
        <v>14004985</v>
      </c>
    </row>
    <row r="9" spans="1:14" ht="14.25" thickTop="1" thickBot="1">
      <c r="A9" s="778" t="s">
        <v>1119</v>
      </c>
      <c r="B9" s="840">
        <v>232</v>
      </c>
      <c r="C9" s="765"/>
      <c r="D9" s="765"/>
      <c r="E9" s="765"/>
      <c r="F9" s="1692">
        <f>(C9+D9)-E9</f>
        <v>0</v>
      </c>
      <c r="G9" s="843">
        <v>20</v>
      </c>
      <c r="H9" s="765"/>
      <c r="I9" s="765"/>
      <c r="J9" s="765"/>
      <c r="K9" s="1701">
        <f>(H9+I9)-J9</f>
        <v>0</v>
      </c>
      <c r="L9" s="1701">
        <f>F9-K9</f>
        <v>0</v>
      </c>
    </row>
    <row r="10" spans="1:14" ht="24" thickTop="1" thickBot="1">
      <c r="A10" s="845" t="s">
        <v>1120</v>
      </c>
      <c r="B10" s="840">
        <v>240</v>
      </c>
      <c r="C10" s="846">
        <v>7958717</v>
      </c>
      <c r="D10" s="846">
        <f>388358+409157</f>
        <v>797515</v>
      </c>
      <c r="E10" s="846"/>
      <c r="F10" s="1696">
        <f>(C10+D10)-E10</f>
        <v>8756232</v>
      </c>
      <c r="G10" s="843">
        <v>20</v>
      </c>
      <c r="H10" s="847">
        <v>3332816</v>
      </c>
      <c r="I10" s="847">
        <v>352190</v>
      </c>
      <c r="J10" s="847"/>
      <c r="K10" s="1701">
        <f>(H10+I10)-J10</f>
        <v>3685006</v>
      </c>
      <c r="L10" s="1701">
        <f>F10-K10</f>
        <v>5071226</v>
      </c>
    </row>
    <row r="11" spans="1:14" ht="13.5" thickTop="1">
      <c r="A11" s="1565" t="s">
        <v>1136</v>
      </c>
      <c r="B11" s="1563">
        <v>250</v>
      </c>
      <c r="C11" s="781"/>
      <c r="D11" s="781"/>
      <c r="E11" s="781"/>
      <c r="F11" s="773"/>
      <c r="G11" s="843"/>
      <c r="H11" s="781"/>
      <c r="I11" s="781"/>
      <c r="J11" s="781"/>
      <c r="K11" s="773"/>
      <c r="L11" s="773"/>
    </row>
    <row r="12" spans="1:14" ht="13.5" thickBot="1">
      <c r="A12" s="848" t="s">
        <v>1121</v>
      </c>
      <c r="B12" s="840">
        <v>251</v>
      </c>
      <c r="C12" s="844">
        <v>2911262</v>
      </c>
      <c r="D12" s="844"/>
      <c r="E12" s="844">
        <v>8312</v>
      </c>
      <c r="F12" s="1692">
        <f>(C12+D12)-E12</f>
        <v>2902950</v>
      </c>
      <c r="G12" s="843">
        <v>10</v>
      </c>
      <c r="H12" s="765">
        <v>2372527</v>
      </c>
      <c r="I12" s="765">
        <v>85715</v>
      </c>
      <c r="J12" s="765">
        <v>8312</v>
      </c>
      <c r="K12" s="1701">
        <f>(H12+I12)-J12</f>
        <v>2449930</v>
      </c>
      <c r="L12" s="1701">
        <f>F12-K12</f>
        <v>453020</v>
      </c>
    </row>
    <row r="13" spans="1:14" ht="14.25" thickTop="1" thickBot="1">
      <c r="A13" s="848" t="s">
        <v>1122</v>
      </c>
      <c r="B13" s="840">
        <v>252</v>
      </c>
      <c r="C13" s="844">
        <v>316922</v>
      </c>
      <c r="D13" s="844">
        <v>15256</v>
      </c>
      <c r="E13" s="844"/>
      <c r="F13" s="1692">
        <f>(C13+D13)-E13</f>
        <v>332178</v>
      </c>
      <c r="G13" s="843">
        <v>5</v>
      </c>
      <c r="H13" s="765">
        <v>284553</v>
      </c>
      <c r="I13" s="765">
        <v>19119</v>
      </c>
      <c r="J13" s="765"/>
      <c r="K13" s="1701">
        <f>(H13+I13)-J13</f>
        <v>303672</v>
      </c>
      <c r="L13" s="1701">
        <f>F13-K13</f>
        <v>28506</v>
      </c>
    </row>
    <row r="14" spans="1:14" ht="14.25" thickTop="1" thickBot="1">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c r="A15" s="1564" t="s">
        <v>528</v>
      </c>
      <c r="B15" s="1563">
        <v>260</v>
      </c>
      <c r="C15" s="844">
        <v>9496786</v>
      </c>
      <c r="D15" s="844">
        <f>16452188-2778696</f>
        <v>13673492</v>
      </c>
      <c r="E15" s="844"/>
      <c r="F15" s="1692">
        <f>(C15+D15)-E15</f>
        <v>23170278</v>
      </c>
      <c r="G15" s="849" t="s">
        <v>862</v>
      </c>
      <c r="H15" s="781"/>
      <c r="I15" s="781"/>
      <c r="J15" s="781"/>
      <c r="K15" s="781"/>
      <c r="L15" s="1701">
        <f>F15-K15</f>
        <v>23170278</v>
      </c>
    </row>
    <row r="16" spans="1:14" ht="15" customHeight="1" thickTop="1" thickBot="1">
      <c r="A16" s="1697" t="s">
        <v>643</v>
      </c>
      <c r="B16" s="1698">
        <v>200</v>
      </c>
      <c r="C16" s="1692">
        <f>SUM(C3,C5:C6,C8:C10,C12:C15)</f>
        <v>42207199</v>
      </c>
      <c r="D16" s="1692">
        <f>SUM(D3,D5:D6,D8:D10,D12:D15)</f>
        <v>18897128</v>
      </c>
      <c r="E16" s="1692">
        <f>SUM(E3,E5:E6,E8:E10,E12:E15)</f>
        <v>8312</v>
      </c>
      <c r="F16" s="1692">
        <f>SUM(F3,F5:F6,F8:F10,F12:F15)</f>
        <v>61096015</v>
      </c>
      <c r="G16" s="843"/>
      <c r="H16" s="1692">
        <f>SUM(H3,H6,H8:H10,H12:H14,)</f>
        <v>16281698</v>
      </c>
      <c r="I16" s="1692">
        <f>SUM(I3,I6,I8:I10,I12:I14,)</f>
        <v>903406</v>
      </c>
      <c r="J16" s="1692">
        <f>SUM(J3,J6,J8:J10,J12:J14,)</f>
        <v>8312</v>
      </c>
      <c r="K16" s="1692">
        <f>(H16+I16)-J16</f>
        <v>17176792</v>
      </c>
      <c r="L16" s="1692">
        <f>F16-K16</f>
        <v>43919223</v>
      </c>
    </row>
    <row r="17" spans="1:12" ht="15" customHeight="1" thickTop="1" thickBot="1">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c r="A18" s="1699" t="s">
        <v>685</v>
      </c>
      <c r="B18" s="1700"/>
      <c r="C18" s="771"/>
      <c r="D18" s="771"/>
      <c r="E18" s="771"/>
      <c r="F18" s="850"/>
      <c r="G18" s="851"/>
      <c r="H18" s="773"/>
      <c r="I18" s="1692">
        <f>SUM(I16,I17)</f>
        <v>903406</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T15" sqref="T15:AA15"/>
      <selection pane="bottomLeft" activeCell="T15" sqref="T15:AA15"/>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67" t="s">
        <v>1935</v>
      </c>
      <c r="B1" s="2268"/>
      <c r="C1" s="2268"/>
      <c r="D1" s="2268"/>
      <c r="E1" s="2268"/>
      <c r="F1" s="2269"/>
      <c r="G1" s="855"/>
    </row>
    <row r="2" spans="1:7" ht="15" customHeight="1" thickBot="1">
      <c r="A2" s="2270" t="s">
        <v>477</v>
      </c>
      <c r="B2" s="2271"/>
      <c r="C2" s="2271"/>
      <c r="D2" s="2271"/>
      <c r="E2" s="2271"/>
      <c r="F2" s="2272"/>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73"/>
      <c r="B5" s="2274"/>
      <c r="C5" s="2274"/>
      <c r="D5" s="2274"/>
      <c r="E5" s="2274"/>
      <c r="F5" s="2274"/>
    </row>
    <row r="6" spans="1:7" ht="13.5" customHeight="1" thickBot="1">
      <c r="A6" s="2264" t="s">
        <v>1104</v>
      </c>
      <c r="B6" s="2265"/>
      <c r="C6" s="2265"/>
      <c r="D6" s="2265"/>
      <c r="E6" s="2265"/>
      <c r="F6" s="2266"/>
      <c r="G6" s="865"/>
    </row>
    <row r="7" spans="1:7" s="865" customFormat="1" ht="12" thickTop="1">
      <c r="A7" s="866" t="s">
        <v>502</v>
      </c>
      <c r="B7" s="867"/>
      <c r="C7" s="868"/>
      <c r="D7" s="867"/>
      <c r="E7" s="868"/>
      <c r="F7" s="867"/>
    </row>
    <row r="8" spans="1:7">
      <c r="A8" s="869" t="s">
        <v>459</v>
      </c>
      <c r="B8" s="870" t="s">
        <v>1447</v>
      </c>
      <c r="C8" s="871"/>
      <c r="D8" s="869" t="s">
        <v>501</v>
      </c>
      <c r="E8" s="868" t="s">
        <v>958</v>
      </c>
      <c r="F8" s="1840">
        <f>'Expenditures 15-22'!K114</f>
        <v>21708391</v>
      </c>
      <c r="G8" s="865"/>
    </row>
    <row r="9" spans="1:7">
      <c r="A9" s="869" t="s">
        <v>460</v>
      </c>
      <c r="B9" s="870" t="s">
        <v>1837</v>
      </c>
      <c r="C9" s="871"/>
      <c r="D9" s="869" t="s">
        <v>501</v>
      </c>
      <c r="E9" s="868"/>
      <c r="F9" s="1841">
        <f>'Expenditures 15-22'!K151</f>
        <v>2139005</v>
      </c>
      <c r="G9" s="872"/>
    </row>
    <row r="10" spans="1:7">
      <c r="A10" s="869" t="s">
        <v>499</v>
      </c>
      <c r="B10" s="870" t="s">
        <v>1838</v>
      </c>
      <c r="C10" s="871"/>
      <c r="D10" s="869" t="s">
        <v>501</v>
      </c>
      <c r="E10" s="868"/>
      <c r="F10" s="1841">
        <f>'Expenditures 15-22'!K174</f>
        <v>2303657</v>
      </c>
      <c r="G10" s="872"/>
    </row>
    <row r="11" spans="1:7">
      <c r="A11" s="869" t="s">
        <v>461</v>
      </c>
      <c r="B11" s="870" t="s">
        <v>1839</v>
      </c>
      <c r="C11" s="871"/>
      <c r="D11" s="869" t="s">
        <v>501</v>
      </c>
      <c r="E11" s="868"/>
      <c r="F11" s="1841">
        <f>'Expenditures 15-22'!K210</f>
        <v>2263387</v>
      </c>
      <c r="G11" s="872"/>
    </row>
    <row r="12" spans="1:7">
      <c r="A12" s="869" t="s">
        <v>462</v>
      </c>
      <c r="B12" s="870" t="s">
        <v>1840</v>
      </c>
      <c r="C12" s="871"/>
      <c r="D12" s="869" t="s">
        <v>501</v>
      </c>
      <c r="E12" s="868"/>
      <c r="F12" s="1841">
        <f>'Expenditures 15-22'!K295</f>
        <v>694462</v>
      </c>
      <c r="G12" s="872"/>
    </row>
    <row r="13" spans="1:7">
      <c r="A13" s="869" t="s">
        <v>106</v>
      </c>
      <c r="B13" s="870" t="s">
        <v>1841</v>
      </c>
      <c r="C13" s="871"/>
      <c r="D13" s="869" t="s">
        <v>501</v>
      </c>
      <c r="E13" s="868"/>
      <c r="F13" s="1841">
        <f>'Expenditures 15-22'!K342</f>
        <v>1142858</v>
      </c>
      <c r="G13" s="873"/>
    </row>
    <row r="14" spans="1:7" ht="12" customHeight="1" thickBot="1">
      <c r="A14" s="1702"/>
      <c r="B14" s="1703"/>
      <c r="C14" s="1704"/>
      <c r="D14" s="1705" t="s">
        <v>501</v>
      </c>
      <c r="E14" s="1706" t="s">
        <v>958</v>
      </c>
      <c r="F14" s="1707">
        <f>SUM(F8:F13)</f>
        <v>30251760</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2">
        <f>'Revenues 9-14'!F43</f>
        <v>0</v>
      </c>
      <c r="G18" s="865"/>
    </row>
    <row r="19" spans="1:7">
      <c r="A19" s="869" t="s">
        <v>461</v>
      </c>
      <c r="B19" s="870" t="s">
        <v>1011</v>
      </c>
      <c r="C19" s="877">
        <f>'Revenues 9-14'!B47</f>
        <v>1421</v>
      </c>
      <c r="D19" s="878" t="str">
        <f>'Revenues 9-14'!A47</f>
        <v>Summer Sch - Transp. Fees from Pupils or Parents (In State)</v>
      </c>
      <c r="E19" s="879"/>
      <c r="F19" s="1843">
        <f>'Revenues 9-14'!F47</f>
        <v>0</v>
      </c>
      <c r="G19" s="865"/>
    </row>
    <row r="20" spans="1:7">
      <c r="A20" s="869" t="s">
        <v>461</v>
      </c>
      <c r="B20" s="870" t="s">
        <v>1012</v>
      </c>
      <c r="C20" s="875">
        <f>'Revenues 9-14'!B48</f>
        <v>1422</v>
      </c>
      <c r="D20" s="876" t="str">
        <f>'Revenues 9-14'!A48</f>
        <v>Summer Sch - Transp. Fees from Other Districts (In State)</v>
      </c>
      <c r="E20" s="868"/>
      <c r="F20" s="1844">
        <f>'Revenues 9-14'!F48</f>
        <v>0</v>
      </c>
      <c r="G20" s="865"/>
    </row>
    <row r="21" spans="1:7">
      <c r="A21" s="869" t="s">
        <v>461</v>
      </c>
      <c r="B21" s="870" t="s">
        <v>1013</v>
      </c>
      <c r="C21" s="877">
        <f>'Revenues 9-14'!B49</f>
        <v>1423</v>
      </c>
      <c r="D21" s="876" t="str">
        <f>'Revenues 9-14'!A49</f>
        <v>Summer Sch - Transp. Fees from Other Sources (In State)</v>
      </c>
      <c r="E21" s="868"/>
      <c r="F21" s="1845">
        <f>'Revenues 9-14'!F49</f>
        <v>0</v>
      </c>
      <c r="G21" s="865"/>
    </row>
    <row r="22" spans="1:7">
      <c r="A22" s="869" t="s">
        <v>461</v>
      </c>
      <c r="B22" s="870" t="s">
        <v>1014</v>
      </c>
      <c r="C22" s="877">
        <f>'Revenues 9-14'!B50</f>
        <v>1424</v>
      </c>
      <c r="D22" s="876" t="str">
        <f>'Revenues 9-14'!A50</f>
        <v>Summer Sch - Transp. Fees from Other Sources (Out of State)</v>
      </c>
      <c r="E22" s="868"/>
      <c r="F22" s="1845">
        <f>'Revenues 9-14'!F50</f>
        <v>0</v>
      </c>
      <c r="G22" s="865"/>
    </row>
    <row r="23" spans="1:7">
      <c r="A23" s="869" t="s">
        <v>461</v>
      </c>
      <c r="B23" s="870" t="s">
        <v>1015</v>
      </c>
      <c r="C23" s="875">
        <f>'Revenues 9-14'!B52</f>
        <v>1432</v>
      </c>
      <c r="D23" s="876" t="str">
        <f>'Revenues 9-14'!A52</f>
        <v>CTE - Transp Fees from Other Districts (In State)</v>
      </c>
      <c r="E23" s="868"/>
      <c r="F23" s="1845">
        <f>'Revenues 9-14'!F52</f>
        <v>0</v>
      </c>
      <c r="G23" s="865"/>
    </row>
    <row r="24" spans="1:7">
      <c r="A24" s="869" t="s">
        <v>461</v>
      </c>
      <c r="B24" s="870" t="s">
        <v>1016</v>
      </c>
      <c r="C24" s="875">
        <f>'Revenues 9-14'!B56</f>
        <v>1442</v>
      </c>
      <c r="D24" s="876" t="str">
        <f>'Revenues 9-14'!A56</f>
        <v>Special Ed - Transp Fees from Other Districts (In State)</v>
      </c>
      <c r="E24" s="868"/>
      <c r="F24" s="1845">
        <f>'Revenues 9-14'!F56</f>
        <v>0</v>
      </c>
      <c r="G24" s="865"/>
    </row>
    <row r="25" spans="1:7">
      <c r="A25" s="869" t="s">
        <v>461</v>
      </c>
      <c r="B25" s="870" t="s">
        <v>1017</v>
      </c>
      <c r="C25" s="875">
        <f>'Revenues 9-14'!B59</f>
        <v>1451</v>
      </c>
      <c r="D25" s="876" t="str">
        <f>'Revenues 9-14'!A59</f>
        <v>Adult - Transp Fees from Pupils or Parents (In State)</v>
      </c>
      <c r="E25" s="868"/>
      <c r="F25" s="1845">
        <f>'Revenues 9-14'!F59</f>
        <v>0</v>
      </c>
      <c r="G25" s="865"/>
    </row>
    <row r="26" spans="1:7">
      <c r="A26" s="869" t="s">
        <v>461</v>
      </c>
      <c r="B26" s="870" t="s">
        <v>1018</v>
      </c>
      <c r="C26" s="875">
        <f>'Revenues 9-14'!B60</f>
        <v>1452</v>
      </c>
      <c r="D26" s="876" t="str">
        <f>'Revenues 9-14'!A60</f>
        <v>Adult - Transp Fees from Other Districts (In State)</v>
      </c>
      <c r="E26" s="868"/>
      <c r="F26" s="1845">
        <f>'Revenues 9-14'!F60</f>
        <v>0</v>
      </c>
      <c r="G26" s="865"/>
    </row>
    <row r="27" spans="1:7">
      <c r="A27" s="869" t="s">
        <v>461</v>
      </c>
      <c r="B27" s="870" t="s">
        <v>1019</v>
      </c>
      <c r="C27" s="875">
        <f>'Revenues 9-14'!B61</f>
        <v>1453</v>
      </c>
      <c r="D27" s="876" t="str">
        <f>'Revenues 9-14'!A61</f>
        <v>Adult - Transp Fees from Other Sources (In State)</v>
      </c>
      <c r="E27" s="868"/>
      <c r="F27" s="1845">
        <f>'Revenues 9-14'!F61</f>
        <v>0</v>
      </c>
      <c r="G27" s="865"/>
    </row>
    <row r="28" spans="1:7">
      <c r="A28" s="869" t="s">
        <v>461</v>
      </c>
      <c r="B28" s="870" t="s">
        <v>1020</v>
      </c>
      <c r="C28" s="875">
        <f>'Revenues 9-14'!B62</f>
        <v>1454</v>
      </c>
      <c r="D28" s="876" t="str">
        <f>'Revenues 9-14'!A62</f>
        <v>Adult - Transp Fees from Other Sources (Out of State)</v>
      </c>
      <c r="E28" s="868"/>
      <c r="F28" s="1845">
        <f>'Revenues 9-14'!F62</f>
        <v>0</v>
      </c>
      <c r="G28" s="865"/>
    </row>
    <row r="29" spans="1:7">
      <c r="A29" s="869" t="s">
        <v>1097</v>
      </c>
      <c r="B29" s="870" t="s">
        <v>810</v>
      </c>
      <c r="C29" s="880">
        <f>'Revenues 9-14'!B149</f>
        <v>3410</v>
      </c>
      <c r="D29" s="881" t="str">
        <f>'Revenues 9-14'!A149</f>
        <v>Adult Ed (from ICCB)</v>
      </c>
      <c r="E29" s="868"/>
      <c r="F29" s="1845">
        <f>SUM('Revenues 9-14'!D149,'Revenues 9-14'!F149)</f>
        <v>0</v>
      </c>
      <c r="G29" s="865"/>
    </row>
    <row r="30" spans="1:7">
      <c r="A30" s="869" t="s">
        <v>1097</v>
      </c>
      <c r="B30" s="870" t="s">
        <v>1959</v>
      </c>
      <c r="C30" s="880">
        <f>'Revenues 9-14'!B150</f>
        <v>3499</v>
      </c>
      <c r="D30" s="881" t="str">
        <f>'Revenues 9-14'!A150</f>
        <v>Adult Ed - Other (Describe &amp; Itemize)</v>
      </c>
      <c r="E30" s="868"/>
      <c r="F30" s="1846">
        <f>('Revenues 9-14'!D150+'Revenues 9-14'!F150)</f>
        <v>0</v>
      </c>
      <c r="G30" s="865"/>
    </row>
    <row r="31" spans="1:7">
      <c r="A31" s="869" t="s">
        <v>1097</v>
      </c>
      <c r="B31" s="870" t="s">
        <v>1960</v>
      </c>
      <c r="C31" s="875">
        <f>'Revenues 9-14'!B211</f>
        <v>4600</v>
      </c>
      <c r="D31" s="883" t="str">
        <f>'Revenues 9-14'!A211</f>
        <v>Fed - Spec Education - Preschool Flow-Through</v>
      </c>
      <c r="E31" s="884"/>
      <c r="F31" s="1845">
        <f>SUM('Revenues 9-14'!D211,'Revenues 9-14'!F211)</f>
        <v>0</v>
      </c>
      <c r="G31" s="865"/>
    </row>
    <row r="32" spans="1:7">
      <c r="A32" s="869" t="s">
        <v>1097</v>
      </c>
      <c r="B32" s="870" t="s">
        <v>1961</v>
      </c>
      <c r="C32" s="875">
        <f>'Revenues 9-14'!B212</f>
        <v>4605</v>
      </c>
      <c r="D32" s="885" t="str">
        <f>'Revenues 9-14'!A212</f>
        <v>Fed - Spec Education - Preschool Discretionary</v>
      </c>
      <c r="E32" s="884"/>
      <c r="F32" s="1845">
        <f>SUM('Revenues 9-14'!D212,'Revenues 9-14'!F212)</f>
        <v>0</v>
      </c>
      <c r="G32" s="865"/>
    </row>
    <row r="33" spans="1:7">
      <c r="A33" s="869" t="s">
        <v>460</v>
      </c>
      <c r="B33" s="870" t="s">
        <v>1962</v>
      </c>
      <c r="C33" s="875">
        <f>'Revenues 9-14'!B222</f>
        <v>4810</v>
      </c>
      <c r="D33" s="883" t="str">
        <f>'Revenues 9-14'!A222</f>
        <v>Federal - Adult Education</v>
      </c>
      <c r="E33" s="868"/>
      <c r="F33" s="1845">
        <f>'Revenues 9-14'!D222</f>
        <v>0</v>
      </c>
      <c r="G33" s="865"/>
    </row>
    <row r="34" spans="1:7">
      <c r="A34" s="869" t="s">
        <v>459</v>
      </c>
      <c r="B34" s="869" t="s">
        <v>1448</v>
      </c>
      <c r="C34" s="886" t="str">
        <f>'Expenditures 15-22'!B7</f>
        <v>1125</v>
      </c>
      <c r="D34" s="887" t="str">
        <f>'Expenditures 15-22'!A7</f>
        <v>Pre-K Programs</v>
      </c>
      <c r="E34" s="868"/>
      <c r="F34" s="1845">
        <f>'Expenditures 15-22'!K7-SUM('Expenditures 15-22'!G7,'Expenditures 15-22'!I7)</f>
        <v>199084</v>
      </c>
      <c r="G34" s="865"/>
    </row>
    <row r="35" spans="1:7">
      <c r="A35" s="869" t="s">
        <v>459</v>
      </c>
      <c r="B35" s="869" t="s">
        <v>1449</v>
      </c>
      <c r="C35" s="886" t="str">
        <f>'Expenditures 15-22'!B9</f>
        <v>1225</v>
      </c>
      <c r="D35" s="887" t="str">
        <f>'Expenditures 15-22'!A9</f>
        <v>Special Education Programs Pre-K</v>
      </c>
      <c r="E35" s="868"/>
      <c r="F35" s="1845">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c r="A37" s="869" t="s">
        <v>459</v>
      </c>
      <c r="B37" s="869" t="s">
        <v>1450</v>
      </c>
      <c r="C37" s="886">
        <f>'Expenditures 15-22'!B12</f>
        <v>1300</v>
      </c>
      <c r="D37" s="888" t="str">
        <f>'Expenditures 15-22'!A12</f>
        <v>Adult/Continuing Education Programs</v>
      </c>
      <c r="E37" s="868"/>
      <c r="F37" s="1845">
        <f>'Expenditures 15-22'!K12-SUM('Expenditures 15-22'!G12+'Expenditures 15-22'!I12)</f>
        <v>0</v>
      </c>
      <c r="G37" s="865"/>
    </row>
    <row r="38" spans="1:7">
      <c r="A38" s="869" t="s">
        <v>459</v>
      </c>
      <c r="B38" s="869" t="s">
        <v>1451</v>
      </c>
      <c r="C38" s="886">
        <f>'Expenditures 15-22'!B15</f>
        <v>1600</v>
      </c>
      <c r="D38" s="888" t="str">
        <f>'Expenditures 15-22'!A15</f>
        <v>Summer School Programs</v>
      </c>
      <c r="E38" s="868"/>
      <c r="F38" s="1845">
        <f>'Expenditures 15-22'!K15-SUM('Expenditures 15-22'!G15,'Expenditures 15-22'!I15)</f>
        <v>12506</v>
      </c>
      <c r="G38" s="865"/>
    </row>
    <row r="39" spans="1:7">
      <c r="A39" s="869" t="s">
        <v>459</v>
      </c>
      <c r="B39" s="869" t="s">
        <v>117</v>
      </c>
      <c r="C39" s="886" t="str">
        <f>'Expenditures 15-22'!B20</f>
        <v>1910</v>
      </c>
      <c r="D39" s="888" t="str">
        <f>'Expenditures 15-22'!A20</f>
        <v>Pre-K Programs - Private Tuition</v>
      </c>
      <c r="E39" s="868"/>
      <c r="F39" s="1845">
        <f>'Expenditures 15-22'!K20</f>
        <v>0</v>
      </c>
      <c r="G39" s="865"/>
    </row>
    <row r="40" spans="1:7">
      <c r="A40" s="869" t="s">
        <v>459</v>
      </c>
      <c r="B40" s="869" t="s">
        <v>118</v>
      </c>
      <c r="C40" s="886" t="str">
        <f>'Expenditures 15-22'!B21</f>
        <v>1911</v>
      </c>
      <c r="D40" s="888" t="str">
        <f>'Expenditures 15-22'!A21</f>
        <v>Regular K-12 Programs - Private Tuition</v>
      </c>
      <c r="E40" s="868"/>
      <c r="F40" s="1845">
        <f>'Expenditures 15-22'!K21</f>
        <v>0</v>
      </c>
      <c r="G40" s="865"/>
    </row>
    <row r="41" spans="1:7">
      <c r="A41" s="869" t="s">
        <v>459</v>
      </c>
      <c r="B41" s="869" t="s">
        <v>119</v>
      </c>
      <c r="C41" s="886" t="str">
        <f>'Expenditures 15-22'!B22</f>
        <v>1912</v>
      </c>
      <c r="D41" s="888" t="str">
        <f>'Expenditures 15-22'!A22</f>
        <v>Special Education Programs K-12 - Private Tuition</v>
      </c>
      <c r="E41" s="868"/>
      <c r="F41" s="1845">
        <f>'Expenditures 15-22'!K22</f>
        <v>0</v>
      </c>
      <c r="G41" s="865"/>
    </row>
    <row r="42" spans="1:7">
      <c r="A42" s="869" t="s">
        <v>459</v>
      </c>
      <c r="B42" s="869" t="s">
        <v>120</v>
      </c>
      <c r="C42" s="889" t="str">
        <f>'Expenditures 15-22'!B23</f>
        <v>1913</v>
      </c>
      <c r="D42" s="888" t="str">
        <f>'Expenditures 15-22'!A23</f>
        <v>Special Education Programs Pre-K - Tuition</v>
      </c>
      <c r="E42" s="868"/>
      <c r="F42" s="1845">
        <f>'Expenditures 15-22'!K23</f>
        <v>0</v>
      </c>
      <c r="G42" s="865"/>
    </row>
    <row r="43" spans="1:7">
      <c r="A43" s="869" t="s">
        <v>459</v>
      </c>
      <c r="B43" s="869" t="s">
        <v>121</v>
      </c>
      <c r="C43" s="886" t="str">
        <f>'Expenditures 15-22'!B24</f>
        <v>1914</v>
      </c>
      <c r="D43" s="888" t="str">
        <f>'Expenditures 15-22'!A24</f>
        <v>Remedial/Supplemental Programs K-12 - Private Tuition</v>
      </c>
      <c r="E43" s="868"/>
      <c r="F43" s="1845">
        <f>'Expenditures 15-22'!K24</f>
        <v>0</v>
      </c>
      <c r="G43" s="865"/>
    </row>
    <row r="44" spans="1:7">
      <c r="A44" s="869" t="s">
        <v>459</v>
      </c>
      <c r="B44" s="869" t="s">
        <v>122</v>
      </c>
      <c r="C44" s="889" t="str">
        <f>'Expenditures 15-22'!B25</f>
        <v>1915</v>
      </c>
      <c r="D44" s="888" t="str">
        <f>'Expenditures 15-22'!A25</f>
        <v>Remedial/Supplemental Programs Pre-K - Private Tuition</v>
      </c>
      <c r="E44" s="868"/>
      <c r="F44" s="1845">
        <f>'Expenditures 15-22'!K25</f>
        <v>0</v>
      </c>
      <c r="G44" s="865"/>
    </row>
    <row r="45" spans="1:7">
      <c r="A45" s="869" t="s">
        <v>459</v>
      </c>
      <c r="B45" s="869" t="s">
        <v>123</v>
      </c>
      <c r="C45" s="889" t="str">
        <f>'Expenditures 15-22'!B26</f>
        <v>1916</v>
      </c>
      <c r="D45" s="888" t="str">
        <f>'Expenditures 15-22'!A26</f>
        <v>Adult/Continuing Education Programs - Private Tuition</v>
      </c>
      <c r="E45" s="868"/>
      <c r="F45" s="1845">
        <f>'Expenditures 15-22'!K26</f>
        <v>0</v>
      </c>
      <c r="G45" s="865"/>
    </row>
    <row r="46" spans="1:7">
      <c r="A46" s="869" t="s">
        <v>459</v>
      </c>
      <c r="B46" s="869" t="s">
        <v>124</v>
      </c>
      <c r="C46" s="886" t="str">
        <f>'Expenditures 15-22'!B27</f>
        <v>1917</v>
      </c>
      <c r="D46" s="888" t="str">
        <f>'Expenditures 15-22'!A27</f>
        <v>CTE Programs - Private Tuition</v>
      </c>
      <c r="E46" s="868"/>
      <c r="F46" s="1845">
        <f>'Expenditures 15-22'!K27</f>
        <v>0</v>
      </c>
      <c r="G46" s="865"/>
    </row>
    <row r="47" spans="1:7">
      <c r="A47" s="869" t="s">
        <v>459</v>
      </c>
      <c r="B47" s="869" t="s">
        <v>125</v>
      </c>
      <c r="C47" s="890" t="str">
        <f>'Expenditures 15-22'!B28</f>
        <v>1918</v>
      </c>
      <c r="D47" s="891" t="str">
        <f>'Expenditures 15-22'!A28</f>
        <v>Interscholastic Programs - Private Tuition</v>
      </c>
      <c r="E47" s="868"/>
      <c r="F47" s="1845">
        <f>'Expenditures 15-22'!K28</f>
        <v>0</v>
      </c>
      <c r="G47" s="865"/>
    </row>
    <row r="48" spans="1:7">
      <c r="A48" s="869" t="s">
        <v>459</v>
      </c>
      <c r="B48" s="869" t="s">
        <v>126</v>
      </c>
      <c r="C48" s="889" t="str">
        <f>'Expenditures 15-22'!B29</f>
        <v>1919</v>
      </c>
      <c r="D48" s="888" t="str">
        <f>'Expenditures 15-22'!A29</f>
        <v>Summer School Programs - Private Tuition</v>
      </c>
      <c r="E48" s="868"/>
      <c r="F48" s="1845">
        <f>'Expenditures 15-22'!K29</f>
        <v>0</v>
      </c>
      <c r="G48" s="865"/>
    </row>
    <row r="49" spans="1:7">
      <c r="A49" s="869" t="s">
        <v>459</v>
      </c>
      <c r="B49" s="869" t="s">
        <v>127</v>
      </c>
      <c r="C49" s="886" t="str">
        <f>'Expenditures 15-22'!B30</f>
        <v>1920</v>
      </c>
      <c r="D49" s="888" t="str">
        <f>'Expenditures 15-22'!A30</f>
        <v>Gifted Programs - Private Tuition</v>
      </c>
      <c r="E49" s="868"/>
      <c r="F49" s="1845">
        <f>'Expenditures 15-22'!K30</f>
        <v>0</v>
      </c>
      <c r="G49" s="865"/>
    </row>
    <row r="50" spans="1:7">
      <c r="A50" s="869" t="s">
        <v>459</v>
      </c>
      <c r="B50" s="869" t="s">
        <v>128</v>
      </c>
      <c r="C50" s="886" t="str">
        <f>'Expenditures 15-22'!B31</f>
        <v>1921</v>
      </c>
      <c r="D50" s="888" t="str">
        <f>'Expenditures 15-22'!A31</f>
        <v>Bilingual Programs - Private Tuition</v>
      </c>
      <c r="E50" s="868"/>
      <c r="F50" s="1845">
        <f>'Expenditures 15-22'!K31</f>
        <v>0</v>
      </c>
      <c r="G50" s="865"/>
    </row>
    <row r="51" spans="1:7">
      <c r="A51" s="869" t="s">
        <v>459</v>
      </c>
      <c r="B51" s="869" t="s">
        <v>1452</v>
      </c>
      <c r="C51" s="886" t="str">
        <f>'Expenditures 15-22'!B32</f>
        <v>1922</v>
      </c>
      <c r="D51" s="888" t="str">
        <f>'Expenditures 15-22'!A32</f>
        <v>Truants Alternative/Optional Ed Progms - Private Tuition</v>
      </c>
      <c r="E51" s="868"/>
      <c r="F51" s="1845">
        <f>'Expenditures 15-22'!K32</f>
        <v>0</v>
      </c>
      <c r="G51" s="865"/>
    </row>
    <row r="52" spans="1:7">
      <c r="A52" s="869" t="s">
        <v>459</v>
      </c>
      <c r="B52" s="869" t="s">
        <v>1453</v>
      </c>
      <c r="C52" s="889" t="str">
        <f>'Expenditures 15-22'!B75</f>
        <v>3000</v>
      </c>
      <c r="D52" s="888" t="s">
        <v>449</v>
      </c>
      <c r="E52" s="868"/>
      <c r="F52" s="1845">
        <f>'Expenditures 15-22'!K75-SUM('Expenditures 15-22'!G75,'Expenditures 15-22'!I75)</f>
        <v>51307</v>
      </c>
      <c r="G52" s="865"/>
    </row>
    <row r="53" spans="1:7">
      <c r="A53" s="869" t="s">
        <v>459</v>
      </c>
      <c r="B53" s="869" t="s">
        <v>1454</v>
      </c>
      <c r="C53" s="889">
        <f>'Expenditures 15-22'!B102</f>
        <v>4000</v>
      </c>
      <c r="D53" s="888" t="str">
        <f>'Expenditures 15-22'!A102</f>
        <v>Total Payments to Other Govt Units</v>
      </c>
      <c r="E53" s="868"/>
      <c r="F53" s="1845">
        <f>'Expenditures 15-22'!K102</f>
        <v>2074061</v>
      </c>
      <c r="G53" s="865"/>
    </row>
    <row r="54" spans="1:7">
      <c r="A54" s="869" t="s">
        <v>459</v>
      </c>
      <c r="B54" s="869" t="s">
        <v>1455</v>
      </c>
      <c r="C54" s="889" t="s">
        <v>982</v>
      </c>
      <c r="D54" s="885" t="s">
        <v>1095</v>
      </c>
      <c r="E54" s="868"/>
      <c r="F54" s="1845">
        <f>'Expenditures 15-22'!G114</f>
        <v>202459</v>
      </c>
      <c r="G54" s="865"/>
    </row>
    <row r="55" spans="1:7">
      <c r="A55" s="869" t="s">
        <v>459</v>
      </c>
      <c r="B55" s="869" t="s">
        <v>1456</v>
      </c>
      <c r="C55" s="889" t="s">
        <v>982</v>
      </c>
      <c r="D55" s="885" t="s">
        <v>291</v>
      </c>
      <c r="E55" s="868"/>
      <c r="F55" s="1845">
        <f>'Expenditures 15-22'!I114</f>
        <v>0</v>
      </c>
      <c r="G55" s="865"/>
    </row>
    <row r="56" spans="1:7">
      <c r="A56" s="869" t="s">
        <v>460</v>
      </c>
      <c r="B56" s="869" t="s">
        <v>1457</v>
      </c>
      <c r="C56" s="886" t="str">
        <f>'Expenditures 15-22'!B130</f>
        <v>3000</v>
      </c>
      <c r="D56" s="892" t="s">
        <v>449</v>
      </c>
      <c r="E56" s="868"/>
      <c r="F56" s="1845">
        <f>'Expenditures 15-22'!K130-SUM('Expenditures 15-22'!G130+'Expenditures 15-22'!I130)</f>
        <v>0</v>
      </c>
      <c r="G56" s="865"/>
    </row>
    <row r="57" spans="1:7">
      <c r="A57" s="869" t="s">
        <v>460</v>
      </c>
      <c r="B57" s="869" t="s">
        <v>1842</v>
      </c>
      <c r="C57" s="889">
        <f>'Expenditures 15-22'!B139</f>
        <v>4000</v>
      </c>
      <c r="D57" s="887" t="str">
        <f>'Expenditures 15-22'!A139</f>
        <v>Total Payments to Other Govt Units</v>
      </c>
      <c r="E57" s="868"/>
      <c r="F57" s="1845">
        <f>'Expenditures 15-22'!K139</f>
        <v>24144</v>
      </c>
      <c r="G57" s="865"/>
    </row>
    <row r="58" spans="1:7">
      <c r="A58" s="869" t="s">
        <v>460</v>
      </c>
      <c r="B58" s="869" t="s">
        <v>1843</v>
      </c>
      <c r="C58" s="886" t="s">
        <v>982</v>
      </c>
      <c r="D58" s="885" t="s">
        <v>1095</v>
      </c>
      <c r="E58" s="868"/>
      <c r="F58" s="1847">
        <f>'Expenditures 15-22'!G151</f>
        <v>108361</v>
      </c>
      <c r="G58" s="865"/>
    </row>
    <row r="59" spans="1:7">
      <c r="A59" s="893" t="s">
        <v>460</v>
      </c>
      <c r="B59" s="856" t="s">
        <v>1844</v>
      </c>
      <c r="C59" s="894" t="s">
        <v>982</v>
      </c>
      <c r="D59" s="856" t="s">
        <v>291</v>
      </c>
      <c r="F59" s="1848">
        <f>'Expenditures 15-22'!I151</f>
        <v>0</v>
      </c>
      <c r="G59" s="865"/>
    </row>
    <row r="60" spans="1:7">
      <c r="A60" s="893" t="s">
        <v>499</v>
      </c>
      <c r="B60" s="856" t="s">
        <v>1845</v>
      </c>
      <c r="C60" s="894">
        <v>4000</v>
      </c>
      <c r="D60" s="856" t="s">
        <v>312</v>
      </c>
      <c r="F60" s="1846">
        <f>'Expenditures 15-22'!K160</f>
        <v>0</v>
      </c>
      <c r="G60" s="865"/>
    </row>
    <row r="61" spans="1:7">
      <c r="A61" s="895" t="s">
        <v>499</v>
      </c>
      <c r="B61" s="895" t="s">
        <v>1846</v>
      </c>
      <c r="C61" s="896" t="str">
        <f>'Expenditures 15-22'!B170</f>
        <v>5300</v>
      </c>
      <c r="D61" s="897" t="s">
        <v>311</v>
      </c>
      <c r="E61" s="879"/>
      <c r="F61" s="1845">
        <f>'Expenditures 15-22'!K170</f>
        <v>980000</v>
      </c>
      <c r="G61" s="865"/>
    </row>
    <row r="62" spans="1:7">
      <c r="A62" s="869" t="s">
        <v>461</v>
      </c>
      <c r="B62" s="869" t="s">
        <v>1847</v>
      </c>
      <c r="C62" s="886">
        <f>'Expenditures 15-22'!B185</f>
        <v>3000</v>
      </c>
      <c r="D62" s="876" t="s">
        <v>449</v>
      </c>
      <c r="E62" s="868"/>
      <c r="F62" s="1845">
        <f>'Expenditures 15-22'!K185-SUM('Expenditures 15-22'!G185,'Expenditures 15-22'!I185)</f>
        <v>0</v>
      </c>
      <c r="G62" s="865"/>
    </row>
    <row r="63" spans="1:7">
      <c r="A63" s="869" t="s">
        <v>461</v>
      </c>
      <c r="B63" s="869" t="s">
        <v>1848</v>
      </c>
      <c r="C63" s="886" t="str">
        <f>'Expenditures 15-22'!B196</f>
        <v>4000</v>
      </c>
      <c r="D63" s="887" t="str">
        <f>'Expenditures 15-22'!A196</f>
        <v>Total Payments to Other Govt Units</v>
      </c>
      <c r="E63" s="868"/>
      <c r="F63" s="1845">
        <f>'Expenditures 15-22'!K196</f>
        <v>0</v>
      </c>
      <c r="G63" s="865"/>
    </row>
    <row r="64" spans="1:7">
      <c r="A64" s="895" t="s">
        <v>461</v>
      </c>
      <c r="B64" s="895" t="s">
        <v>1849</v>
      </c>
      <c r="C64" s="896" t="str">
        <f>'Expenditures 15-22'!B206</f>
        <v>5300</v>
      </c>
      <c r="D64" s="892" t="s">
        <v>311</v>
      </c>
      <c r="E64" s="868"/>
      <c r="F64" s="1845">
        <f>'Expenditures 15-22'!K206</f>
        <v>0</v>
      </c>
      <c r="G64" s="865"/>
    </row>
    <row r="65" spans="1:8">
      <c r="A65" s="869" t="s">
        <v>461</v>
      </c>
      <c r="B65" s="869" t="s">
        <v>1850</v>
      </c>
      <c r="C65" s="886" t="s">
        <v>982</v>
      </c>
      <c r="D65" s="885" t="s">
        <v>1095</v>
      </c>
      <c r="E65" s="868"/>
      <c r="F65" s="1845">
        <f>'Expenditures 15-22'!G210</f>
        <v>1322</v>
      </c>
      <c r="G65" s="865"/>
    </row>
    <row r="66" spans="1:8">
      <c r="A66" s="869" t="s">
        <v>461</v>
      </c>
      <c r="B66" s="869" t="s">
        <v>1851</v>
      </c>
      <c r="C66" s="886" t="s">
        <v>982</v>
      </c>
      <c r="D66" s="885" t="s">
        <v>291</v>
      </c>
      <c r="E66" s="868"/>
      <c r="F66" s="1845">
        <f>'Expenditures 15-22'!I210</f>
        <v>0</v>
      </c>
      <c r="G66" s="865"/>
    </row>
    <row r="67" spans="1:8">
      <c r="A67" s="869" t="s">
        <v>462</v>
      </c>
      <c r="B67" s="869" t="s">
        <v>1852</v>
      </c>
      <c r="C67" s="886" t="str">
        <f>'Expenditures 15-22'!B216</f>
        <v>1125</v>
      </c>
      <c r="D67" s="892" t="str">
        <f>'Expenditures 15-22'!A216</f>
        <v>Pre-K Programs</v>
      </c>
      <c r="E67" s="868"/>
      <c r="F67" s="1845">
        <f>'Expenditures 15-22'!K216</f>
        <v>7094</v>
      </c>
      <c r="G67" s="865"/>
    </row>
    <row r="68" spans="1:8">
      <c r="A68" s="869" t="s">
        <v>462</v>
      </c>
      <c r="B68" s="869" t="s">
        <v>1458</v>
      </c>
      <c r="C68" s="886" t="str">
        <f>'Expenditures 15-22'!B218</f>
        <v>1225</v>
      </c>
      <c r="D68" s="892" t="str">
        <f>'Expenditures 15-22'!A218</f>
        <v>Special Education Programs - Pre-K</v>
      </c>
      <c r="E68" s="868"/>
      <c r="F68" s="1845">
        <f>'Expenditures 15-22'!K218</f>
        <v>0</v>
      </c>
      <c r="G68" s="865"/>
    </row>
    <row r="69" spans="1:8">
      <c r="A69" s="869" t="s">
        <v>462</v>
      </c>
      <c r="B69" s="869" t="s">
        <v>1853</v>
      </c>
      <c r="C69" s="886" t="str">
        <f>'Expenditures 15-22'!B220</f>
        <v>1275</v>
      </c>
      <c r="D69" s="892" t="str">
        <f>'Expenditures 15-22'!A220</f>
        <v>Remedial and Supplemental Programs - Pre-K</v>
      </c>
      <c r="E69" s="868"/>
      <c r="F69" s="1845">
        <f>'Expenditures 15-22'!K220</f>
        <v>0</v>
      </c>
      <c r="G69" s="865"/>
    </row>
    <row r="70" spans="1:8">
      <c r="A70" s="869" t="s">
        <v>462</v>
      </c>
      <c r="B70" s="869" t="s">
        <v>1854</v>
      </c>
      <c r="C70" s="886">
        <f>'Expenditures 15-22'!B221</f>
        <v>1300</v>
      </c>
      <c r="D70" s="887" t="str">
        <f>'Expenditures 15-22'!A221</f>
        <v>Adult/Continuing Education Programs</v>
      </c>
      <c r="E70" s="868"/>
      <c r="F70" s="1845">
        <f>'Expenditures 15-22'!K221</f>
        <v>0</v>
      </c>
      <c r="G70" s="865"/>
    </row>
    <row r="71" spans="1:8">
      <c r="A71" s="869" t="s">
        <v>462</v>
      </c>
      <c r="B71" s="869" t="s">
        <v>1855</v>
      </c>
      <c r="C71" s="886">
        <f>'Expenditures 15-22'!B224</f>
        <v>1600</v>
      </c>
      <c r="D71" s="887" t="str">
        <f>'Expenditures 15-22'!A224</f>
        <v>Summer School Programs</v>
      </c>
      <c r="E71" s="868"/>
      <c r="F71" s="1845">
        <f>'Expenditures 15-22'!K224</f>
        <v>158</v>
      </c>
      <c r="G71" s="865"/>
    </row>
    <row r="72" spans="1:8">
      <c r="A72" s="869" t="s">
        <v>462</v>
      </c>
      <c r="B72" s="869" t="s">
        <v>1856</v>
      </c>
      <c r="C72" s="886">
        <f>'Expenditures 15-22'!B280</f>
        <v>3000</v>
      </c>
      <c r="D72" s="876" t="s">
        <v>449</v>
      </c>
      <c r="E72" s="868"/>
      <c r="F72" s="1845">
        <f>'Expenditures 15-22'!K280</f>
        <v>4440</v>
      </c>
      <c r="G72" s="865"/>
    </row>
    <row r="73" spans="1:8">
      <c r="A73" s="869" t="s">
        <v>462</v>
      </c>
      <c r="B73" s="869" t="s">
        <v>1857</v>
      </c>
      <c r="C73" s="886" t="str">
        <f>'Expenditures 15-22'!B285</f>
        <v>4000</v>
      </c>
      <c r="D73" s="887" t="str">
        <f>'Expenditures 15-22'!A285</f>
        <v>Total Payments to Other Govt Units</v>
      </c>
      <c r="E73" s="868"/>
      <c r="F73" s="1845">
        <f>'Expenditures 15-22'!K285</f>
        <v>0</v>
      </c>
      <c r="G73" s="865"/>
    </row>
    <row r="74" spans="1:8">
      <c r="A74" s="869" t="s">
        <v>436</v>
      </c>
      <c r="B74" s="869" t="s">
        <v>1858</v>
      </c>
      <c r="C74" s="886" t="s">
        <v>860</v>
      </c>
      <c r="D74" s="887" t="s">
        <v>1466</v>
      </c>
      <c r="E74" s="868"/>
      <c r="F74" s="1849">
        <f>'Expenditures 15-22'!K334</f>
        <v>0</v>
      </c>
      <c r="G74" s="865"/>
    </row>
    <row r="75" spans="1:8" ht="5.25" customHeight="1">
      <c r="A75" s="865"/>
      <c r="B75" s="875"/>
      <c r="C75" s="875"/>
      <c r="D75" s="865"/>
      <c r="E75" s="868"/>
      <c r="F75" s="882"/>
      <c r="G75" s="867"/>
    </row>
    <row r="76" spans="1:8" ht="12" thickBot="1">
      <c r="A76" s="1702"/>
      <c r="B76" s="1708"/>
      <c r="C76" s="1704"/>
      <c r="D76" s="1709" t="s">
        <v>1859</v>
      </c>
      <c r="E76" s="1706" t="s">
        <v>958</v>
      </c>
      <c r="F76" s="1710">
        <f>SUM(F18:F74)</f>
        <v>3664936</v>
      </c>
      <c r="G76" s="865"/>
    </row>
    <row r="77" spans="1:8" s="893" customFormat="1" ht="12" customHeight="1" thickTop="1" thickBot="1">
      <c r="A77" s="1711"/>
      <c r="B77" s="1708"/>
      <c r="C77" s="1704"/>
      <c r="D77" s="1709" t="s">
        <v>1860</v>
      </c>
      <c r="E77" s="1706"/>
      <c r="F77" s="1712">
        <f>(F14-F76)</f>
        <v>26586824</v>
      </c>
      <c r="G77" s="869"/>
    </row>
    <row r="78" spans="1:8" s="893" customFormat="1" ht="12" customHeight="1" thickTop="1">
      <c r="A78" s="1713"/>
      <c r="B78" s="1708"/>
      <c r="C78" s="1704"/>
      <c r="D78" s="1709" t="s">
        <v>2022</v>
      </c>
      <c r="E78" s="1706"/>
      <c r="F78" s="898">
        <v>2467</v>
      </c>
      <c r="G78" s="899"/>
      <c r="H78" s="869"/>
    </row>
    <row r="79" spans="1:8" s="893" customFormat="1" ht="12" customHeight="1" thickBot="1">
      <c r="A79" s="1714"/>
      <c r="B79" s="1708"/>
      <c r="C79" s="1704"/>
      <c r="D79" s="1709" t="s">
        <v>1861</v>
      </c>
      <c r="E79" s="1706" t="s">
        <v>958</v>
      </c>
      <c r="F79" s="1715">
        <f>IF(F78&gt;0,F77/F78," Complete Line 78")</f>
        <v>10776.985812728009</v>
      </c>
      <c r="G79" s="869"/>
    </row>
    <row r="80" spans="1:8" s="893" customFormat="1" ht="8.25" customHeight="1" thickTop="1">
      <c r="A80" s="900"/>
      <c r="B80" s="869"/>
      <c r="C80" s="871"/>
      <c r="D80" s="901"/>
      <c r="E80" s="868"/>
      <c r="F80" s="902"/>
      <c r="G80" s="869"/>
    </row>
    <row r="81" spans="1:7" s="893" customFormat="1" ht="12" thickBot="1">
      <c r="A81" s="2264" t="s">
        <v>1105</v>
      </c>
      <c r="B81" s="2265"/>
      <c r="C81" s="2265"/>
      <c r="D81" s="2265"/>
      <c r="E81" s="2265"/>
      <c r="F81" s="2266"/>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9">
        <f>'Revenues 9-14'!F42</f>
        <v>0</v>
      </c>
      <c r="G84" s="912"/>
    </row>
    <row r="85" spans="1:7">
      <c r="A85" s="908" t="s">
        <v>461</v>
      </c>
      <c r="B85" s="908" t="s">
        <v>183</v>
      </c>
      <c r="C85" s="913">
        <f>'Revenues 9-14'!B44</f>
        <v>1413</v>
      </c>
      <c r="D85" s="911" t="str">
        <f>'Revenues 9-14'!A44</f>
        <v>Regular - Transp Fees from Other Sources (In State)</v>
      </c>
      <c r="E85" s="906"/>
      <c r="F85" s="1721">
        <f>'Revenues 9-14'!F44</f>
        <v>0</v>
      </c>
      <c r="G85" s="914"/>
    </row>
    <row r="86" spans="1:7">
      <c r="A86" s="908" t="s">
        <v>461</v>
      </c>
      <c r="B86" s="908" t="s">
        <v>166</v>
      </c>
      <c r="C86" s="910">
        <f>'Revenues 9-14'!B45</f>
        <v>1415</v>
      </c>
      <c r="D86" s="911" t="str">
        <f>'Revenues 9-14'!A45</f>
        <v>Regular - Transp Fees from Co-curricular Activities (In State)</v>
      </c>
      <c r="E86" s="906"/>
      <c r="F86" s="1721">
        <f>'Revenues 9-14'!F45</f>
        <v>0</v>
      </c>
      <c r="G86" s="914"/>
    </row>
    <row r="87" spans="1:7">
      <c r="A87" s="908" t="s">
        <v>461</v>
      </c>
      <c r="B87" s="908" t="s">
        <v>167</v>
      </c>
      <c r="C87" s="910">
        <v>1416</v>
      </c>
      <c r="D87" s="911" t="str">
        <f>'Revenues 9-14'!A46</f>
        <v>Regular Transp Fees from Other Sources (Out of State)</v>
      </c>
      <c r="E87" s="906"/>
      <c r="F87" s="1721">
        <f>'Revenues 9-14'!F46</f>
        <v>0</v>
      </c>
      <c r="G87" s="914"/>
    </row>
    <row r="88" spans="1:7">
      <c r="A88" s="908" t="s">
        <v>461</v>
      </c>
      <c r="B88" s="908" t="s">
        <v>168</v>
      </c>
      <c r="C88" s="910">
        <f>'Revenues 9-14'!B51</f>
        <v>1431</v>
      </c>
      <c r="D88" s="911" t="str">
        <f>'Revenues 9-14'!A51</f>
        <v>CTE - Transp Fees from Pupils or Parents (In State)</v>
      </c>
      <c r="E88" s="906"/>
      <c r="F88" s="1721">
        <f>'Revenues 9-14'!F51</f>
        <v>0</v>
      </c>
      <c r="G88" s="914"/>
    </row>
    <row r="89" spans="1:7">
      <c r="A89" s="908" t="s">
        <v>461</v>
      </c>
      <c r="B89" s="908" t="s">
        <v>169</v>
      </c>
      <c r="C89" s="910">
        <f>'Revenues 9-14'!B53</f>
        <v>1433</v>
      </c>
      <c r="D89" s="911" t="str">
        <f>'Revenues 9-14'!A53</f>
        <v>CTE - Transp Fees from Other Sources (In State)</v>
      </c>
      <c r="E89" s="906"/>
      <c r="F89" s="1721">
        <f>'Revenues 9-14'!F53</f>
        <v>0</v>
      </c>
      <c r="G89" s="914"/>
    </row>
    <row r="90" spans="1:7">
      <c r="A90" s="908" t="s">
        <v>461</v>
      </c>
      <c r="B90" s="908" t="s">
        <v>170</v>
      </c>
      <c r="C90" s="910">
        <f>'Revenues 9-14'!B54</f>
        <v>1434</v>
      </c>
      <c r="D90" s="911" t="str">
        <f>'Revenues 9-14'!A54</f>
        <v>CTE - Transp Fees from Other Sources (Out of State)</v>
      </c>
      <c r="E90" s="906"/>
      <c r="F90" s="1721">
        <f>'Revenues 9-14'!F54</f>
        <v>0</v>
      </c>
      <c r="G90" s="914"/>
    </row>
    <row r="91" spans="1:7">
      <c r="A91" s="908" t="s">
        <v>461</v>
      </c>
      <c r="B91" s="908" t="s">
        <v>171</v>
      </c>
      <c r="C91" s="915">
        <f>'Revenues 9-14'!B55</f>
        <v>1441</v>
      </c>
      <c r="D91" s="911" t="str">
        <f>'Revenues 9-14'!A55</f>
        <v>Special Ed - Transp Fees from Pupils or Parents (In State)</v>
      </c>
      <c r="E91" s="906"/>
      <c r="F91" s="1721">
        <f>'Revenues 9-14'!F55</f>
        <v>0</v>
      </c>
      <c r="G91" s="914"/>
    </row>
    <row r="92" spans="1:7">
      <c r="A92" s="908" t="s">
        <v>461</v>
      </c>
      <c r="B92" s="908" t="s">
        <v>172</v>
      </c>
      <c r="C92" s="910">
        <f>'Revenues 9-14'!B57</f>
        <v>1443</v>
      </c>
      <c r="D92" s="911" t="str">
        <f>'Revenues 9-14'!A57</f>
        <v>Special Ed - Transp Fees from Other Sources (In State)</v>
      </c>
      <c r="E92" s="906"/>
      <c r="F92" s="1721">
        <f>'Revenues 9-14'!F57</f>
        <v>0</v>
      </c>
      <c r="G92" s="916"/>
    </row>
    <row r="93" spans="1:7">
      <c r="A93" s="908" t="s">
        <v>461</v>
      </c>
      <c r="B93" s="908" t="s">
        <v>173</v>
      </c>
      <c r="C93" s="910">
        <f>'Revenues 9-14'!B58</f>
        <v>1444</v>
      </c>
      <c r="D93" s="911" t="str">
        <f>'Revenues 9-14'!A58</f>
        <v>Special Ed - Transp Fees from Other Sources (Out of State)</v>
      </c>
      <c r="E93" s="906"/>
      <c r="F93" s="1721">
        <f>'Revenues 9-14'!F58</f>
        <v>0</v>
      </c>
      <c r="G93" s="916"/>
    </row>
    <row r="94" spans="1:7">
      <c r="A94" s="908" t="s">
        <v>459</v>
      </c>
      <c r="B94" s="908" t="s">
        <v>174</v>
      </c>
      <c r="C94" s="910">
        <v>1600</v>
      </c>
      <c r="D94" s="917" t="str">
        <f>'Revenues 9-14'!A75</f>
        <v>Total Food Service</v>
      </c>
      <c r="E94" s="906"/>
      <c r="F94" s="1721">
        <f>'Revenues 9-14'!C75</f>
        <v>229079</v>
      </c>
      <c r="G94" s="912"/>
    </row>
    <row r="95" spans="1:7">
      <c r="A95" s="908" t="s">
        <v>140</v>
      </c>
      <c r="B95" s="908" t="s">
        <v>175</v>
      </c>
      <c r="C95" s="910">
        <v>1700</v>
      </c>
      <c r="D95" s="918" t="str">
        <f>'Revenues 9-14'!A82</f>
        <v>Total District/School Activity Income</v>
      </c>
      <c r="E95" s="906"/>
      <c r="F95" s="1721">
        <f>SUM('Revenues 9-14'!C82,'Revenues 9-14'!D82)</f>
        <v>124218</v>
      </c>
      <c r="G95" s="912"/>
    </row>
    <row r="96" spans="1:7">
      <c r="A96" s="908" t="s">
        <v>459</v>
      </c>
      <c r="B96" s="908" t="s">
        <v>176</v>
      </c>
      <c r="C96" s="910">
        <f>'Revenues 9-14'!B84</f>
        <v>1811</v>
      </c>
      <c r="D96" s="911" t="str">
        <f>'Revenues 9-14'!A84</f>
        <v>Rentals - Regular Textbooks</v>
      </c>
      <c r="E96" s="906"/>
      <c r="F96" s="1721">
        <f>'Revenues 9-14'!C84</f>
        <v>139673</v>
      </c>
      <c r="G96" s="912"/>
    </row>
    <row r="97" spans="1:7">
      <c r="A97" s="908" t="s">
        <v>459</v>
      </c>
      <c r="B97" s="908" t="s">
        <v>177</v>
      </c>
      <c r="C97" s="910">
        <f>'Revenues 9-14'!B87</f>
        <v>1819</v>
      </c>
      <c r="D97" s="911" t="str">
        <f>'Revenues 9-14'!A87</f>
        <v>Rentals - Other (Describe &amp; Itemize)</v>
      </c>
      <c r="E97" s="906"/>
      <c r="F97" s="1721">
        <f>'Revenues 9-14'!C87</f>
        <v>0</v>
      </c>
      <c r="G97" s="912"/>
    </row>
    <row r="98" spans="1:7">
      <c r="A98" s="908" t="s">
        <v>459</v>
      </c>
      <c r="B98" s="908" t="s">
        <v>178</v>
      </c>
      <c r="C98" s="910">
        <f>'Revenues 9-14'!B88</f>
        <v>1821</v>
      </c>
      <c r="D98" s="911" t="str">
        <f>'Revenues 9-14'!A88</f>
        <v>Sales - Regular Textbooks</v>
      </c>
      <c r="E98" s="906"/>
      <c r="F98" s="1721">
        <f>'Revenues 9-14'!C88</f>
        <v>0</v>
      </c>
      <c r="G98" s="912"/>
    </row>
    <row r="99" spans="1:7">
      <c r="A99" s="908" t="s">
        <v>459</v>
      </c>
      <c r="B99" s="908" t="s">
        <v>179</v>
      </c>
      <c r="C99" s="910">
        <f>'Revenues 9-14'!B91</f>
        <v>1829</v>
      </c>
      <c r="D99" s="911" t="str">
        <f>'Revenues 9-14'!A91</f>
        <v>Sales - Other (Describe &amp; Itemize)</v>
      </c>
      <c r="E99" s="906"/>
      <c r="F99" s="1721">
        <f>'Revenues 9-14'!C91</f>
        <v>0</v>
      </c>
      <c r="G99" s="912"/>
    </row>
    <row r="100" spans="1:7">
      <c r="A100" s="908" t="s">
        <v>459</v>
      </c>
      <c r="B100" s="908" t="s">
        <v>180</v>
      </c>
      <c r="C100" s="910">
        <f>'Revenues 9-14'!B92</f>
        <v>1890</v>
      </c>
      <c r="D100" s="911" t="str">
        <f>'Revenues 9-14'!A92</f>
        <v>Other (Describe &amp; Itemize)</v>
      </c>
      <c r="E100" s="906"/>
      <c r="F100" s="1721">
        <f>'Revenues 9-14'!C92</f>
        <v>0</v>
      </c>
      <c r="G100" s="912"/>
    </row>
    <row r="101" spans="1:7">
      <c r="A101" s="908" t="s">
        <v>140</v>
      </c>
      <c r="B101" s="908" t="s">
        <v>181</v>
      </c>
      <c r="C101" s="910">
        <f>'Revenues 9-14'!B95</f>
        <v>1910</v>
      </c>
      <c r="D101" s="911" t="str">
        <f>'Revenues 9-14'!A95</f>
        <v>Rentals</v>
      </c>
      <c r="E101" s="906"/>
      <c r="F101" s="1721">
        <f>SUM('Revenues 9-14'!C95:D95)</f>
        <v>104439</v>
      </c>
      <c r="G101" s="912"/>
    </row>
    <row r="102" spans="1:7">
      <c r="A102" s="908" t="s">
        <v>503</v>
      </c>
      <c r="B102" s="908" t="s">
        <v>182</v>
      </c>
      <c r="C102" s="910">
        <f>'Revenues 9-14'!B98</f>
        <v>1940</v>
      </c>
      <c r="D102" s="911" t="str">
        <f>'Revenues 9-14'!A98</f>
        <v>Services Provided Other Districts</v>
      </c>
      <c r="E102" s="906"/>
      <c r="F102" s="1721">
        <f>SUM('Revenues 9-14'!C98,'Revenues 9-14'!D98,'Revenues 9-14'!F98)</f>
        <v>27546</v>
      </c>
      <c r="G102" s="912"/>
    </row>
    <row r="103" spans="1:7">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21">
        <f>('Revenues 9-14'!C106)</f>
        <v>0</v>
      </c>
      <c r="G104" s="912"/>
    </row>
    <row r="105" spans="1:7">
      <c r="A105" s="908" t="s">
        <v>503</v>
      </c>
      <c r="B105" s="908" t="s">
        <v>1963</v>
      </c>
      <c r="C105" s="913">
        <v>3100</v>
      </c>
      <c r="D105" s="919" t="str">
        <f>'Revenues 9-14'!A132</f>
        <v>Total Special Education</v>
      </c>
      <c r="E105" s="906"/>
      <c r="F105" s="1721">
        <f>SUM('Revenues 9-14'!C132:D132,'Revenues 9-14'!F132)</f>
        <v>233247</v>
      </c>
      <c r="G105" s="912"/>
    </row>
    <row r="106" spans="1:7">
      <c r="A106" s="908" t="s">
        <v>673</v>
      </c>
      <c r="B106" s="908" t="s">
        <v>1964</v>
      </c>
      <c r="C106" s="920">
        <v>3200</v>
      </c>
      <c r="D106" s="911" t="str">
        <f>'Revenues 9-14'!A141</f>
        <v>Total Career and Technical Education</v>
      </c>
      <c r="E106" s="906"/>
      <c r="F106" s="1721">
        <f>SUM('Revenues 9-14'!C141,'Revenues 9-14'!D141,'Revenues 9-14'!G141)</f>
        <v>0</v>
      </c>
      <c r="G106" s="912"/>
    </row>
    <row r="107" spans="1:7">
      <c r="A107" s="921" t="s">
        <v>664</v>
      </c>
      <c r="B107" s="908" t="s">
        <v>1965</v>
      </c>
      <c r="C107" s="920">
        <v>3300</v>
      </c>
      <c r="D107" s="911" t="str">
        <f>'Revenues 9-14'!A145</f>
        <v>Total Bilingual Ed</v>
      </c>
      <c r="E107" s="906"/>
      <c r="F107" s="1721">
        <f>SUM('Revenues 9-14'!C145,'Revenues 9-14'!G145)</f>
        <v>0</v>
      </c>
      <c r="G107" s="912"/>
    </row>
    <row r="108" spans="1:7">
      <c r="A108" s="908" t="s">
        <v>459</v>
      </c>
      <c r="B108" s="908" t="s">
        <v>1966</v>
      </c>
      <c r="C108" s="920">
        <f>'Revenues 9-14'!B146</f>
        <v>3360</v>
      </c>
      <c r="D108" s="911" t="str">
        <f>'Revenues 9-14'!A146</f>
        <v>State Free Lunch &amp; Breakfast</v>
      </c>
      <c r="E108" s="906"/>
      <c r="F108" s="1721">
        <f>'Revenues 9-14'!C146</f>
        <v>13293</v>
      </c>
      <c r="G108" s="912"/>
    </row>
    <row r="109" spans="1:7">
      <c r="A109" s="908" t="s">
        <v>673</v>
      </c>
      <c r="B109" s="908" t="s">
        <v>1967</v>
      </c>
      <c r="C109" s="920">
        <f>'Revenues 9-14'!B147</f>
        <v>3365</v>
      </c>
      <c r="D109" s="911" t="str">
        <f>'Revenues 9-14'!A147</f>
        <v>School Breakfast Initiative</v>
      </c>
      <c r="E109" s="906"/>
      <c r="F109" s="1721">
        <f>SUM('Revenues 9-14'!C147,'Revenues 9-14'!D147,'Revenues 9-14'!G147)</f>
        <v>0</v>
      </c>
      <c r="G109" s="912"/>
    </row>
    <row r="110" spans="1:7">
      <c r="A110" s="908" t="s">
        <v>140</v>
      </c>
      <c r="B110" s="908" t="s">
        <v>1968</v>
      </c>
      <c r="C110" s="920">
        <f>'Revenues 9-14'!B148</f>
        <v>3370</v>
      </c>
      <c r="D110" s="911" t="str">
        <f>'Revenues 9-14'!A148</f>
        <v>Driver Education</v>
      </c>
      <c r="E110" s="906"/>
      <c r="F110" s="1721">
        <f>SUM('Revenues 9-14'!C148,'Revenues 9-14'!D148)</f>
        <v>26853</v>
      </c>
      <c r="G110" s="912"/>
    </row>
    <row r="111" spans="1:7">
      <c r="A111" s="908" t="s">
        <v>668</v>
      </c>
      <c r="B111" s="908" t="s">
        <v>1969</v>
      </c>
      <c r="C111" s="922">
        <v>3500</v>
      </c>
      <c r="D111" s="911" t="str">
        <f>'Revenues 9-14'!A155</f>
        <v>Total Transportation</v>
      </c>
      <c r="E111" s="906"/>
      <c r="F111" s="1721">
        <f>SUM('Revenues 9-14'!C155,'Revenues 9-14'!D155,'Revenues 9-14'!F155,'Revenues 9-14'!G155)</f>
        <v>1467270</v>
      </c>
      <c r="G111" s="912"/>
    </row>
    <row r="112" spans="1:7">
      <c r="A112" s="908" t="s">
        <v>459</v>
      </c>
      <c r="B112" s="908" t="s">
        <v>1970</v>
      </c>
      <c r="C112" s="920">
        <f>'Revenues 9-14'!B156</f>
        <v>3610</v>
      </c>
      <c r="D112" s="911" t="str">
        <f>'Revenues 9-14'!A156</f>
        <v>Learning Improvement - Change Grants</v>
      </c>
      <c r="E112" s="906"/>
      <c r="F112" s="1721">
        <f>'Revenues 9-14'!C156</f>
        <v>0</v>
      </c>
      <c r="G112" s="912"/>
    </row>
    <row r="113" spans="1:7">
      <c r="A113" s="908" t="s">
        <v>668</v>
      </c>
      <c r="B113" s="908" t="s">
        <v>1971</v>
      </c>
      <c r="C113" s="920">
        <f>'Revenues 9-14'!B157</f>
        <v>3660</v>
      </c>
      <c r="D113" s="911" t="str">
        <f>'Revenues 9-14'!A157</f>
        <v>Scientific Literacy</v>
      </c>
      <c r="E113" s="906"/>
      <c r="F113" s="1721">
        <f>SUM('Revenues 9-14'!C157,'Revenues 9-14'!D157,'Revenues 9-14'!F157,'Revenues 9-14'!G157)</f>
        <v>0</v>
      </c>
      <c r="G113" s="912"/>
    </row>
    <row r="114" spans="1:7">
      <c r="A114" s="908" t="s">
        <v>5</v>
      </c>
      <c r="B114" s="908" t="s">
        <v>1972</v>
      </c>
      <c r="C114" s="920">
        <f>'Revenues 9-14'!B158</f>
        <v>3695</v>
      </c>
      <c r="D114" s="911" t="str">
        <f>'Revenues 9-14'!A158</f>
        <v>Truant Alternative/Optional Education</v>
      </c>
      <c r="E114" s="906"/>
      <c r="F114" s="1721">
        <f>SUM('Revenues 9-14'!C158,'Revenues 9-14'!F158,'Revenues 9-14'!G158)</f>
        <v>0</v>
      </c>
      <c r="G114" s="912"/>
    </row>
    <row r="115" spans="1:7">
      <c r="A115" s="908" t="s">
        <v>668</v>
      </c>
      <c r="B115" s="908" t="s">
        <v>1973</v>
      </c>
      <c r="C115" s="920">
        <f>'Revenues 9-14'!B160</f>
        <v>3766</v>
      </c>
      <c r="D115" s="911" t="str">
        <f>'Revenues 9-14'!A160</f>
        <v>Chicago General Education Block Grant</v>
      </c>
      <c r="E115" s="906"/>
      <c r="F115" s="1721">
        <f>SUM('Revenues 9-14'!C160,'Revenues 9-14'!D160,'Revenues 9-14'!F160,'Revenues 9-14'!G160)</f>
        <v>0</v>
      </c>
      <c r="G115" s="912"/>
    </row>
    <row r="116" spans="1:7">
      <c r="A116" s="908" t="s">
        <v>668</v>
      </c>
      <c r="B116" s="908" t="s">
        <v>1974</v>
      </c>
      <c r="C116" s="920">
        <f>'Revenues 9-14'!B161</f>
        <v>3767</v>
      </c>
      <c r="D116" s="911" t="str">
        <f>'Revenues 9-14'!A161</f>
        <v>Chicago Educational Services Block Grant</v>
      </c>
      <c r="E116" s="906"/>
      <c r="F116" s="1721">
        <f>SUM('Revenues 9-14'!C161,'Revenues 9-14'!D161,'Revenues 9-14'!F161,'Revenues 9-14'!G161)</f>
        <v>0</v>
      </c>
      <c r="G116" s="912"/>
    </row>
    <row r="117" spans="1:7">
      <c r="A117" s="923" t="s">
        <v>1009</v>
      </c>
      <c r="B117" s="923" t="s">
        <v>1975</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c r="A118" s="923" t="s">
        <v>1009</v>
      </c>
      <c r="B118" s="923" t="s">
        <v>1976</v>
      </c>
      <c r="C118" s="924">
        <f>'Revenues 9-14'!B163</f>
        <v>3780</v>
      </c>
      <c r="D118" s="925" t="str">
        <f>'Revenues 9-14'!A163</f>
        <v>Technology - Technology for Success</v>
      </c>
      <c r="E118" s="906"/>
      <c r="F118" s="1839">
        <f>SUM('Revenues 9-14'!C163:G163)</f>
        <v>0</v>
      </c>
      <c r="G118" s="912"/>
    </row>
    <row r="119" spans="1:7">
      <c r="A119" s="923" t="s">
        <v>504</v>
      </c>
      <c r="B119" s="923" t="s">
        <v>1977</v>
      </c>
      <c r="C119" s="924">
        <f>'Revenues 9-14'!B164</f>
        <v>3815</v>
      </c>
      <c r="D119" s="925" t="str">
        <f>'Revenues 9-14'!A164</f>
        <v>State Charter Schools</v>
      </c>
      <c r="E119" s="906"/>
      <c r="F119" s="1839">
        <f>SUM('Revenues 9-14'!C164,'Revenues 9-14'!F164)</f>
        <v>0</v>
      </c>
      <c r="G119" s="912"/>
    </row>
    <row r="120" spans="1:7">
      <c r="A120" s="927" t="s">
        <v>460</v>
      </c>
      <c r="B120" s="927" t="s">
        <v>1978</v>
      </c>
      <c r="C120" s="928">
        <f>'Revenues 9-14'!B167</f>
        <v>3925</v>
      </c>
      <c r="D120" s="929" t="str">
        <f>'Revenues 9-14'!A167</f>
        <v>School Infrastructure - Maintenance Projects</v>
      </c>
      <c r="E120" s="906"/>
      <c r="F120" s="1721">
        <f>'Revenues 9-14'!D167</f>
        <v>0</v>
      </c>
      <c r="G120" s="930"/>
    </row>
    <row r="121" spans="1:7">
      <c r="A121" s="927" t="s">
        <v>500</v>
      </c>
      <c r="B121" s="927" t="s">
        <v>1979</v>
      </c>
      <c r="C121" s="928">
        <f>'Revenues 9-14'!B168</f>
        <v>3999</v>
      </c>
      <c r="D121" s="929" t="s">
        <v>543</v>
      </c>
      <c r="E121" s="931"/>
      <c r="F121" s="1721">
        <f>SUM('Revenues 9-14'!C168:G168,'Revenues 9-14'!J168)</f>
        <v>0</v>
      </c>
      <c r="G121" s="930"/>
    </row>
    <row r="122" spans="1:7">
      <c r="A122" s="927" t="s">
        <v>459</v>
      </c>
      <c r="B122" s="927" t="s">
        <v>1980</v>
      </c>
      <c r="C122" s="932">
        <f>'Revenues 9-14'!B177</f>
        <v>4045</v>
      </c>
      <c r="D122" s="929" t="str">
        <f>'Revenues 9-14'!A177 &amp; " (Subtract)"</f>
        <v>Head Start (Subtract)</v>
      </c>
      <c r="E122" s="906"/>
      <c r="F122" s="1721">
        <f>SUM(-'Revenues 9-14'!C177)</f>
        <v>0</v>
      </c>
      <c r="G122" s="930"/>
    </row>
    <row r="123" spans="1:7">
      <c r="A123" s="927" t="s">
        <v>668</v>
      </c>
      <c r="B123" s="927" t="s">
        <v>1981</v>
      </c>
      <c r="C123" s="932" t="s">
        <v>982</v>
      </c>
      <c r="D123" s="929" t="str">
        <f>('Revenues 9-14'!A181)</f>
        <v>Total Restricted Grants-In-Aid Received Directly from Federal Govt</v>
      </c>
      <c r="E123" s="906"/>
      <c r="F123" s="1721">
        <f>SUM('Revenues 9-14'!C181,'Revenues 9-14'!D181,'Revenues 9-14'!F181,'Revenues 9-14'!G181)</f>
        <v>0</v>
      </c>
      <c r="G123" s="930"/>
    </row>
    <row r="124" spans="1:7">
      <c r="A124" s="927" t="s">
        <v>668</v>
      </c>
      <c r="B124" s="927" t="s">
        <v>1982</v>
      </c>
      <c r="C124" s="932">
        <v>4100</v>
      </c>
      <c r="D124" s="933" t="str">
        <f>'Revenues 9-14'!A188</f>
        <v>Total Title V</v>
      </c>
      <c r="E124" s="906"/>
      <c r="F124" s="1721">
        <f>SUM('Revenues 9-14'!C188,'Revenues 9-14'!D188,'Revenues 9-14'!F188,'Revenues 9-14'!G188)</f>
        <v>0</v>
      </c>
      <c r="G124" s="930"/>
    </row>
    <row r="125" spans="1:7">
      <c r="A125" s="927" t="s">
        <v>664</v>
      </c>
      <c r="B125" s="927" t="s">
        <v>1983</v>
      </c>
      <c r="C125" s="932">
        <v>4200</v>
      </c>
      <c r="D125" s="929" t="str">
        <f>'Revenues 9-14'!A198</f>
        <v>Total Food Service</v>
      </c>
      <c r="E125" s="906"/>
      <c r="F125" s="1721">
        <f>SUM('Revenues 9-14'!C198,'Revenues 9-14'!G198)</f>
        <v>726558</v>
      </c>
      <c r="G125" s="930"/>
    </row>
    <row r="126" spans="1:7">
      <c r="A126" s="927" t="s">
        <v>668</v>
      </c>
      <c r="B126" s="927" t="s">
        <v>1984</v>
      </c>
      <c r="C126" s="932">
        <v>4300</v>
      </c>
      <c r="D126" s="933" t="str">
        <f>'Revenues 9-14'!A204</f>
        <v>Total Title I</v>
      </c>
      <c r="E126" s="906"/>
      <c r="F126" s="1721">
        <f>SUM('Revenues 9-14'!C204,'Revenues 9-14'!D204,'Revenues 9-14'!F204,'Revenues 9-14'!G204)</f>
        <v>569305</v>
      </c>
      <c r="G126" s="930"/>
    </row>
    <row r="127" spans="1:7">
      <c r="A127" s="927" t="s">
        <v>668</v>
      </c>
      <c r="B127" s="927" t="s">
        <v>1985</v>
      </c>
      <c r="C127" s="932">
        <v>4400</v>
      </c>
      <c r="D127" s="933" t="str">
        <f>'Revenues 9-14'!A209</f>
        <v>Total Title IV</v>
      </c>
      <c r="E127" s="906"/>
      <c r="F127" s="1721">
        <f>SUM('Revenues 9-14'!C209,'Revenues 9-14'!D209,'Revenues 9-14'!F209,'Revenues 9-14'!G209)</f>
        <v>26227</v>
      </c>
      <c r="G127" s="930"/>
    </row>
    <row r="128" spans="1:7">
      <c r="A128" s="927" t="s">
        <v>668</v>
      </c>
      <c r="B128" s="927" t="s">
        <v>1986</v>
      </c>
      <c r="C128" s="932">
        <f>'Revenues 9-14'!B213</f>
        <v>4620</v>
      </c>
      <c r="D128" s="933" t="str">
        <f>'Revenues 9-14'!A213</f>
        <v>Fed - Spec Education - IDEA - Flow Through</v>
      </c>
      <c r="E128" s="906"/>
      <c r="F128" s="1721">
        <f>SUM('Revenues 9-14'!C213:D213,'Revenues 9-14'!F213:G213)</f>
        <v>0</v>
      </c>
      <c r="G128" s="930"/>
    </row>
    <row r="129" spans="1:7">
      <c r="A129" s="927" t="s">
        <v>668</v>
      </c>
      <c r="B129" s="927" t="s">
        <v>1987</v>
      </c>
      <c r="C129" s="932">
        <f>'Revenues 9-14'!B214</f>
        <v>4625</v>
      </c>
      <c r="D129" s="933" t="str">
        <f>'Revenues 9-14'!A214</f>
        <v>Fed - Spec Education - IDEA - Room &amp; Board</v>
      </c>
      <c r="E129" s="906"/>
      <c r="F129" s="1721">
        <f>SUM('Revenues 9-14'!C214,'Revenues 9-14'!D214,'Revenues 9-14'!F214,'Revenues 9-14'!G214)</f>
        <v>45406</v>
      </c>
      <c r="G129" s="930"/>
    </row>
    <row r="130" spans="1:7">
      <c r="A130" s="927" t="s">
        <v>668</v>
      </c>
      <c r="B130" s="927" t="s">
        <v>1988</v>
      </c>
      <c r="C130" s="932">
        <f>'Revenues 9-14'!B215</f>
        <v>4630</v>
      </c>
      <c r="D130" s="933" t="str">
        <f>'Revenues 9-14'!A215</f>
        <v>Fed - Spec Education - IDEA - Discretionary</v>
      </c>
      <c r="E130" s="906"/>
      <c r="F130" s="1721">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c r="A132" s="927" t="s">
        <v>673</v>
      </c>
      <c r="B132" s="927" t="s">
        <v>1989</v>
      </c>
      <c r="C132" s="932">
        <v>4700</v>
      </c>
      <c r="D132" s="929" t="str">
        <f>'Revenues 9-14'!A221</f>
        <v>Total CTE - Perkins</v>
      </c>
      <c r="E132" s="906"/>
      <c r="F132" s="1721">
        <f>SUM('Revenues 9-14'!C221,'Revenues 9-14'!D221,'Revenues 9-14'!G221)</f>
        <v>0</v>
      </c>
      <c r="G132" s="930">
        <v>6303</v>
      </c>
    </row>
    <row r="133" spans="1:7" s="867" customFormat="1" hidden="1">
      <c r="A133" s="934" t="s">
        <v>206</v>
      </c>
      <c r="B133" s="934" t="s">
        <v>1990</v>
      </c>
      <c r="C133" s="935" t="s">
        <v>207</v>
      </c>
      <c r="D133" s="936" t="str">
        <f>'Revenues 9-14'!A224</f>
        <v>ARRA - Title I - Low Income</v>
      </c>
      <c r="E133" s="937"/>
      <c r="F133" s="1839">
        <f>SUM('Revenues 9-14'!$C$224:$D$224,'Revenues 9-14'!$F$224:$G$224)</f>
        <v>0</v>
      </c>
      <c r="G133" s="905"/>
    </row>
    <row r="134" spans="1:7" s="867" customFormat="1" hidden="1">
      <c r="A134" s="934" t="s">
        <v>206</v>
      </c>
      <c r="B134" s="934" t="s">
        <v>1991</v>
      </c>
      <c r="C134" s="935" t="s">
        <v>208</v>
      </c>
      <c r="D134" s="936" t="str">
        <f>'Revenues 9-14'!A225</f>
        <v>ARRA - Title I - Neglected, Private</v>
      </c>
      <c r="E134" s="937"/>
      <c r="F134" s="1721">
        <f>SUM('Revenues 9-14'!C225:G225,'Revenues 9-14'!J225)</f>
        <v>0</v>
      </c>
      <c r="G134" s="905"/>
    </row>
    <row r="135" spans="1:7" s="867" customFormat="1" hidden="1">
      <c r="A135" s="934" t="s">
        <v>206</v>
      </c>
      <c r="B135" s="934" t="s">
        <v>1992</v>
      </c>
      <c r="C135" s="935" t="s">
        <v>209</v>
      </c>
      <c r="D135" s="936" t="str">
        <f>'Revenues 9-14'!A226</f>
        <v>ARRA - Title I - Delinquent, Private</v>
      </c>
      <c r="E135" s="937"/>
      <c r="F135" s="1721">
        <f>SUM('Revenues 9-14'!C226:G226,'Revenues 9-14'!J226)</f>
        <v>0</v>
      </c>
      <c r="G135" s="905"/>
    </row>
    <row r="136" spans="1:7" s="867" customFormat="1" hidden="1">
      <c r="A136" s="934" t="s">
        <v>206</v>
      </c>
      <c r="B136" s="934" t="s">
        <v>1993</v>
      </c>
      <c r="C136" s="935" t="s">
        <v>210</v>
      </c>
      <c r="D136" s="936" t="str">
        <f>'Revenues 9-14'!A227</f>
        <v>ARRA - Title I - School Improvement (Part A)</v>
      </c>
      <c r="E136" s="937"/>
      <c r="F136" s="1721">
        <f>SUM('Revenues 9-14'!C227:G227,'Revenues 9-14'!J227)</f>
        <v>0</v>
      </c>
      <c r="G136" s="905"/>
    </row>
    <row r="137" spans="1:7" s="867" customFormat="1" hidden="1">
      <c r="A137" s="934" t="s">
        <v>206</v>
      </c>
      <c r="B137" s="934" t="s">
        <v>1994</v>
      </c>
      <c r="C137" s="935" t="s">
        <v>211</v>
      </c>
      <c r="D137" s="936" t="str">
        <f>'Revenues 9-14'!A228</f>
        <v>ARRA - Title I - School Improvement (Section 1003g)</v>
      </c>
      <c r="E137" s="937"/>
      <c r="F137" s="1721">
        <f>SUM('Revenues 9-14'!C228:G228,'Revenues 9-14'!J228)</f>
        <v>0</v>
      </c>
      <c r="G137" s="905"/>
    </row>
    <row r="138" spans="1:7" s="867" customFormat="1" hidden="1">
      <c r="A138" s="934" t="s">
        <v>206</v>
      </c>
      <c r="B138" s="934" t="s">
        <v>1995</v>
      </c>
      <c r="C138" s="935" t="s">
        <v>212</v>
      </c>
      <c r="D138" s="936" t="str">
        <f>'Revenues 9-14'!A229</f>
        <v>ARRA - IDEA - Part B - Preschool</v>
      </c>
      <c r="E138" s="937"/>
      <c r="F138" s="1721">
        <v>0</v>
      </c>
      <c r="G138" s="905"/>
    </row>
    <row r="139" spans="1:7" s="867" customFormat="1" hidden="1">
      <c r="A139" s="934" t="s">
        <v>206</v>
      </c>
      <c r="B139" s="934" t="s">
        <v>1996</v>
      </c>
      <c r="C139" s="935" t="s">
        <v>213</v>
      </c>
      <c r="D139" s="936" t="str">
        <f>'Revenues 9-14'!A230</f>
        <v>ARRA - IDEA - Part B - Flow-Through</v>
      </c>
      <c r="E139" s="937"/>
      <c r="F139" s="1721">
        <f>SUM('Revenues 9-14'!C230:G230,'Revenues 9-14'!J230)</f>
        <v>0</v>
      </c>
      <c r="G139" s="905"/>
    </row>
    <row r="140" spans="1:7" s="867" customFormat="1" hidden="1">
      <c r="A140" s="934" t="s">
        <v>206</v>
      </c>
      <c r="B140" s="934" t="s">
        <v>1997</v>
      </c>
      <c r="C140" s="935" t="s">
        <v>214</v>
      </c>
      <c r="D140" s="936" t="str">
        <f>'Revenues 9-14'!A231</f>
        <v>ARRA - Title IID - Technology-Formula</v>
      </c>
      <c r="E140" s="937"/>
      <c r="F140" s="1721">
        <f>SUM('Revenues 9-14'!C231:G231,'Revenues 9-14'!J231)</f>
        <v>0</v>
      </c>
      <c r="G140" s="905"/>
    </row>
    <row r="141" spans="1:7" s="867" customFormat="1" hidden="1">
      <c r="A141" s="934" t="s">
        <v>206</v>
      </c>
      <c r="B141" s="934" t="s">
        <v>1998</v>
      </c>
      <c r="C141" s="935" t="s">
        <v>216</v>
      </c>
      <c r="D141" s="936" t="str">
        <f>'Revenues 9-14'!A232</f>
        <v>ARRA - Title IID - Technology-Competitive</v>
      </c>
      <c r="E141" s="937"/>
      <c r="F141" s="1721">
        <f>SUM('Revenues 9-14'!C232:G232,'Revenues 9-14'!J232)</f>
        <v>0</v>
      </c>
      <c r="G141" s="905"/>
    </row>
    <row r="142" spans="1:7" s="867" customFormat="1" hidden="1">
      <c r="A142" s="934" t="s">
        <v>668</v>
      </c>
      <c r="B142" s="934" t="s">
        <v>1999</v>
      </c>
      <c r="C142" s="935" t="s">
        <v>217</v>
      </c>
      <c r="D142" s="936" t="str">
        <f>'Revenues 9-14'!A233</f>
        <v>ARRA - McKinney - Vento Homeless Education</v>
      </c>
      <c r="E142" s="937"/>
      <c r="F142" s="1721">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c r="A145" s="934" t="s">
        <v>206</v>
      </c>
      <c r="B145" s="934" t="s">
        <v>1395</v>
      </c>
      <c r="C145" s="935" t="s">
        <v>221</v>
      </c>
      <c r="D145" s="936" t="str">
        <f>'Revenues 9-14'!A239</f>
        <v>Build America Bond Tax Credits</v>
      </c>
      <c r="E145" s="937"/>
      <c r="F145" s="1721">
        <f>SUM('Revenues 9-14'!C239:G239,'Revenues 9-14'!J239)</f>
        <v>0</v>
      </c>
      <c r="G145" s="905"/>
    </row>
    <row r="146" spans="1:7" s="867" customFormat="1" hidden="1">
      <c r="A146" s="934" t="s">
        <v>206</v>
      </c>
      <c r="B146" s="934" t="s">
        <v>2000</v>
      </c>
      <c r="C146" s="935" t="s">
        <v>223</v>
      </c>
      <c r="D146" s="936" t="str">
        <f>'Revenues 9-14'!A240</f>
        <v>Build America Bond Interest Reimbursement</v>
      </c>
      <c r="E146" s="937"/>
      <c r="F146" s="1721">
        <f>SUM('Revenues 9-14'!C240:G240,'Revenues 9-14'!J240)</f>
        <v>0</v>
      </c>
      <c r="G146" s="905"/>
    </row>
    <row r="147" spans="1:7" s="867" customFormat="1" hidden="1">
      <c r="A147" s="934" t="s">
        <v>206</v>
      </c>
      <c r="B147" s="934" t="s">
        <v>2001</v>
      </c>
      <c r="C147" s="935" t="s">
        <v>225</v>
      </c>
      <c r="D147" s="936" t="str">
        <f>'Revenues 9-14'!A242</f>
        <v>Other ARRA Funds - II</v>
      </c>
      <c r="E147" s="937"/>
      <c r="F147" s="1721">
        <f>SUM('Revenues 9-14'!C242:G242,'Revenues 9-14'!J242)</f>
        <v>0</v>
      </c>
      <c r="G147" s="905"/>
    </row>
    <row r="148" spans="1:7" s="867" customFormat="1" hidden="1">
      <c r="A148" s="934" t="s">
        <v>206</v>
      </c>
      <c r="B148" s="934" t="s">
        <v>2002</v>
      </c>
      <c r="C148" s="935" t="s">
        <v>226</v>
      </c>
      <c r="D148" s="936" t="str">
        <f>'Revenues 9-14'!A243</f>
        <v>Other ARRA Funds - III</v>
      </c>
      <c r="E148" s="937"/>
      <c r="F148" s="1721">
        <f>SUM('Revenues 9-14'!C243:G243,'Revenues 9-14'!J243)</f>
        <v>0</v>
      </c>
      <c r="G148" s="905"/>
    </row>
    <row r="149" spans="1:7" s="867" customFormat="1" hidden="1">
      <c r="A149" s="934" t="s">
        <v>206</v>
      </c>
      <c r="B149" s="934" t="s">
        <v>220</v>
      </c>
      <c r="C149" s="935" t="s">
        <v>228</v>
      </c>
      <c r="D149" s="936" t="str">
        <f>'Revenues 9-14'!A244</f>
        <v>Other ARRA Funds - IV</v>
      </c>
      <c r="E149" s="937"/>
      <c r="F149" s="1721">
        <f>SUM('Revenues 9-14'!C244:G244,'Revenues 9-14'!J244)</f>
        <v>0</v>
      </c>
      <c r="G149" s="905"/>
    </row>
    <row r="150" spans="1:7" s="867" customFormat="1" hidden="1">
      <c r="A150" s="934" t="s">
        <v>206</v>
      </c>
      <c r="B150" s="934" t="s">
        <v>222</v>
      </c>
      <c r="C150" s="935" t="s">
        <v>230</v>
      </c>
      <c r="D150" s="936" t="str">
        <f>'Revenues 9-14'!A245</f>
        <v>Other ARRA Funds - V</v>
      </c>
      <c r="E150" s="937"/>
      <c r="F150" s="1721">
        <f>SUM('Revenues 9-14'!C245:G245,'Revenues 9-14'!J245)</f>
        <v>0</v>
      </c>
      <c r="G150" s="905"/>
    </row>
    <row r="151" spans="1:7" s="867" customFormat="1" hidden="1">
      <c r="A151" s="934" t="s">
        <v>206</v>
      </c>
      <c r="B151" s="934" t="s">
        <v>224</v>
      </c>
      <c r="C151" s="935" t="s">
        <v>232</v>
      </c>
      <c r="D151" s="936" t="str">
        <f>'Revenues 9-14'!A246</f>
        <v>ARRA - Early Childhood</v>
      </c>
      <c r="E151" s="937"/>
      <c r="F151" s="1721">
        <v>0</v>
      </c>
      <c r="G151" s="905"/>
    </row>
    <row r="152" spans="1:7" s="867" customFormat="1" hidden="1">
      <c r="A152" s="934" t="s">
        <v>206</v>
      </c>
      <c r="B152" s="934" t="s">
        <v>1396</v>
      </c>
      <c r="C152" s="935" t="s">
        <v>233</v>
      </c>
      <c r="D152" s="936" t="str">
        <f>'Revenues 9-14'!A247</f>
        <v>Other ARRA Funds VII</v>
      </c>
      <c r="E152" s="937"/>
      <c r="F152" s="1721">
        <f>SUM('Revenues 9-14'!C247:G247,'Revenues 9-14'!J247)</f>
        <v>0</v>
      </c>
      <c r="G152" s="905"/>
    </row>
    <row r="153" spans="1:7" s="867" customFormat="1" hidden="1">
      <c r="A153" s="934" t="s">
        <v>206</v>
      </c>
      <c r="B153" s="934" t="s">
        <v>2003</v>
      </c>
      <c r="C153" s="935" t="s">
        <v>234</v>
      </c>
      <c r="D153" s="936" t="str">
        <f>'Revenues 9-14'!A248</f>
        <v>Other ARRA Funds VIII</v>
      </c>
      <c r="E153" s="937"/>
      <c r="F153" s="1721">
        <f>SUM('Revenues 9-14'!C248:G248,'Revenues 9-14'!J248)</f>
        <v>0</v>
      </c>
      <c r="G153" s="905"/>
    </row>
    <row r="154" spans="1:7" s="867" customFormat="1" hidden="1">
      <c r="A154" s="934" t="s">
        <v>206</v>
      </c>
      <c r="B154" s="934" t="s">
        <v>227</v>
      </c>
      <c r="C154" s="935" t="s">
        <v>235</v>
      </c>
      <c r="D154" s="936" t="str">
        <f>'Revenues 9-14'!A249</f>
        <v>Other ARRA Funds IX</v>
      </c>
      <c r="E154" s="937"/>
      <c r="F154" s="1721">
        <f>SUM('Revenues 9-14'!C249:G249,'Revenues 9-14'!J249)</f>
        <v>0</v>
      </c>
      <c r="G154" s="905"/>
    </row>
    <row r="155" spans="1:7" s="867" customFormat="1" hidden="1">
      <c r="A155" s="934" t="s">
        <v>206</v>
      </c>
      <c r="B155" s="934" t="s">
        <v>229</v>
      </c>
      <c r="C155" s="935" t="s">
        <v>236</v>
      </c>
      <c r="D155" s="936" t="str">
        <f>'Revenues 9-14'!A250</f>
        <v>Other ARRA Funds X</v>
      </c>
      <c r="E155" s="937"/>
      <c r="F155" s="1721">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1">
        <f>SUM('Revenues 9-14'!C251:G251,'Revenues 9-14'!J251)</f>
        <v>0</v>
      </c>
      <c r="G156" s="905"/>
    </row>
    <row r="157" spans="1:7" s="867" customFormat="1">
      <c r="A157" s="938" t="s">
        <v>500</v>
      </c>
      <c r="B157" s="939" t="s">
        <v>2004</v>
      </c>
      <c r="C157" s="940" t="s">
        <v>841</v>
      </c>
      <c r="D157" s="941" t="s">
        <v>777</v>
      </c>
      <c r="E157" s="942"/>
      <c r="F157" s="1721">
        <f>SUM(F133:F156)</f>
        <v>0</v>
      </c>
      <c r="G157" s="905"/>
    </row>
    <row r="158" spans="1:7" s="867" customFormat="1">
      <c r="A158" s="938" t="s">
        <v>459</v>
      </c>
      <c r="B158" s="939" t="s">
        <v>2005</v>
      </c>
      <c r="C158" s="940" t="s">
        <v>1406</v>
      </c>
      <c r="D158" s="941" t="s">
        <v>1407</v>
      </c>
      <c r="E158" s="942"/>
      <c r="F158" s="1721">
        <f>SUM('Revenues 9-14'!C253)</f>
        <v>0</v>
      </c>
      <c r="G158" s="905"/>
    </row>
    <row r="159" spans="1:7" s="867" customFormat="1">
      <c r="A159" s="938" t="s">
        <v>500</v>
      </c>
      <c r="B159" s="939" t="s">
        <v>2006</v>
      </c>
      <c r="C159" s="940" t="s">
        <v>1445</v>
      </c>
      <c r="D159" s="941" t="s">
        <v>1446</v>
      </c>
      <c r="E159" s="942"/>
      <c r="F159" s="1721">
        <f>SUM('Revenues 9-14'!C254:H254,'Revenues 9-14'!J254:K254)</f>
        <v>0</v>
      </c>
      <c r="G159" s="905"/>
    </row>
    <row r="160" spans="1:7">
      <c r="A160" s="927" t="s">
        <v>5</v>
      </c>
      <c r="B160" s="927" t="s">
        <v>2007</v>
      </c>
      <c r="C160" s="932">
        <f>'Revenues 9-14'!B255</f>
        <v>4905</v>
      </c>
      <c r="D160" s="929" t="str">
        <f>'Revenues 9-14'!A255</f>
        <v>Title III - Immigrant Education Program (IEP)</v>
      </c>
      <c r="E160" s="906"/>
      <c r="F160" s="1721">
        <f>SUM('Revenues 9-14'!C255,'Revenues 9-14'!F255,'Revenues 9-14'!G255)</f>
        <v>0</v>
      </c>
      <c r="G160" s="943">
        <v>6306</v>
      </c>
    </row>
    <row r="161" spans="1:7">
      <c r="A161" s="927" t="s">
        <v>5</v>
      </c>
      <c r="B161" s="927" t="s">
        <v>2008</v>
      </c>
      <c r="C161" s="932">
        <f>'Revenues 9-14'!B256</f>
        <v>4909</v>
      </c>
      <c r="D161" s="929" t="str">
        <f>'Revenues 9-14'!A256</f>
        <v>Title III - Language Inst Program - Limited Eng (LIPLEP)</v>
      </c>
      <c r="E161" s="906"/>
      <c r="F161" s="1721">
        <f>SUM('Revenues 9-14'!C256,'Revenues 9-14'!F256,'Revenues 9-14'!G256)</f>
        <v>0</v>
      </c>
      <c r="G161" s="943"/>
    </row>
    <row r="162" spans="1:7">
      <c r="A162" s="927" t="s">
        <v>668</v>
      </c>
      <c r="B162" s="927" t="s">
        <v>2009</v>
      </c>
      <c r="C162" s="932">
        <f>'Revenues 9-14'!B257</f>
        <v>4920</v>
      </c>
      <c r="D162" s="929" t="str">
        <f>'Revenues 9-14'!A257</f>
        <v>McKinney Education for Homeless Children</v>
      </c>
      <c r="E162" s="906"/>
      <c r="F162" s="1721">
        <f>SUM('Revenues 9-14'!C257,'Revenues 9-14'!D257,'Revenues 9-14'!F257,'Revenues 9-14'!G257)</f>
        <v>0</v>
      </c>
      <c r="G162" s="930"/>
    </row>
    <row r="163" spans="1:7">
      <c r="A163" s="944" t="s">
        <v>668</v>
      </c>
      <c r="B163" s="944" t="s">
        <v>2010</v>
      </c>
      <c r="C163" s="945">
        <f>'Revenues 9-14'!B258</f>
        <v>4930</v>
      </c>
      <c r="D163" s="946" t="str">
        <f>'Revenues 9-14'!A258</f>
        <v>Title II - Eisenhower Professional Development Formula</v>
      </c>
      <c r="E163" s="926"/>
      <c r="F163" s="1839">
        <f>SUM('Revenues 9-14'!C258:D258,'Revenues 9-14'!F258,'Revenues 9-14'!G258)</f>
        <v>0</v>
      </c>
      <c r="G163" s="930"/>
    </row>
    <row r="164" spans="1:7">
      <c r="A164" s="927" t="s">
        <v>668</v>
      </c>
      <c r="B164" s="927" t="s">
        <v>2011</v>
      </c>
      <c r="C164" s="932">
        <f>'Revenues 9-14'!B259</f>
        <v>4932</v>
      </c>
      <c r="D164" s="933" t="str">
        <f>'Revenues 9-14'!A259</f>
        <v>Title II - Teacher Quality</v>
      </c>
      <c r="E164" s="906"/>
      <c r="F164" s="1839">
        <f>SUM('Revenues 9-14'!C259,'Revenues 9-14'!D259,'Revenues 9-14'!F259,'Revenues 9-14'!G259)</f>
        <v>93421</v>
      </c>
      <c r="G164" s="930"/>
    </row>
    <row r="165" spans="1:7">
      <c r="A165" s="927" t="s">
        <v>668</v>
      </c>
      <c r="B165" s="927" t="s">
        <v>2012</v>
      </c>
      <c r="C165" s="932">
        <f>'Revenues 9-14'!B260</f>
        <v>4960</v>
      </c>
      <c r="D165" s="929" t="str">
        <f>'Revenues 9-14'!A260</f>
        <v>Federal Charter Schools</v>
      </c>
      <c r="E165" s="906"/>
      <c r="F165" s="1721">
        <f>SUM('Revenues 9-14'!C260:D260,'Revenues 9-14'!F260:G260)</f>
        <v>0</v>
      </c>
      <c r="G165" s="930"/>
    </row>
    <row r="166" spans="1:7">
      <c r="A166" s="927" t="s">
        <v>668</v>
      </c>
      <c r="B166" s="927" t="s">
        <v>1957</v>
      </c>
      <c r="C166" s="932">
        <f>'Revenues 9-14'!B261</f>
        <v>4981</v>
      </c>
      <c r="D166" s="929" t="str">
        <f>'Revenues 9-14'!A261</f>
        <v>State Assessment Grants</v>
      </c>
      <c r="E166" s="906"/>
      <c r="F166" s="1721">
        <f>SUM('Revenues 9-14'!C261:D261,'Revenues 9-14'!F261:G261)</f>
        <v>0</v>
      </c>
      <c r="G166" s="930"/>
    </row>
    <row r="167" spans="1:7">
      <c r="A167" s="927" t="s">
        <v>668</v>
      </c>
      <c r="B167" s="927" t="s">
        <v>1958</v>
      </c>
      <c r="C167" s="932">
        <f>'Revenues 9-14'!B262</f>
        <v>4982</v>
      </c>
      <c r="D167" s="929" t="str">
        <f>'Revenues 9-14'!A262</f>
        <v>Grant for State Assessments and Related Activities</v>
      </c>
      <c r="E167" s="906"/>
      <c r="F167" s="1721">
        <f>SUM('Revenues 9-14'!C262:D262,'Revenues 9-14'!F262:G262)</f>
        <v>0</v>
      </c>
      <c r="G167" s="930"/>
    </row>
    <row r="168" spans="1:7">
      <c r="A168" s="927" t="s">
        <v>668</v>
      </c>
      <c r="B168" s="927" t="s">
        <v>2013</v>
      </c>
      <c r="C168" s="932">
        <f>'Revenues 9-14'!B263</f>
        <v>4991</v>
      </c>
      <c r="D168" s="933" t="str">
        <f>'Revenues 9-14'!A263</f>
        <v>Medicaid Matching Funds - Administrative Outreach</v>
      </c>
      <c r="E168" s="906"/>
      <c r="F168" s="1721">
        <f>SUM('Revenues 9-14'!C263:D263,'Revenues 9-14'!F263:G263)</f>
        <v>46930</v>
      </c>
      <c r="G168" s="947">
        <v>6320</v>
      </c>
    </row>
    <row r="169" spans="1:7">
      <c r="A169" s="927" t="s">
        <v>668</v>
      </c>
      <c r="B169" s="927" t="s">
        <v>2014</v>
      </c>
      <c r="C169" s="932">
        <f>'Revenues 9-14'!B264</f>
        <v>4992</v>
      </c>
      <c r="D169" s="933" t="str">
        <f>'Revenues 9-14'!A264</f>
        <v>Medicaid Matching Funds - Fee-for-Service Program</v>
      </c>
      <c r="E169" s="906"/>
      <c r="F169" s="1721">
        <f>SUM('Revenues 9-14'!C264:D264,'Revenues 9-14'!F264:G264)</f>
        <v>171772</v>
      </c>
      <c r="G169" s="947"/>
    </row>
    <row r="170" spans="1:7">
      <c r="A170" s="948" t="s">
        <v>668</v>
      </c>
      <c r="B170" s="944" t="s">
        <v>2015</v>
      </c>
      <c r="C170" s="945">
        <f>'Revenues 9-14'!B265</f>
        <v>4999</v>
      </c>
      <c r="D170" s="946" t="str">
        <f>'Revenues 9-14'!A265</f>
        <v>Other Restricted Revenue from Federal Sources (Describe &amp; Itemize)</v>
      </c>
      <c r="E170" s="906"/>
      <c r="F170" s="1721">
        <f>SUM('Revenues 9-14'!C265:D265,'Revenues 9-14'!F265:G265)</f>
        <v>0</v>
      </c>
      <c r="G170" s="927"/>
    </row>
    <row r="171" spans="1:7">
      <c r="A171" s="1850" t="s">
        <v>5</v>
      </c>
      <c r="B171" s="1851" t="s">
        <v>1880</v>
      </c>
      <c r="C171" s="1852">
        <v>3100</v>
      </c>
      <c r="D171" s="1853" t="s">
        <v>1882</v>
      </c>
      <c r="E171" s="906"/>
      <c r="F171" s="1838">
        <v>820501</v>
      </c>
      <c r="G171" s="927"/>
    </row>
    <row r="172" spans="1:7">
      <c r="A172" s="1850" t="s">
        <v>664</v>
      </c>
      <c r="B172" s="1851" t="s">
        <v>1880</v>
      </c>
      <c r="C172" s="1852">
        <v>3300</v>
      </c>
      <c r="D172" s="1853" t="s">
        <v>1883</v>
      </c>
      <c r="E172" s="906"/>
      <c r="F172" s="1838">
        <v>1674</v>
      </c>
      <c r="G172" s="927"/>
    </row>
    <row r="173" spans="1:7" ht="6" customHeight="1">
      <c r="A173" s="927"/>
      <c r="B173" s="927"/>
      <c r="C173" s="949"/>
      <c r="D173" s="927"/>
      <c r="E173" s="906"/>
      <c r="F173" s="950"/>
      <c r="G173" s="947"/>
    </row>
    <row r="174" spans="1:7">
      <c r="A174" s="1702"/>
      <c r="B174" s="1716"/>
      <c r="C174" s="1717"/>
      <c r="D174" s="1718" t="s">
        <v>2016</v>
      </c>
      <c r="E174" s="1719" t="s">
        <v>958</v>
      </c>
      <c r="F174" s="1720">
        <f>SUM(F84:F132,F157:F172)</f>
        <v>4867412</v>
      </c>
    </row>
    <row r="175" spans="1:7" ht="12" customHeight="1">
      <c r="A175" s="1702"/>
      <c r="B175" s="1716"/>
      <c r="C175" s="1717"/>
      <c r="D175" s="1718" t="s">
        <v>2017</v>
      </c>
      <c r="E175" s="1719"/>
      <c r="F175" s="1721">
        <f>'PCTC-OEPP 27-28'!F77-F174</f>
        <v>21719412</v>
      </c>
    </row>
    <row r="176" spans="1:7" ht="12" customHeight="1">
      <c r="A176" s="1702"/>
      <c r="B176" s="1716"/>
      <c r="C176" s="1717"/>
      <c r="D176" s="1718" t="s">
        <v>1779</v>
      </c>
      <c r="E176" s="1719"/>
      <c r="F176" s="1721">
        <f>'Cap Outlay Deprec 26'!I18</f>
        <v>903406</v>
      </c>
    </row>
    <row r="177" spans="1:7" ht="12" customHeight="1">
      <c r="A177" s="1702"/>
      <c r="B177" s="1716"/>
      <c r="C177" s="1717"/>
      <c r="D177" s="1718" t="s">
        <v>2018</v>
      </c>
      <c r="E177" s="1719"/>
      <c r="F177" s="1721">
        <f>F175+F176</f>
        <v>22622818</v>
      </c>
    </row>
    <row r="178" spans="1:7" ht="12" customHeight="1">
      <c r="A178" s="1702"/>
      <c r="B178" s="1722"/>
      <c r="C178" s="1717"/>
      <c r="D178" s="1718" t="str">
        <f>D78</f>
        <v>9 Month ADA from District Average Daily Attendance/Prior General State Aid Inquiry 2018-2019</v>
      </c>
      <c r="E178" s="1719"/>
      <c r="F178" s="1723">
        <f>'PCTC-OEPP 27-28'!F78</f>
        <v>2467</v>
      </c>
      <c r="G178" s="930"/>
    </row>
    <row r="179" spans="1:7" ht="12" customHeight="1" thickBot="1">
      <c r="A179" s="1702"/>
      <c r="B179" s="1722"/>
      <c r="C179" s="1717"/>
      <c r="D179" s="1718" t="s">
        <v>2019</v>
      </c>
      <c r="E179" s="1719" t="s">
        <v>1524</v>
      </c>
      <c r="F179" s="1724">
        <f>F177/F178</f>
        <v>9170.1734900689098</v>
      </c>
      <c r="G179" s="856">
        <v>6323</v>
      </c>
    </row>
    <row r="180" spans="1:7" ht="12" thickTop="1">
      <c r="B180" s="930"/>
      <c r="C180" s="949"/>
      <c r="D180" s="930"/>
      <c r="E180" s="949"/>
      <c r="F180" s="930"/>
      <c r="G180" s="951">
        <v>6326</v>
      </c>
    </row>
    <row r="181" spans="1:7" ht="12.2" customHeight="1">
      <c r="A181" s="930" t="s">
        <v>1881</v>
      </c>
      <c r="B181" s="930"/>
      <c r="C181" s="949"/>
      <c r="D181" s="930"/>
      <c r="E181" s="949"/>
      <c r="F181" s="930"/>
      <c r="G181" s="930"/>
    </row>
    <row r="182" spans="1:7" s="1854" customFormat="1" ht="12.2" customHeight="1">
      <c r="A182" s="1854" t="s">
        <v>1954</v>
      </c>
      <c r="B182" s="1855"/>
      <c r="C182" s="1856"/>
      <c r="D182" s="1855"/>
      <c r="E182" s="1856"/>
      <c r="F182" s="1855"/>
      <c r="G182" s="1855"/>
    </row>
    <row r="183" spans="1:7" s="1854" customFormat="1" ht="12.2" customHeight="1">
      <c r="A183" s="1857" t="s">
        <v>1956</v>
      </c>
      <c r="C183" s="1856"/>
      <c r="D183" s="1855"/>
      <c r="E183" s="1856"/>
      <c r="F183" s="1855"/>
      <c r="G183" s="1855"/>
    </row>
    <row r="184" spans="1:7" ht="12" customHeight="1">
      <c r="C184" s="949"/>
      <c r="D184" s="930"/>
      <c r="E184" s="949"/>
      <c r="F184" s="930"/>
      <c r="G184" s="930"/>
    </row>
    <row r="185" spans="1:7">
      <c r="A185" s="1858" t="s">
        <v>1885</v>
      </c>
      <c r="B185" s="1859" t="s">
        <v>1884</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T15" sqref="T15:AA15"/>
    </sheetView>
  </sheetViews>
  <sheetFormatPr defaultColWidth="9.140625" defaultRowHeight="1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c r="A1" s="1592" t="s">
        <v>1794</v>
      </c>
      <c r="B1" s="1593"/>
      <c r="C1" s="1593"/>
      <c r="D1" s="1593"/>
      <c r="E1" s="1593"/>
      <c r="F1" s="1593"/>
      <c r="G1" s="1593"/>
    </row>
    <row r="2" spans="1:7">
      <c r="A2" s="1590"/>
      <c r="B2" s="1590"/>
      <c r="C2" s="1591" t="s">
        <v>979</v>
      </c>
      <c r="D2" s="1590"/>
      <c r="E2" s="1590"/>
      <c r="F2" s="1590"/>
      <c r="G2" s="1590"/>
    </row>
    <row r="3" spans="1:7" ht="5.25" customHeight="1">
      <c r="A3" s="1478"/>
      <c r="B3" s="1478"/>
      <c r="C3" s="1478"/>
      <c r="D3" s="1478"/>
      <c r="E3" s="1478"/>
      <c r="F3" s="1478"/>
      <c r="G3" s="1478"/>
    </row>
    <row r="4" spans="1:7" ht="18.75" customHeight="1">
      <c r="A4" s="2278" t="s">
        <v>1780</v>
      </c>
      <c r="B4" s="2279"/>
      <c r="C4" s="2279"/>
      <c r="D4" s="2279"/>
      <c r="E4" s="2279"/>
      <c r="F4" s="2279"/>
      <c r="G4" s="2280"/>
    </row>
    <row r="5" spans="1:7">
      <c r="A5" s="2281"/>
      <c r="B5" s="2282"/>
      <c r="C5" s="2282"/>
      <c r="D5" s="2282"/>
      <c r="E5" s="2282"/>
      <c r="F5" s="2282"/>
      <c r="G5" s="2283"/>
    </row>
    <row r="6" spans="1:7" ht="18.75">
      <c r="A6" s="1467" t="s">
        <v>1781</v>
      </c>
      <c r="B6" s="1468"/>
      <c r="C6" s="1468"/>
      <c r="D6" s="1468"/>
      <c r="E6" s="1468"/>
      <c r="F6" s="1468"/>
      <c r="G6" s="1469"/>
    </row>
    <row r="7" spans="1:7" ht="31.15" customHeight="1">
      <c r="A7" s="2284" t="s">
        <v>1892</v>
      </c>
      <c r="B7" s="2285"/>
      <c r="C7" s="2285"/>
      <c r="D7" s="2285"/>
      <c r="E7" s="2285"/>
      <c r="F7" s="2285"/>
      <c r="G7" s="2286"/>
    </row>
    <row r="8" spans="1:7" ht="15.75" customHeight="1">
      <c r="A8" s="2287" t="s">
        <v>1867</v>
      </c>
      <c r="B8" s="2288"/>
      <c r="C8" s="2288"/>
      <c r="D8" s="2288"/>
      <c r="E8" s="2288"/>
      <c r="F8" s="2288"/>
      <c r="G8" s="2289"/>
    </row>
    <row r="9" spans="1:7" ht="35.25" customHeight="1">
      <c r="A9" s="2284" t="s">
        <v>1895</v>
      </c>
      <c r="B9" s="2285"/>
      <c r="C9" s="2285"/>
      <c r="D9" s="2285"/>
      <c r="E9" s="2285"/>
      <c r="F9" s="2285"/>
      <c r="G9" s="2286"/>
    </row>
    <row r="10" spans="1:7" ht="15" customHeight="1">
      <c r="A10" s="1470" t="s">
        <v>1782</v>
      </c>
      <c r="B10" s="1471"/>
      <c r="C10" s="1471"/>
      <c r="D10" s="1471"/>
      <c r="E10" s="1471"/>
      <c r="F10" s="1471"/>
      <c r="G10" s="1472"/>
    </row>
    <row r="11" spans="1:7" ht="17.25" customHeight="1">
      <c r="A11" s="2284" t="s">
        <v>1894</v>
      </c>
      <c r="B11" s="2285"/>
      <c r="C11" s="2285"/>
      <c r="D11" s="2285"/>
      <c r="E11" s="2285"/>
      <c r="F11" s="2285"/>
      <c r="G11" s="2286"/>
    </row>
    <row r="12" spans="1:7" ht="15" customHeight="1">
      <c r="A12" s="1470" t="s">
        <v>1787</v>
      </c>
      <c r="B12" s="1471"/>
      <c r="C12" s="1471"/>
      <c r="D12" s="1471"/>
      <c r="E12" s="1471"/>
      <c r="F12" s="1471"/>
      <c r="G12" s="1472"/>
    </row>
    <row r="13" spans="1:7" ht="32.25" customHeight="1">
      <c r="A13" s="2275" t="s">
        <v>1936</v>
      </c>
      <c r="B13" s="2276"/>
      <c r="C13" s="2276"/>
      <c r="D13" s="2276"/>
      <c r="E13" s="2276"/>
      <c r="F13" s="2276"/>
      <c r="G13" s="2277"/>
    </row>
    <row r="14" spans="1:7">
      <c r="A14" s="1594" t="s">
        <v>1795</v>
      </c>
      <c r="B14" s="1595"/>
      <c r="C14" s="1595"/>
      <c r="D14" s="1595"/>
      <c r="E14" s="1595"/>
      <c r="F14" s="1595"/>
      <c r="G14" s="1596"/>
    </row>
    <row r="15" spans="1:7" ht="61.5" customHeight="1">
      <c r="A15" s="1479" t="s">
        <v>1788</v>
      </c>
      <c r="B15" s="1479" t="s">
        <v>1789</v>
      </c>
      <c r="C15" s="1479" t="s">
        <v>1790</v>
      </c>
      <c r="D15" s="1480" t="s">
        <v>1791</v>
      </c>
      <c r="E15" s="1480" t="s">
        <v>1783</v>
      </c>
      <c r="F15" s="1480" t="s">
        <v>1792</v>
      </c>
      <c r="G15" s="1480" t="s">
        <v>1793</v>
      </c>
    </row>
    <row r="16" spans="1:7">
      <c r="A16" s="1581" t="s">
        <v>1796</v>
      </c>
      <c r="B16" s="1582" t="s">
        <v>1786</v>
      </c>
      <c r="C16" s="1583" t="s">
        <v>1784</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c r="A17" s="1862"/>
      <c r="B17" s="1867"/>
      <c r="C17" s="1589"/>
      <c r="D17" s="1776">
        <v>0.1</v>
      </c>
      <c r="E17" s="1473">
        <f t="shared" ref="E17:E141" si="0">IF(D17&lt;=25000,D17,IF(D17&gt;25000,25000,0))</f>
        <v>0.1</v>
      </c>
      <c r="F17" s="186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5">
        <f>IF(F17=0,0,D17-F17)</f>
        <v>0</v>
      </c>
      <c r="H17" s="1580"/>
    </row>
    <row r="18" spans="1:8">
      <c r="A18" s="1586"/>
      <c r="B18" s="1867"/>
      <c r="C18" s="1589"/>
      <c r="D18" s="1776"/>
      <c r="E18" s="1473">
        <f t="shared" ref="E18:E140" si="2">IF(D18&lt;=25000,D18,IF(D18&gt;25000,25000,0))</f>
        <v>0</v>
      </c>
      <c r="F18" s="1865">
        <f t="shared" si="1"/>
        <v>0</v>
      </c>
      <c r="G18" s="1725">
        <f t="shared" ref="G18:G140" si="3">IF(F18=0,0,D18-F18)</f>
        <v>0</v>
      </c>
    </row>
    <row r="19" spans="1:8">
      <c r="A19" s="1586"/>
      <c r="B19" s="1867"/>
      <c r="C19" s="1589"/>
      <c r="D19" s="1776"/>
      <c r="E19" s="1473">
        <f t="shared" si="2"/>
        <v>0</v>
      </c>
      <c r="F19" s="1865">
        <f t="shared" si="1"/>
        <v>0</v>
      </c>
      <c r="G19" s="1725">
        <f t="shared" si="3"/>
        <v>0</v>
      </c>
    </row>
    <row r="20" spans="1:8">
      <c r="A20" s="1586"/>
      <c r="B20" s="1867"/>
      <c r="C20" s="1589"/>
      <c r="D20" s="1776"/>
      <c r="E20" s="1473">
        <f t="shared" si="2"/>
        <v>0</v>
      </c>
      <c r="F20" s="1865">
        <f t="shared" si="1"/>
        <v>0</v>
      </c>
      <c r="G20" s="1725">
        <f t="shared" si="3"/>
        <v>0</v>
      </c>
    </row>
    <row r="21" spans="1:8">
      <c r="A21" s="1586"/>
      <c r="B21" s="1867"/>
      <c r="C21" s="1589"/>
      <c r="D21" s="1776"/>
      <c r="E21" s="1473">
        <f t="shared" si="2"/>
        <v>0</v>
      </c>
      <c r="F21" s="1865">
        <f t="shared" si="1"/>
        <v>0</v>
      </c>
      <c r="G21" s="1725">
        <f t="shared" si="3"/>
        <v>0</v>
      </c>
    </row>
    <row r="22" spans="1:8">
      <c r="A22" s="1586"/>
      <c r="B22" s="1867"/>
      <c r="C22" s="1589"/>
      <c r="D22" s="1776"/>
      <c r="E22" s="1473">
        <f t="shared" si="2"/>
        <v>0</v>
      </c>
      <c r="F22" s="1865">
        <f t="shared" si="1"/>
        <v>0</v>
      </c>
      <c r="G22" s="1725">
        <f t="shared" si="3"/>
        <v>0</v>
      </c>
    </row>
    <row r="23" spans="1:8">
      <c r="A23" s="1586"/>
      <c r="B23" s="1867"/>
      <c r="C23" s="1589"/>
      <c r="D23" s="1776"/>
      <c r="E23" s="1473">
        <f t="shared" si="2"/>
        <v>0</v>
      </c>
      <c r="F23" s="1865">
        <f t="shared" si="1"/>
        <v>0</v>
      </c>
      <c r="G23" s="1725">
        <f t="shared" si="3"/>
        <v>0</v>
      </c>
    </row>
    <row r="24" spans="1:8">
      <c r="A24" s="1586"/>
      <c r="B24" s="1867"/>
      <c r="C24" s="1589"/>
      <c r="D24" s="1776"/>
      <c r="E24" s="1473">
        <f t="shared" si="2"/>
        <v>0</v>
      </c>
      <c r="F24" s="1865">
        <f t="shared" si="1"/>
        <v>0</v>
      </c>
      <c r="G24" s="1725">
        <f t="shared" si="3"/>
        <v>0</v>
      </c>
    </row>
    <row r="25" spans="1:8">
      <c r="A25" s="1586"/>
      <c r="B25" s="1867"/>
      <c r="C25" s="1589"/>
      <c r="D25" s="1776"/>
      <c r="E25" s="1473">
        <f t="shared" si="2"/>
        <v>0</v>
      </c>
      <c r="F25" s="1865">
        <f t="shared" si="1"/>
        <v>0</v>
      </c>
      <c r="G25" s="1725">
        <f t="shared" si="3"/>
        <v>0</v>
      </c>
    </row>
    <row r="26" spans="1:8">
      <c r="A26" s="1586"/>
      <c r="B26" s="1867"/>
      <c r="C26" s="1587"/>
      <c r="D26" s="1776"/>
      <c r="E26" s="1473">
        <f t="shared" si="2"/>
        <v>0</v>
      </c>
      <c r="F26" s="1865">
        <f t="shared" si="1"/>
        <v>0</v>
      </c>
      <c r="G26" s="1725">
        <f t="shared" si="3"/>
        <v>0</v>
      </c>
    </row>
    <row r="27" spans="1:8">
      <c r="A27" s="1586"/>
      <c r="B27" s="1867"/>
      <c r="C27" s="1587"/>
      <c r="D27" s="1776"/>
      <c r="E27" s="1473">
        <f t="shared" si="2"/>
        <v>0</v>
      </c>
      <c r="F27" s="1865">
        <f t="shared" si="1"/>
        <v>0</v>
      </c>
      <c r="G27" s="1725">
        <f t="shared" si="3"/>
        <v>0</v>
      </c>
    </row>
    <row r="28" spans="1:8">
      <c r="A28" s="1586"/>
      <c r="B28" s="1867"/>
      <c r="C28" s="1587"/>
      <c r="D28" s="1776"/>
      <c r="E28" s="1473">
        <f t="shared" si="2"/>
        <v>0</v>
      </c>
      <c r="F28" s="1865">
        <f t="shared" si="1"/>
        <v>0</v>
      </c>
      <c r="G28" s="1725">
        <f t="shared" si="3"/>
        <v>0</v>
      </c>
    </row>
    <row r="29" spans="1:8">
      <c r="A29" s="1586"/>
      <c r="B29" s="1867"/>
      <c r="C29" s="1587"/>
      <c r="D29" s="1776"/>
      <c r="E29" s="1473">
        <f t="shared" si="2"/>
        <v>0</v>
      </c>
      <c r="F29" s="1865">
        <f t="shared" si="1"/>
        <v>0</v>
      </c>
      <c r="G29" s="1725">
        <f t="shared" si="3"/>
        <v>0</v>
      </c>
    </row>
    <row r="30" spans="1:8">
      <c r="A30" s="1586"/>
      <c r="B30" s="1867"/>
      <c r="C30" s="1587"/>
      <c r="D30" s="1776"/>
      <c r="E30" s="1473">
        <f t="shared" si="2"/>
        <v>0</v>
      </c>
      <c r="F30" s="1865">
        <f t="shared" si="1"/>
        <v>0</v>
      </c>
      <c r="G30" s="1725">
        <f t="shared" si="3"/>
        <v>0</v>
      </c>
    </row>
    <row r="31" spans="1:8">
      <c r="A31" s="1586"/>
      <c r="B31" s="1867"/>
      <c r="C31" s="1587"/>
      <c r="D31" s="1776"/>
      <c r="E31" s="1473">
        <f t="shared" si="2"/>
        <v>0</v>
      </c>
      <c r="F31" s="1865">
        <f t="shared" si="1"/>
        <v>0</v>
      </c>
      <c r="G31" s="1725">
        <f t="shared" si="3"/>
        <v>0</v>
      </c>
    </row>
    <row r="32" spans="1:8">
      <c r="A32" s="1586"/>
      <c r="B32" s="1867"/>
      <c r="C32" s="1587"/>
      <c r="D32" s="1776"/>
      <c r="E32" s="1473">
        <f t="shared" si="2"/>
        <v>0</v>
      </c>
      <c r="F32" s="1865">
        <f t="shared" si="1"/>
        <v>0</v>
      </c>
      <c r="G32" s="1725">
        <f t="shared" si="3"/>
        <v>0</v>
      </c>
    </row>
    <row r="33" spans="1:7">
      <c r="A33" s="1586"/>
      <c r="B33" s="1867"/>
      <c r="C33" s="1587"/>
      <c r="D33" s="1776"/>
      <c r="E33" s="1473">
        <f t="shared" si="2"/>
        <v>0</v>
      </c>
      <c r="F33" s="1865">
        <f t="shared" si="1"/>
        <v>0</v>
      </c>
      <c r="G33" s="1725">
        <f t="shared" si="3"/>
        <v>0</v>
      </c>
    </row>
    <row r="34" spans="1:7">
      <c r="A34" s="1586"/>
      <c r="B34" s="1867"/>
      <c r="C34" s="1587"/>
      <c r="D34" s="1776"/>
      <c r="E34" s="1473">
        <f t="shared" si="2"/>
        <v>0</v>
      </c>
      <c r="F34" s="1865">
        <f t="shared" si="1"/>
        <v>0</v>
      </c>
      <c r="G34" s="1725">
        <f t="shared" si="3"/>
        <v>0</v>
      </c>
    </row>
    <row r="35" spans="1:7">
      <c r="A35" s="1586"/>
      <c r="B35" s="1867"/>
      <c r="C35" s="1587"/>
      <c r="D35" s="1776"/>
      <c r="E35" s="1473">
        <f t="shared" si="2"/>
        <v>0</v>
      </c>
      <c r="F35" s="1865">
        <f t="shared" si="1"/>
        <v>0</v>
      </c>
      <c r="G35" s="1725">
        <f t="shared" si="3"/>
        <v>0</v>
      </c>
    </row>
    <row r="36" spans="1:7">
      <c r="A36" s="1586"/>
      <c r="B36" s="1867"/>
      <c r="C36" s="1587"/>
      <c r="D36" s="1776"/>
      <c r="E36" s="1473">
        <f t="shared" si="2"/>
        <v>0</v>
      </c>
      <c r="F36" s="1865">
        <f t="shared" si="1"/>
        <v>0</v>
      </c>
      <c r="G36" s="1725">
        <f t="shared" si="3"/>
        <v>0</v>
      </c>
    </row>
    <row r="37" spans="1:7">
      <c r="A37" s="1586"/>
      <c r="B37" s="1867"/>
      <c r="C37" s="1587"/>
      <c r="D37" s="1776"/>
      <c r="E37" s="1473">
        <f t="shared" si="2"/>
        <v>0</v>
      </c>
      <c r="F37" s="1865">
        <f t="shared" si="1"/>
        <v>0</v>
      </c>
      <c r="G37" s="1725">
        <f t="shared" si="3"/>
        <v>0</v>
      </c>
    </row>
    <row r="38" spans="1:7">
      <c r="A38" s="1586"/>
      <c r="B38" s="1868"/>
      <c r="C38" s="1587"/>
      <c r="D38" s="1776"/>
      <c r="E38" s="1473">
        <f t="shared" si="2"/>
        <v>0</v>
      </c>
      <c r="F38" s="1865">
        <f t="shared" si="1"/>
        <v>0</v>
      </c>
      <c r="G38" s="1725">
        <f t="shared" si="3"/>
        <v>0</v>
      </c>
    </row>
    <row r="39" spans="1:7">
      <c r="A39" s="1586"/>
      <c r="B39" s="1868"/>
      <c r="C39" s="1587"/>
      <c r="D39" s="1776"/>
      <c r="E39" s="1473">
        <f t="shared" si="2"/>
        <v>0</v>
      </c>
      <c r="F39" s="1865">
        <f t="shared" si="1"/>
        <v>0</v>
      </c>
      <c r="G39" s="1725">
        <f t="shared" si="3"/>
        <v>0</v>
      </c>
    </row>
    <row r="40" spans="1:7">
      <c r="A40" s="1586"/>
      <c r="B40" s="1868"/>
      <c r="C40" s="1587"/>
      <c r="D40" s="1776"/>
      <c r="E40" s="1473">
        <f t="shared" si="2"/>
        <v>0</v>
      </c>
      <c r="F40" s="1865">
        <f t="shared" si="1"/>
        <v>0</v>
      </c>
      <c r="G40" s="1725">
        <f t="shared" si="3"/>
        <v>0</v>
      </c>
    </row>
    <row r="41" spans="1:7">
      <c r="A41" s="1586"/>
      <c r="B41" s="1868"/>
      <c r="C41" s="1587"/>
      <c r="D41" s="1776"/>
      <c r="E41" s="1473">
        <f t="shared" si="2"/>
        <v>0</v>
      </c>
      <c r="F41" s="1865">
        <f t="shared" si="1"/>
        <v>0</v>
      </c>
      <c r="G41" s="1725">
        <f t="shared" si="3"/>
        <v>0</v>
      </c>
    </row>
    <row r="42" spans="1:7">
      <c r="A42" s="1586"/>
      <c r="B42" s="1868"/>
      <c r="C42" s="1587"/>
      <c r="D42" s="1776"/>
      <c r="E42" s="1473">
        <f t="shared" si="2"/>
        <v>0</v>
      </c>
      <c r="F42" s="1865">
        <f t="shared" si="1"/>
        <v>0</v>
      </c>
      <c r="G42" s="1725">
        <f t="shared" si="3"/>
        <v>0</v>
      </c>
    </row>
    <row r="43" spans="1:7">
      <c r="A43" s="1586"/>
      <c r="B43" s="1868"/>
      <c r="C43" s="1587"/>
      <c r="D43" s="1776"/>
      <c r="E43" s="1473">
        <f t="shared" si="2"/>
        <v>0</v>
      </c>
      <c r="F43" s="1865">
        <f t="shared" si="1"/>
        <v>0</v>
      </c>
      <c r="G43" s="1725">
        <f t="shared" si="3"/>
        <v>0</v>
      </c>
    </row>
    <row r="44" spans="1:7">
      <c r="A44" s="1586"/>
      <c r="B44" s="1868"/>
      <c r="C44" s="1587"/>
      <c r="D44" s="1776"/>
      <c r="E44" s="1473">
        <f t="shared" si="2"/>
        <v>0</v>
      </c>
      <c r="F44" s="1865">
        <f t="shared" si="1"/>
        <v>0</v>
      </c>
      <c r="G44" s="1725">
        <f t="shared" si="3"/>
        <v>0</v>
      </c>
    </row>
    <row r="45" spans="1:7">
      <c r="A45" s="1586"/>
      <c r="B45" s="1868"/>
      <c r="C45" s="1587"/>
      <c r="D45" s="1776"/>
      <c r="E45" s="1473">
        <f t="shared" si="2"/>
        <v>0</v>
      </c>
      <c r="F45" s="1865">
        <f t="shared" si="1"/>
        <v>0</v>
      </c>
      <c r="G45" s="1725">
        <f t="shared" si="3"/>
        <v>0</v>
      </c>
    </row>
    <row r="46" spans="1:7">
      <c r="A46" s="1586"/>
      <c r="B46" s="1599"/>
      <c r="C46" s="1587"/>
      <c r="D46" s="1776"/>
      <c r="E46" s="1473">
        <f t="shared" si="2"/>
        <v>0</v>
      </c>
      <c r="F46" s="1865">
        <f t="shared" si="1"/>
        <v>0</v>
      </c>
      <c r="G46" s="1725">
        <f t="shared" si="3"/>
        <v>0</v>
      </c>
    </row>
    <row r="47" spans="1:7">
      <c r="A47" s="1586"/>
      <c r="B47" s="1599"/>
      <c r="C47" s="1587"/>
      <c r="D47" s="1776"/>
      <c r="E47" s="1473">
        <f t="shared" si="2"/>
        <v>0</v>
      </c>
      <c r="F47" s="1865">
        <f t="shared" si="1"/>
        <v>0</v>
      </c>
      <c r="G47" s="1725">
        <f t="shared" si="3"/>
        <v>0</v>
      </c>
    </row>
    <row r="48" spans="1:7">
      <c r="A48" s="1586"/>
      <c r="B48" s="1599"/>
      <c r="C48" s="1587"/>
      <c r="D48" s="1776"/>
      <c r="E48" s="1473">
        <f t="shared" si="2"/>
        <v>0</v>
      </c>
      <c r="F48" s="1865">
        <f t="shared" si="1"/>
        <v>0</v>
      </c>
      <c r="G48" s="1725">
        <f t="shared" si="3"/>
        <v>0</v>
      </c>
    </row>
    <row r="49" spans="1:7">
      <c r="A49" s="1586"/>
      <c r="B49" s="1599"/>
      <c r="C49" s="1587"/>
      <c r="D49" s="1776"/>
      <c r="E49" s="1473">
        <f t="shared" si="2"/>
        <v>0</v>
      </c>
      <c r="F49" s="1865">
        <f t="shared" si="1"/>
        <v>0</v>
      </c>
      <c r="G49" s="1725">
        <f t="shared" si="3"/>
        <v>0</v>
      </c>
    </row>
    <row r="50" spans="1:7">
      <c r="A50" s="1586"/>
      <c r="B50" s="1599"/>
      <c r="C50" s="1587"/>
      <c r="D50" s="1776"/>
      <c r="E50" s="1473">
        <f t="shared" si="2"/>
        <v>0</v>
      </c>
      <c r="F50" s="1865">
        <f t="shared" si="1"/>
        <v>0</v>
      </c>
      <c r="G50" s="1725">
        <f t="shared" si="3"/>
        <v>0</v>
      </c>
    </row>
    <row r="51" spans="1:7">
      <c r="A51" s="1586"/>
      <c r="B51" s="1599"/>
      <c r="C51" s="1587"/>
      <c r="D51" s="1776"/>
      <c r="E51" s="1473">
        <f t="shared" si="2"/>
        <v>0</v>
      </c>
      <c r="F51" s="1865">
        <f t="shared" si="1"/>
        <v>0</v>
      </c>
      <c r="G51" s="1725">
        <f t="shared" si="3"/>
        <v>0</v>
      </c>
    </row>
    <row r="52" spans="1:7">
      <c r="A52" s="1586"/>
      <c r="B52" s="1599"/>
      <c r="C52" s="1587"/>
      <c r="D52" s="1776"/>
      <c r="E52" s="1473">
        <f t="shared" si="2"/>
        <v>0</v>
      </c>
      <c r="F52" s="1865">
        <f t="shared" si="1"/>
        <v>0</v>
      </c>
      <c r="G52" s="1725">
        <f t="shared" si="3"/>
        <v>0</v>
      </c>
    </row>
    <row r="53" spans="1:7">
      <c r="A53" s="1586"/>
      <c r="B53" s="1599"/>
      <c r="C53" s="1587"/>
      <c r="D53" s="1776"/>
      <c r="E53" s="1473">
        <f t="shared" si="2"/>
        <v>0</v>
      </c>
      <c r="F53" s="1865">
        <f t="shared" si="1"/>
        <v>0</v>
      </c>
      <c r="G53" s="1725">
        <f t="shared" si="3"/>
        <v>0</v>
      </c>
    </row>
    <row r="54" spans="1:7">
      <c r="A54" s="1586"/>
      <c r="B54" s="1599"/>
      <c r="C54" s="1587"/>
      <c r="D54" s="1776"/>
      <c r="E54" s="1473">
        <f t="shared" si="2"/>
        <v>0</v>
      </c>
      <c r="F54" s="1865">
        <f t="shared" si="1"/>
        <v>0</v>
      </c>
      <c r="G54" s="1725">
        <f t="shared" si="3"/>
        <v>0</v>
      </c>
    </row>
    <row r="55" spans="1:7">
      <c r="A55" s="1586"/>
      <c r="B55" s="1599"/>
      <c r="C55" s="1587"/>
      <c r="D55" s="1776"/>
      <c r="E55" s="1473">
        <f t="shared" si="2"/>
        <v>0</v>
      </c>
      <c r="F55" s="1865">
        <f t="shared" si="1"/>
        <v>0</v>
      </c>
      <c r="G55" s="1725">
        <f t="shared" si="3"/>
        <v>0</v>
      </c>
    </row>
    <row r="56" spans="1:7">
      <c r="A56" s="1586"/>
      <c r="B56" s="1599"/>
      <c r="C56" s="1587"/>
      <c r="D56" s="1776"/>
      <c r="E56" s="1473">
        <f t="shared" si="2"/>
        <v>0</v>
      </c>
      <c r="F56" s="1865">
        <f t="shared" si="1"/>
        <v>0</v>
      </c>
      <c r="G56" s="1725">
        <f t="shared" si="3"/>
        <v>0</v>
      </c>
    </row>
    <row r="57" spans="1:7">
      <c r="A57" s="1586"/>
      <c r="B57" s="1599"/>
      <c r="C57" s="1587"/>
      <c r="D57" s="1776"/>
      <c r="E57" s="1473">
        <f t="shared" si="2"/>
        <v>0</v>
      </c>
      <c r="F57" s="1865">
        <f t="shared" si="1"/>
        <v>0</v>
      </c>
      <c r="G57" s="1725">
        <f t="shared" si="3"/>
        <v>0</v>
      </c>
    </row>
    <row r="58" spans="1:7">
      <c r="A58" s="1586"/>
      <c r="B58" s="1599"/>
      <c r="C58" s="1587"/>
      <c r="D58" s="1776"/>
      <c r="E58" s="1473">
        <f t="shared" si="2"/>
        <v>0</v>
      </c>
      <c r="F58" s="1865">
        <f t="shared" si="1"/>
        <v>0</v>
      </c>
      <c r="G58" s="1725">
        <f t="shared" si="3"/>
        <v>0</v>
      </c>
    </row>
    <row r="59" spans="1:7">
      <c r="A59" s="1586"/>
      <c r="B59" s="1599"/>
      <c r="C59" s="1587"/>
      <c r="D59" s="1776"/>
      <c r="E59" s="1473">
        <f t="shared" si="2"/>
        <v>0</v>
      </c>
      <c r="F59" s="1865">
        <f t="shared" si="1"/>
        <v>0</v>
      </c>
      <c r="G59" s="1725">
        <f t="shared" si="3"/>
        <v>0</v>
      </c>
    </row>
    <row r="60" spans="1:7">
      <c r="A60" s="1586"/>
      <c r="B60" s="1599"/>
      <c r="C60" s="1587"/>
      <c r="D60" s="1776"/>
      <c r="E60" s="1473">
        <f t="shared" si="2"/>
        <v>0</v>
      </c>
      <c r="F60" s="1865">
        <f t="shared" si="1"/>
        <v>0</v>
      </c>
      <c r="G60" s="1725">
        <f t="shared" si="3"/>
        <v>0</v>
      </c>
    </row>
    <row r="61" spans="1:7">
      <c r="A61" s="1586"/>
      <c r="B61" s="1599"/>
      <c r="C61" s="1587"/>
      <c r="D61" s="1776"/>
      <c r="E61" s="1473">
        <f t="shared" si="2"/>
        <v>0</v>
      </c>
      <c r="F61" s="1865">
        <f t="shared" si="1"/>
        <v>0</v>
      </c>
      <c r="G61" s="1725">
        <f t="shared" si="3"/>
        <v>0</v>
      </c>
    </row>
    <row r="62" spans="1:7">
      <c r="A62" s="1586"/>
      <c r="B62" s="1599"/>
      <c r="C62" s="1587"/>
      <c r="D62" s="1776"/>
      <c r="E62" s="1473">
        <f t="shared" si="2"/>
        <v>0</v>
      </c>
      <c r="F62" s="1865">
        <f t="shared" si="1"/>
        <v>0</v>
      </c>
      <c r="G62" s="1725">
        <f t="shared" si="3"/>
        <v>0</v>
      </c>
    </row>
    <row r="63" spans="1:7">
      <c r="A63" s="1586"/>
      <c r="B63" s="1599"/>
      <c r="C63" s="1587"/>
      <c r="D63" s="1776"/>
      <c r="E63" s="1473">
        <f t="shared" si="2"/>
        <v>0</v>
      </c>
      <c r="F63" s="1865">
        <f t="shared" si="1"/>
        <v>0</v>
      </c>
      <c r="G63" s="1725">
        <f t="shared" si="3"/>
        <v>0</v>
      </c>
    </row>
    <row r="64" spans="1:7">
      <c r="A64" s="1588"/>
      <c r="B64" s="1599"/>
      <c r="C64" s="1589"/>
      <c r="D64" s="1776"/>
      <c r="E64" s="1473">
        <f t="shared" si="2"/>
        <v>0</v>
      </c>
      <c r="F64" s="1865">
        <f t="shared" si="1"/>
        <v>0</v>
      </c>
      <c r="G64" s="1725">
        <f t="shared" si="3"/>
        <v>0</v>
      </c>
    </row>
    <row r="65" spans="1:7">
      <c r="A65" s="1586"/>
      <c r="B65" s="1599"/>
      <c r="C65" s="1587"/>
      <c r="D65" s="1776"/>
      <c r="E65" s="1473">
        <f t="shared" si="2"/>
        <v>0</v>
      </c>
      <c r="F65" s="1865">
        <f t="shared" si="1"/>
        <v>0</v>
      </c>
      <c r="G65" s="1725">
        <f t="shared" si="3"/>
        <v>0</v>
      </c>
    </row>
    <row r="66" spans="1:7">
      <c r="A66" s="1586"/>
      <c r="B66" s="1599"/>
      <c r="C66" s="1587"/>
      <c r="D66" s="1776"/>
      <c r="E66" s="1473">
        <f t="shared" si="2"/>
        <v>0</v>
      </c>
      <c r="F66" s="1865">
        <f t="shared" si="1"/>
        <v>0</v>
      </c>
      <c r="G66" s="1725">
        <f t="shared" si="3"/>
        <v>0</v>
      </c>
    </row>
    <row r="67" spans="1:7">
      <c r="A67" s="1586"/>
      <c r="B67" s="1599"/>
      <c r="C67" s="1587"/>
      <c r="D67" s="1776"/>
      <c r="E67" s="1473">
        <f t="shared" si="2"/>
        <v>0</v>
      </c>
      <c r="F67" s="1865">
        <f t="shared" si="1"/>
        <v>0</v>
      </c>
      <c r="G67" s="1725">
        <f t="shared" si="3"/>
        <v>0</v>
      </c>
    </row>
    <row r="68" spans="1:7">
      <c r="A68" s="1586"/>
      <c r="B68" s="1599"/>
      <c r="C68" s="1587"/>
      <c r="D68" s="1776"/>
      <c r="E68" s="1473">
        <f t="shared" si="2"/>
        <v>0</v>
      </c>
      <c r="F68" s="1865">
        <f t="shared" si="1"/>
        <v>0</v>
      </c>
      <c r="G68" s="1725">
        <f t="shared" si="3"/>
        <v>0</v>
      </c>
    </row>
    <row r="69" spans="1:7">
      <c r="A69" s="1586"/>
      <c r="B69" s="1599"/>
      <c r="C69" s="1587"/>
      <c r="D69" s="1776"/>
      <c r="E69" s="1473">
        <f t="shared" si="2"/>
        <v>0</v>
      </c>
      <c r="F69" s="1865">
        <f t="shared" si="1"/>
        <v>0</v>
      </c>
      <c r="G69" s="1725">
        <f t="shared" si="3"/>
        <v>0</v>
      </c>
    </row>
    <row r="70" spans="1:7">
      <c r="A70" s="1586"/>
      <c r="B70" s="1599"/>
      <c r="C70" s="1587"/>
      <c r="D70" s="1776"/>
      <c r="E70" s="1473">
        <f t="shared" si="2"/>
        <v>0</v>
      </c>
      <c r="F70" s="1865">
        <f t="shared" si="1"/>
        <v>0</v>
      </c>
      <c r="G70" s="1725">
        <f t="shared" si="3"/>
        <v>0</v>
      </c>
    </row>
    <row r="71" spans="1:7">
      <c r="A71" s="1586"/>
      <c r="B71" s="1599"/>
      <c r="C71" s="1587"/>
      <c r="D71" s="1776"/>
      <c r="E71" s="1473">
        <f t="shared" si="2"/>
        <v>0</v>
      </c>
      <c r="F71" s="1865">
        <f t="shared" si="1"/>
        <v>0</v>
      </c>
      <c r="G71" s="1725">
        <f t="shared" si="3"/>
        <v>0</v>
      </c>
    </row>
    <row r="72" spans="1:7">
      <c r="A72" s="1586"/>
      <c r="B72" s="1599"/>
      <c r="C72" s="1587"/>
      <c r="D72" s="1776"/>
      <c r="E72" s="1473">
        <f t="shared" si="2"/>
        <v>0</v>
      </c>
      <c r="F72" s="1865">
        <f t="shared" si="1"/>
        <v>0</v>
      </c>
      <c r="G72" s="1725">
        <f t="shared" si="3"/>
        <v>0</v>
      </c>
    </row>
    <row r="73" spans="1:7">
      <c r="A73" s="1586"/>
      <c r="B73" s="1599"/>
      <c r="C73" s="1587"/>
      <c r="D73" s="1776"/>
      <c r="E73" s="1473">
        <f t="shared" ref="E73:E84" si="4">IF(D73&lt;=25000,D73,IF(D73&gt;25000,25000,0))</f>
        <v>0</v>
      </c>
      <c r="F73" s="1865">
        <f t="shared" si="1"/>
        <v>0</v>
      </c>
      <c r="G73" s="1725">
        <f t="shared" ref="G73:G84" si="5">IF(F73=0,0,D73-F73)</f>
        <v>0</v>
      </c>
    </row>
    <row r="74" spans="1:7">
      <c r="A74" s="1586"/>
      <c r="B74" s="1599"/>
      <c r="C74" s="1587"/>
      <c r="D74" s="1776"/>
      <c r="E74" s="1473">
        <f t="shared" si="4"/>
        <v>0</v>
      </c>
      <c r="F74" s="1865">
        <f t="shared" si="1"/>
        <v>0</v>
      </c>
      <c r="G74" s="1725">
        <f t="shared" si="5"/>
        <v>0</v>
      </c>
    </row>
    <row r="75" spans="1:7">
      <c r="A75" s="1586"/>
      <c r="B75" s="1599"/>
      <c r="C75" s="1587"/>
      <c r="D75" s="1776"/>
      <c r="E75" s="1473">
        <f t="shared" si="4"/>
        <v>0</v>
      </c>
      <c r="F75" s="1865">
        <f t="shared" si="1"/>
        <v>0</v>
      </c>
      <c r="G75" s="1725">
        <f t="shared" si="5"/>
        <v>0</v>
      </c>
    </row>
    <row r="76" spans="1:7">
      <c r="A76" s="1586"/>
      <c r="B76" s="1599"/>
      <c r="C76" s="1587"/>
      <c r="D76" s="1776"/>
      <c r="E76" s="1473">
        <f t="shared" si="4"/>
        <v>0</v>
      </c>
      <c r="F76" s="1865">
        <f t="shared" si="1"/>
        <v>0</v>
      </c>
      <c r="G76" s="1725">
        <f t="shared" si="5"/>
        <v>0</v>
      </c>
    </row>
    <row r="77" spans="1:7">
      <c r="A77" s="1586"/>
      <c r="B77" s="1599"/>
      <c r="C77" s="1587"/>
      <c r="D77" s="1776"/>
      <c r="E77" s="1473">
        <f t="shared" si="4"/>
        <v>0</v>
      </c>
      <c r="F77" s="1865">
        <f t="shared" si="1"/>
        <v>0</v>
      </c>
      <c r="G77" s="1725">
        <f t="shared" si="5"/>
        <v>0</v>
      </c>
    </row>
    <row r="78" spans="1:7">
      <c r="A78" s="1586"/>
      <c r="B78" s="1599"/>
      <c r="C78" s="1587"/>
      <c r="D78" s="1776"/>
      <c r="E78" s="1473">
        <f t="shared" si="4"/>
        <v>0</v>
      </c>
      <c r="F78" s="1865">
        <f t="shared" si="1"/>
        <v>0</v>
      </c>
      <c r="G78" s="1725">
        <f t="shared" si="5"/>
        <v>0</v>
      </c>
    </row>
    <row r="79" spans="1:7">
      <c r="A79" s="1586"/>
      <c r="B79" s="1599"/>
      <c r="C79" s="1587"/>
      <c r="D79" s="1776"/>
      <c r="E79" s="1473">
        <f t="shared" si="4"/>
        <v>0</v>
      </c>
      <c r="F79" s="1865">
        <f t="shared" si="1"/>
        <v>0</v>
      </c>
      <c r="G79" s="1725">
        <f t="shared" si="5"/>
        <v>0</v>
      </c>
    </row>
    <row r="80" spans="1:7">
      <c r="A80" s="1586"/>
      <c r="B80" s="1599"/>
      <c r="C80" s="1587"/>
      <c r="D80" s="1776"/>
      <c r="E80" s="1473">
        <f t="shared" si="4"/>
        <v>0</v>
      </c>
      <c r="F80" s="1865">
        <f t="shared" si="1"/>
        <v>0</v>
      </c>
      <c r="G80" s="1725">
        <f t="shared" si="5"/>
        <v>0</v>
      </c>
    </row>
    <row r="81" spans="1:7">
      <c r="A81" s="1586"/>
      <c r="B81" s="1599"/>
      <c r="C81" s="1587"/>
      <c r="D81" s="1776"/>
      <c r="E81" s="1473">
        <f t="shared" si="4"/>
        <v>0</v>
      </c>
      <c r="F81" s="186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c r="A82" s="1586"/>
      <c r="B82" s="1599"/>
      <c r="C82" s="1587"/>
      <c r="D82" s="1776"/>
      <c r="E82" s="1473">
        <f t="shared" si="4"/>
        <v>0</v>
      </c>
      <c r="F82" s="1865">
        <f t="shared" si="6"/>
        <v>0</v>
      </c>
      <c r="G82" s="1725">
        <f t="shared" si="5"/>
        <v>0</v>
      </c>
    </row>
    <row r="83" spans="1:7">
      <c r="A83" s="1586"/>
      <c r="B83" s="1599"/>
      <c r="C83" s="1587"/>
      <c r="D83" s="1776"/>
      <c r="E83" s="1473">
        <f t="shared" si="4"/>
        <v>0</v>
      </c>
      <c r="F83" s="1865">
        <f t="shared" si="6"/>
        <v>0</v>
      </c>
      <c r="G83" s="1725">
        <f t="shared" si="5"/>
        <v>0</v>
      </c>
    </row>
    <row r="84" spans="1:7">
      <c r="A84" s="1586"/>
      <c r="B84" s="1599"/>
      <c r="C84" s="1587"/>
      <c r="D84" s="1776"/>
      <c r="E84" s="1473">
        <f t="shared" si="4"/>
        <v>0</v>
      </c>
      <c r="F84" s="1865">
        <f t="shared" si="6"/>
        <v>0</v>
      </c>
      <c r="G84" s="1725">
        <f t="shared" si="5"/>
        <v>0</v>
      </c>
    </row>
    <row r="85" spans="1:7">
      <c r="A85" s="1586"/>
      <c r="B85" s="1599"/>
      <c r="C85" s="1587"/>
      <c r="D85" s="1776"/>
      <c r="E85" s="1473">
        <f t="shared" si="2"/>
        <v>0</v>
      </c>
      <c r="F85" s="1865">
        <f t="shared" si="6"/>
        <v>0</v>
      </c>
      <c r="G85" s="1725">
        <f t="shared" si="3"/>
        <v>0</v>
      </c>
    </row>
    <row r="86" spans="1:7">
      <c r="A86" s="1586"/>
      <c r="B86" s="1599"/>
      <c r="C86" s="1587"/>
      <c r="D86" s="1776"/>
      <c r="E86" s="1473">
        <f t="shared" si="2"/>
        <v>0</v>
      </c>
      <c r="F86" s="1865">
        <f t="shared" si="6"/>
        <v>0</v>
      </c>
      <c r="G86" s="1725">
        <f t="shared" si="3"/>
        <v>0</v>
      </c>
    </row>
    <row r="87" spans="1:7">
      <c r="A87" s="1586"/>
      <c r="B87" s="1599"/>
      <c r="C87" s="1587"/>
      <c r="D87" s="1776"/>
      <c r="E87" s="1473">
        <f t="shared" si="2"/>
        <v>0</v>
      </c>
      <c r="F87" s="1865">
        <f t="shared" si="6"/>
        <v>0</v>
      </c>
      <c r="G87" s="1725">
        <f t="shared" si="3"/>
        <v>0</v>
      </c>
    </row>
    <row r="88" spans="1:7">
      <c r="A88" s="1586"/>
      <c r="B88" s="1599"/>
      <c r="C88" s="1587"/>
      <c r="D88" s="1776"/>
      <c r="E88" s="1473">
        <f t="shared" si="2"/>
        <v>0</v>
      </c>
      <c r="F88" s="1865">
        <f t="shared" si="6"/>
        <v>0</v>
      </c>
      <c r="G88" s="1725">
        <f t="shared" si="3"/>
        <v>0</v>
      </c>
    </row>
    <row r="89" spans="1:7">
      <c r="A89" s="1586"/>
      <c r="B89" s="1599"/>
      <c r="C89" s="1587"/>
      <c r="D89" s="1776"/>
      <c r="E89" s="1473">
        <f t="shared" si="2"/>
        <v>0</v>
      </c>
      <c r="F89" s="1865">
        <f t="shared" si="6"/>
        <v>0</v>
      </c>
      <c r="G89" s="1725">
        <f t="shared" si="3"/>
        <v>0</v>
      </c>
    </row>
    <row r="90" spans="1:7">
      <c r="A90" s="1586"/>
      <c r="B90" s="1599"/>
      <c r="C90" s="1587"/>
      <c r="D90" s="1776"/>
      <c r="E90" s="1473">
        <f t="shared" si="2"/>
        <v>0</v>
      </c>
      <c r="F90" s="1865">
        <f t="shared" si="6"/>
        <v>0</v>
      </c>
      <c r="G90" s="1725">
        <f t="shared" si="3"/>
        <v>0</v>
      </c>
    </row>
    <row r="91" spans="1:7">
      <c r="A91" s="1586"/>
      <c r="B91" s="1599"/>
      <c r="C91" s="1587"/>
      <c r="D91" s="1776"/>
      <c r="E91" s="1473">
        <f t="shared" si="2"/>
        <v>0</v>
      </c>
      <c r="F91" s="1865">
        <f t="shared" si="6"/>
        <v>0</v>
      </c>
      <c r="G91" s="1725">
        <f t="shared" si="3"/>
        <v>0</v>
      </c>
    </row>
    <row r="92" spans="1:7">
      <c r="A92" s="1586"/>
      <c r="B92" s="1599"/>
      <c r="C92" s="1587"/>
      <c r="D92" s="1776"/>
      <c r="E92" s="1473">
        <f t="shared" si="2"/>
        <v>0</v>
      </c>
      <c r="F92" s="1865">
        <f t="shared" si="6"/>
        <v>0</v>
      </c>
      <c r="G92" s="1725">
        <f t="shared" si="3"/>
        <v>0</v>
      </c>
    </row>
    <row r="93" spans="1:7">
      <c r="A93" s="1586"/>
      <c r="B93" s="1599"/>
      <c r="C93" s="1587"/>
      <c r="D93" s="1776"/>
      <c r="E93" s="1473">
        <f t="shared" ref="E93" si="7">IF(D93&lt;=25000,D93,IF(D93&gt;25000,25000,0))</f>
        <v>0</v>
      </c>
      <c r="F93" s="1865">
        <f t="shared" si="6"/>
        <v>0</v>
      </c>
      <c r="G93" s="1725">
        <f t="shared" ref="G93" si="8">IF(F93=0,0,D93-F93)</f>
        <v>0</v>
      </c>
    </row>
    <row r="94" spans="1:7">
      <c r="A94" s="1586"/>
      <c r="B94" s="1599"/>
      <c r="C94" s="1587"/>
      <c r="D94" s="1776"/>
      <c r="E94" s="1473">
        <f t="shared" si="2"/>
        <v>0</v>
      </c>
      <c r="F94" s="1865">
        <f t="shared" si="6"/>
        <v>0</v>
      </c>
      <c r="G94" s="1725">
        <f t="shared" si="3"/>
        <v>0</v>
      </c>
    </row>
    <row r="95" spans="1:7">
      <c r="A95" s="1586"/>
      <c r="B95" s="1599"/>
      <c r="C95" s="1587"/>
      <c r="D95" s="1776"/>
      <c r="E95" s="1473">
        <f t="shared" ref="E95:E98" si="9">IF(D95&lt;=25000,D95,IF(D95&gt;25000,25000,0))</f>
        <v>0</v>
      </c>
      <c r="F95" s="1865">
        <f t="shared" si="6"/>
        <v>0</v>
      </c>
      <c r="G95" s="1725">
        <f t="shared" ref="G95:G98" si="10">IF(F95=0,0,D95-F95)</f>
        <v>0</v>
      </c>
    </row>
    <row r="96" spans="1:7">
      <c r="A96" s="1586"/>
      <c r="B96" s="1599"/>
      <c r="C96" s="1587"/>
      <c r="D96" s="1776"/>
      <c r="E96" s="1473">
        <f t="shared" si="9"/>
        <v>0</v>
      </c>
      <c r="F96" s="1865">
        <f t="shared" si="6"/>
        <v>0</v>
      </c>
      <c r="G96" s="1725">
        <f t="shared" si="10"/>
        <v>0</v>
      </c>
    </row>
    <row r="97" spans="1:7">
      <c r="A97" s="1586"/>
      <c r="B97" s="1599"/>
      <c r="C97" s="1587"/>
      <c r="D97" s="1776"/>
      <c r="E97" s="1473">
        <f t="shared" si="9"/>
        <v>0</v>
      </c>
      <c r="F97" s="1865">
        <f t="shared" si="6"/>
        <v>0</v>
      </c>
      <c r="G97" s="1725">
        <f t="shared" si="10"/>
        <v>0</v>
      </c>
    </row>
    <row r="98" spans="1:7">
      <c r="A98" s="1586"/>
      <c r="B98" s="1599"/>
      <c r="C98" s="1587"/>
      <c r="D98" s="1776"/>
      <c r="E98" s="1473">
        <f t="shared" si="9"/>
        <v>0</v>
      </c>
      <c r="F98" s="1865">
        <f t="shared" si="6"/>
        <v>0</v>
      </c>
      <c r="G98" s="1725">
        <f t="shared" si="10"/>
        <v>0</v>
      </c>
    </row>
    <row r="99" spans="1:7">
      <c r="A99" s="1586"/>
      <c r="B99" s="1599"/>
      <c r="C99" s="1587"/>
      <c r="D99" s="1776"/>
      <c r="E99" s="1473">
        <f t="shared" ref="E99" si="11">IF(D99&lt;=25000,D99,IF(D99&gt;25000,25000,0))</f>
        <v>0</v>
      </c>
      <c r="F99" s="1865">
        <f t="shared" si="6"/>
        <v>0</v>
      </c>
      <c r="G99" s="1725">
        <f t="shared" ref="G99" si="12">IF(F99=0,0,D99-F99)</f>
        <v>0</v>
      </c>
    </row>
    <row r="100" spans="1:7">
      <c r="A100" s="1586"/>
      <c r="B100" s="1599"/>
      <c r="C100" s="1587"/>
      <c r="D100" s="1776"/>
      <c r="E100" s="1473">
        <f t="shared" ref="E100:E112" si="13">IF(D100&lt;=25000,D100,IF(D100&gt;25000,25000,0))</f>
        <v>0</v>
      </c>
      <c r="F100" s="1865">
        <f t="shared" si="6"/>
        <v>0</v>
      </c>
      <c r="G100" s="1725">
        <f t="shared" ref="G100:G112" si="14">IF(F100=0,0,D100-F100)</f>
        <v>0</v>
      </c>
    </row>
    <row r="101" spans="1:7">
      <c r="A101" s="1586"/>
      <c r="B101" s="1599"/>
      <c r="C101" s="1587"/>
      <c r="D101" s="1776"/>
      <c r="E101" s="1473">
        <f t="shared" si="13"/>
        <v>0</v>
      </c>
      <c r="F101" s="1865">
        <f t="shared" si="6"/>
        <v>0</v>
      </c>
      <c r="G101" s="1725">
        <f t="shared" si="14"/>
        <v>0</v>
      </c>
    </row>
    <row r="102" spans="1:7">
      <c r="A102" s="1586"/>
      <c r="B102" s="1599"/>
      <c r="C102" s="1587"/>
      <c r="D102" s="1776"/>
      <c r="E102" s="1473">
        <f t="shared" si="13"/>
        <v>0</v>
      </c>
      <c r="F102" s="1865">
        <f t="shared" si="6"/>
        <v>0</v>
      </c>
      <c r="G102" s="1725">
        <f t="shared" si="14"/>
        <v>0</v>
      </c>
    </row>
    <row r="103" spans="1:7">
      <c r="A103" s="1586"/>
      <c r="B103" s="1599"/>
      <c r="C103" s="1587"/>
      <c r="D103" s="1776"/>
      <c r="E103" s="1473">
        <f t="shared" si="13"/>
        <v>0</v>
      </c>
      <c r="F103" s="1865">
        <f t="shared" si="6"/>
        <v>0</v>
      </c>
      <c r="G103" s="1725">
        <f t="shared" si="14"/>
        <v>0</v>
      </c>
    </row>
    <row r="104" spans="1:7">
      <c r="A104" s="1586"/>
      <c r="B104" s="1599"/>
      <c r="C104" s="1587"/>
      <c r="D104" s="1776"/>
      <c r="E104" s="1473">
        <f t="shared" si="13"/>
        <v>0</v>
      </c>
      <c r="F104" s="1865">
        <f t="shared" si="6"/>
        <v>0</v>
      </c>
      <c r="G104" s="1725">
        <f t="shared" si="14"/>
        <v>0</v>
      </c>
    </row>
    <row r="105" spans="1:7">
      <c r="A105" s="1586"/>
      <c r="B105" s="1599"/>
      <c r="C105" s="1587"/>
      <c r="D105" s="1776"/>
      <c r="E105" s="1473">
        <f t="shared" si="13"/>
        <v>0</v>
      </c>
      <c r="F105" s="1865">
        <f t="shared" si="6"/>
        <v>0</v>
      </c>
      <c r="G105" s="1725">
        <f t="shared" si="14"/>
        <v>0</v>
      </c>
    </row>
    <row r="106" spans="1:7">
      <c r="A106" s="1586"/>
      <c r="B106" s="1599"/>
      <c r="C106" s="1587"/>
      <c r="D106" s="1776"/>
      <c r="E106" s="1473">
        <f t="shared" si="13"/>
        <v>0</v>
      </c>
      <c r="F106" s="1865">
        <f t="shared" si="6"/>
        <v>0</v>
      </c>
      <c r="G106" s="1725">
        <f t="shared" si="14"/>
        <v>0</v>
      </c>
    </row>
    <row r="107" spans="1:7">
      <c r="A107" s="1586"/>
      <c r="B107" s="1599"/>
      <c r="C107" s="1587"/>
      <c r="D107" s="1776"/>
      <c r="E107" s="1473">
        <f t="shared" si="13"/>
        <v>0</v>
      </c>
      <c r="F107" s="1865">
        <f t="shared" si="6"/>
        <v>0</v>
      </c>
      <c r="G107" s="1725">
        <f t="shared" si="14"/>
        <v>0</v>
      </c>
    </row>
    <row r="108" spans="1:7">
      <c r="A108" s="1586"/>
      <c r="B108" s="1599"/>
      <c r="C108" s="1587"/>
      <c r="D108" s="1776"/>
      <c r="E108" s="1473">
        <f t="shared" si="13"/>
        <v>0</v>
      </c>
      <c r="F108" s="1865">
        <f t="shared" si="6"/>
        <v>0</v>
      </c>
      <c r="G108" s="1725">
        <f t="shared" si="14"/>
        <v>0</v>
      </c>
    </row>
    <row r="109" spans="1:7">
      <c r="A109" s="1586"/>
      <c r="B109" s="1599"/>
      <c r="C109" s="1587"/>
      <c r="D109" s="1776"/>
      <c r="E109" s="1473">
        <f t="shared" si="13"/>
        <v>0</v>
      </c>
      <c r="F109" s="1865">
        <f t="shared" si="6"/>
        <v>0</v>
      </c>
      <c r="G109" s="1725">
        <f t="shared" si="14"/>
        <v>0</v>
      </c>
    </row>
    <row r="110" spans="1:7">
      <c r="A110" s="1586"/>
      <c r="B110" s="1599"/>
      <c r="C110" s="1587"/>
      <c r="D110" s="1776"/>
      <c r="E110" s="1473">
        <f t="shared" si="13"/>
        <v>0</v>
      </c>
      <c r="F110" s="1865">
        <f t="shared" si="6"/>
        <v>0</v>
      </c>
      <c r="G110" s="1725">
        <f t="shared" si="14"/>
        <v>0</v>
      </c>
    </row>
    <row r="111" spans="1:7">
      <c r="A111" s="1586"/>
      <c r="B111" s="1599"/>
      <c r="C111" s="1587"/>
      <c r="D111" s="1776"/>
      <c r="E111" s="1473">
        <f t="shared" si="13"/>
        <v>0</v>
      </c>
      <c r="F111" s="1865">
        <f t="shared" si="6"/>
        <v>0</v>
      </c>
      <c r="G111" s="1725">
        <f t="shared" si="14"/>
        <v>0</v>
      </c>
    </row>
    <row r="112" spans="1:7">
      <c r="A112" s="1586"/>
      <c r="B112" s="1599"/>
      <c r="C112" s="1587"/>
      <c r="D112" s="1776"/>
      <c r="E112" s="1473">
        <f t="shared" si="13"/>
        <v>0</v>
      </c>
      <c r="F112" s="1865">
        <f t="shared" si="6"/>
        <v>0</v>
      </c>
      <c r="G112" s="1725">
        <f t="shared" si="14"/>
        <v>0</v>
      </c>
    </row>
    <row r="113" spans="1:7">
      <c r="A113" s="1586"/>
      <c r="B113" s="1599"/>
      <c r="C113" s="1587"/>
      <c r="D113" s="1776"/>
      <c r="E113" s="1473">
        <f t="shared" ref="E113:E125" si="15">IF(D113&lt;=25000,D113,IF(D113&gt;25000,25000,0))</f>
        <v>0</v>
      </c>
      <c r="F113" s="1865">
        <f t="shared" si="6"/>
        <v>0</v>
      </c>
      <c r="G113" s="1725">
        <f t="shared" ref="G113:G125" si="16">IF(F113=0,0,D113-F113)</f>
        <v>0</v>
      </c>
    </row>
    <row r="114" spans="1:7">
      <c r="A114" s="1586"/>
      <c r="B114" s="1599"/>
      <c r="C114" s="1587"/>
      <c r="D114" s="1776"/>
      <c r="E114" s="1473">
        <f t="shared" si="15"/>
        <v>0</v>
      </c>
      <c r="F114" s="1865">
        <f t="shared" si="6"/>
        <v>0</v>
      </c>
      <c r="G114" s="1725">
        <f t="shared" si="16"/>
        <v>0</v>
      </c>
    </row>
    <row r="115" spans="1:7">
      <c r="A115" s="1586"/>
      <c r="B115" s="1599"/>
      <c r="C115" s="1587"/>
      <c r="D115" s="1776"/>
      <c r="E115" s="1473">
        <f t="shared" si="15"/>
        <v>0</v>
      </c>
      <c r="F115" s="1865">
        <f t="shared" si="6"/>
        <v>0</v>
      </c>
      <c r="G115" s="1725">
        <f t="shared" si="16"/>
        <v>0</v>
      </c>
    </row>
    <row r="116" spans="1:7">
      <c r="A116" s="1586"/>
      <c r="B116" s="1599"/>
      <c r="C116" s="1587"/>
      <c r="D116" s="1776"/>
      <c r="E116" s="1473">
        <f t="shared" si="15"/>
        <v>0</v>
      </c>
      <c r="F116" s="1865">
        <f t="shared" si="6"/>
        <v>0</v>
      </c>
      <c r="G116" s="1725">
        <f t="shared" si="16"/>
        <v>0</v>
      </c>
    </row>
    <row r="117" spans="1:7">
      <c r="A117" s="1586"/>
      <c r="B117" s="1599"/>
      <c r="C117" s="1587"/>
      <c r="D117" s="1776"/>
      <c r="E117" s="1473">
        <f t="shared" si="15"/>
        <v>0</v>
      </c>
      <c r="F117" s="1865">
        <f t="shared" si="6"/>
        <v>0</v>
      </c>
      <c r="G117" s="1725">
        <f t="shared" si="16"/>
        <v>0</v>
      </c>
    </row>
    <row r="118" spans="1:7">
      <c r="A118" s="1586"/>
      <c r="B118" s="1599"/>
      <c r="C118" s="1587"/>
      <c r="D118" s="1776"/>
      <c r="E118" s="1473">
        <f t="shared" si="15"/>
        <v>0</v>
      </c>
      <c r="F118" s="1865">
        <f t="shared" si="6"/>
        <v>0</v>
      </c>
      <c r="G118" s="1725">
        <f t="shared" si="16"/>
        <v>0</v>
      </c>
    </row>
    <row r="119" spans="1:7">
      <c r="A119" s="1586"/>
      <c r="B119" s="1599"/>
      <c r="C119" s="1587"/>
      <c r="D119" s="1776"/>
      <c r="E119" s="1473">
        <f t="shared" si="15"/>
        <v>0</v>
      </c>
      <c r="F119" s="1865">
        <f t="shared" si="6"/>
        <v>0</v>
      </c>
      <c r="G119" s="1725">
        <f t="shared" si="16"/>
        <v>0</v>
      </c>
    </row>
    <row r="120" spans="1:7">
      <c r="A120" s="1586"/>
      <c r="B120" s="1599"/>
      <c r="C120" s="1587"/>
      <c r="D120" s="1776"/>
      <c r="E120" s="1473">
        <f t="shared" si="15"/>
        <v>0</v>
      </c>
      <c r="F120" s="1865">
        <f t="shared" si="6"/>
        <v>0</v>
      </c>
      <c r="G120" s="1725">
        <f t="shared" si="16"/>
        <v>0</v>
      </c>
    </row>
    <row r="121" spans="1:7">
      <c r="A121" s="1586"/>
      <c r="B121" s="1599"/>
      <c r="C121" s="1587"/>
      <c r="D121" s="1776"/>
      <c r="E121" s="1473">
        <f t="shared" si="15"/>
        <v>0</v>
      </c>
      <c r="F121" s="1865">
        <f t="shared" si="6"/>
        <v>0</v>
      </c>
      <c r="G121" s="1725">
        <f t="shared" si="16"/>
        <v>0</v>
      </c>
    </row>
    <row r="122" spans="1:7">
      <c r="A122" s="1586"/>
      <c r="B122" s="1599"/>
      <c r="C122" s="1587"/>
      <c r="D122" s="1776"/>
      <c r="E122" s="1473">
        <f t="shared" si="15"/>
        <v>0</v>
      </c>
      <c r="F122" s="1865">
        <f t="shared" si="6"/>
        <v>0</v>
      </c>
      <c r="G122" s="1725">
        <f t="shared" si="16"/>
        <v>0</v>
      </c>
    </row>
    <row r="123" spans="1:7">
      <c r="A123" s="1586"/>
      <c r="B123" s="1599"/>
      <c r="C123" s="1587"/>
      <c r="D123" s="1776"/>
      <c r="E123" s="1473">
        <f t="shared" si="15"/>
        <v>0</v>
      </c>
      <c r="F123" s="1865">
        <f t="shared" si="6"/>
        <v>0</v>
      </c>
      <c r="G123" s="1725">
        <f t="shared" si="16"/>
        <v>0</v>
      </c>
    </row>
    <row r="124" spans="1:7">
      <c r="A124" s="1586"/>
      <c r="B124" s="1599"/>
      <c r="C124" s="1587"/>
      <c r="D124" s="1776"/>
      <c r="E124" s="1473">
        <f t="shared" si="15"/>
        <v>0</v>
      </c>
      <c r="F124" s="1865">
        <f t="shared" si="6"/>
        <v>0</v>
      </c>
      <c r="G124" s="1725">
        <f t="shared" si="16"/>
        <v>0</v>
      </c>
    </row>
    <row r="125" spans="1:7">
      <c r="A125" s="1586"/>
      <c r="B125" s="1599"/>
      <c r="C125" s="1587"/>
      <c r="D125" s="1776"/>
      <c r="E125" s="1473">
        <f t="shared" si="15"/>
        <v>0</v>
      </c>
      <c r="F125" s="1865">
        <f t="shared" si="6"/>
        <v>0</v>
      </c>
      <c r="G125" s="1725">
        <f t="shared" si="16"/>
        <v>0</v>
      </c>
    </row>
    <row r="126" spans="1:7">
      <c r="A126" s="1586"/>
      <c r="B126" s="1599"/>
      <c r="C126" s="1587"/>
      <c r="D126" s="1776"/>
      <c r="E126" s="1473">
        <f t="shared" ref="E126:E134" si="17">IF(D126&lt;=25000,D126,IF(D126&gt;25000,25000,0))</f>
        <v>0</v>
      </c>
      <c r="F126" s="1865">
        <f t="shared" si="6"/>
        <v>0</v>
      </c>
      <c r="G126" s="1725">
        <f t="shared" ref="G126:G134" si="18">IF(F126=0,0,D126-F126)</f>
        <v>0</v>
      </c>
    </row>
    <row r="127" spans="1:7">
      <c r="A127" s="1586"/>
      <c r="B127" s="1599"/>
      <c r="C127" s="1587"/>
      <c r="D127" s="1776"/>
      <c r="E127" s="1473">
        <f t="shared" si="17"/>
        <v>0</v>
      </c>
      <c r="F127" s="1865">
        <f t="shared" si="6"/>
        <v>0</v>
      </c>
      <c r="G127" s="1725">
        <f t="shared" si="18"/>
        <v>0</v>
      </c>
    </row>
    <row r="128" spans="1:7">
      <c r="A128" s="1586"/>
      <c r="B128" s="1599"/>
      <c r="C128" s="1587"/>
      <c r="D128" s="1776"/>
      <c r="E128" s="1473">
        <f t="shared" si="17"/>
        <v>0</v>
      </c>
      <c r="F128" s="1865">
        <f t="shared" si="6"/>
        <v>0</v>
      </c>
      <c r="G128" s="1725">
        <f t="shared" si="18"/>
        <v>0</v>
      </c>
    </row>
    <row r="129" spans="1:7">
      <c r="A129" s="1586"/>
      <c r="B129" s="1599"/>
      <c r="C129" s="1587"/>
      <c r="D129" s="1776"/>
      <c r="E129" s="1473">
        <f t="shared" si="17"/>
        <v>0</v>
      </c>
      <c r="F129" s="1865">
        <f t="shared" si="6"/>
        <v>0</v>
      </c>
      <c r="G129" s="1725">
        <f t="shared" si="18"/>
        <v>0</v>
      </c>
    </row>
    <row r="130" spans="1:7">
      <c r="A130" s="1586"/>
      <c r="B130" s="1599"/>
      <c r="C130" s="1587"/>
      <c r="D130" s="1776"/>
      <c r="E130" s="1473">
        <f t="shared" si="17"/>
        <v>0</v>
      </c>
      <c r="F130" s="1865">
        <f t="shared" si="6"/>
        <v>0</v>
      </c>
      <c r="G130" s="1725">
        <f t="shared" si="18"/>
        <v>0</v>
      </c>
    </row>
    <row r="131" spans="1:7">
      <c r="A131" s="1586"/>
      <c r="B131" s="1769"/>
      <c r="C131" s="1587"/>
      <c r="D131" s="1776"/>
      <c r="E131" s="1473">
        <f t="shared" si="17"/>
        <v>0</v>
      </c>
      <c r="F131" s="1865">
        <f t="shared" si="6"/>
        <v>0</v>
      </c>
      <c r="G131" s="1725">
        <f t="shared" si="18"/>
        <v>0</v>
      </c>
    </row>
    <row r="132" spans="1:7">
      <c r="A132" s="1586"/>
      <c r="B132" s="1769"/>
      <c r="C132" s="1587"/>
      <c r="D132" s="1776"/>
      <c r="E132" s="1473">
        <f t="shared" si="17"/>
        <v>0</v>
      </c>
      <c r="F132" s="1865">
        <f t="shared" si="6"/>
        <v>0</v>
      </c>
      <c r="G132" s="1725">
        <f t="shared" si="18"/>
        <v>0</v>
      </c>
    </row>
    <row r="133" spans="1:7">
      <c r="A133" s="1586"/>
      <c r="B133" s="1599"/>
      <c r="C133" s="1587"/>
      <c r="D133" s="1776"/>
      <c r="E133" s="1473">
        <f t="shared" si="17"/>
        <v>0</v>
      </c>
      <c r="F133" s="1865">
        <f t="shared" si="6"/>
        <v>0</v>
      </c>
      <c r="G133" s="1725">
        <f t="shared" si="18"/>
        <v>0</v>
      </c>
    </row>
    <row r="134" spans="1:7">
      <c r="A134" s="1586"/>
      <c r="B134" s="1599"/>
      <c r="C134" s="1587"/>
      <c r="D134" s="1776"/>
      <c r="E134" s="1473">
        <f t="shared" si="17"/>
        <v>0</v>
      </c>
      <c r="F134" s="1865">
        <f t="shared" si="6"/>
        <v>0</v>
      </c>
      <c r="G134" s="1725">
        <f t="shared" si="18"/>
        <v>0</v>
      </c>
    </row>
    <row r="135" spans="1:7">
      <c r="A135" s="1586"/>
      <c r="B135" s="1599"/>
      <c r="C135" s="1587"/>
      <c r="D135" s="1776"/>
      <c r="E135" s="1473">
        <f t="shared" ref="E135:E139" si="19">IF(D135&lt;=25000,D135,IF(D135&gt;25000,25000,0))</f>
        <v>0</v>
      </c>
      <c r="F135" s="1865">
        <f t="shared" si="6"/>
        <v>0</v>
      </c>
      <c r="G135" s="1725">
        <f t="shared" ref="G135:G139" si="20">IF(F135=0,0,D135-F135)</f>
        <v>0</v>
      </c>
    </row>
    <row r="136" spans="1:7">
      <c r="A136" s="1586"/>
      <c r="B136" s="1599"/>
      <c r="C136" s="1587"/>
      <c r="D136" s="1776"/>
      <c r="E136" s="1473">
        <f t="shared" si="19"/>
        <v>0</v>
      </c>
      <c r="F136" s="1865">
        <f t="shared" si="6"/>
        <v>0</v>
      </c>
      <c r="G136" s="1725">
        <f t="shared" si="20"/>
        <v>0</v>
      </c>
    </row>
    <row r="137" spans="1:7">
      <c r="A137" s="1586"/>
      <c r="B137" s="1599"/>
      <c r="C137" s="1587"/>
      <c r="D137" s="1776"/>
      <c r="E137" s="1473">
        <f t="shared" si="19"/>
        <v>0</v>
      </c>
      <c r="F137" s="1865">
        <f t="shared" si="6"/>
        <v>0</v>
      </c>
      <c r="G137" s="1725">
        <f t="shared" si="20"/>
        <v>0</v>
      </c>
    </row>
    <row r="138" spans="1:7">
      <c r="A138" s="1586"/>
      <c r="B138" s="1599"/>
      <c r="C138" s="1587"/>
      <c r="D138" s="1776"/>
      <c r="E138" s="1473">
        <f t="shared" si="19"/>
        <v>0</v>
      </c>
      <c r="F138" s="1865">
        <f t="shared" si="6"/>
        <v>0</v>
      </c>
      <c r="G138" s="1725">
        <f t="shared" si="20"/>
        <v>0</v>
      </c>
    </row>
    <row r="139" spans="1:7">
      <c r="A139" s="1586"/>
      <c r="B139" s="1599"/>
      <c r="C139" s="1587"/>
      <c r="D139" s="1776"/>
      <c r="E139" s="1473">
        <f t="shared" si="19"/>
        <v>0</v>
      </c>
      <c r="F139" s="1865">
        <f t="shared" si="6"/>
        <v>0</v>
      </c>
      <c r="G139" s="1725">
        <f t="shared" si="20"/>
        <v>0</v>
      </c>
    </row>
    <row r="140" spans="1:7">
      <c r="A140" s="1586"/>
      <c r="B140" s="1598"/>
      <c r="C140" s="1587"/>
      <c r="D140" s="1776"/>
      <c r="E140" s="1473">
        <f t="shared" si="2"/>
        <v>0</v>
      </c>
      <c r="F140" s="1865">
        <f t="shared" si="6"/>
        <v>0</v>
      </c>
      <c r="G140" s="1725">
        <f t="shared" si="3"/>
        <v>0</v>
      </c>
    </row>
    <row r="141" spans="1:7">
      <c r="A141" s="1728" t="s">
        <v>156</v>
      </c>
      <c r="B141" s="1729"/>
      <c r="C141" s="1730"/>
      <c r="D141" s="1726">
        <f>SUM(D17:D140)</f>
        <v>0.1</v>
      </c>
      <c r="E141" s="1474">
        <f t="shared" si="0"/>
        <v>0.1</v>
      </c>
      <c r="F141" s="1866">
        <f>SUM(F17:F140)</f>
        <v>0</v>
      </c>
      <c r="G141" s="172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T15" sqref="T15:AA15"/>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4" customHeight="1">
      <c r="A1" s="1567" t="s">
        <v>1115</v>
      </c>
      <c r="B1" s="1568"/>
      <c r="C1" s="1569"/>
    </row>
    <row r="2" spans="1:9">
      <c r="A2" s="952" t="s">
        <v>1116</v>
      </c>
      <c r="B2" s="953"/>
      <c r="C2" s="953"/>
      <c r="D2" s="953"/>
      <c r="E2" s="954"/>
      <c r="F2" s="954"/>
      <c r="G2" s="955"/>
    </row>
    <row r="3" spans="1:9" ht="12" customHeight="1">
      <c r="A3" s="956" t="s">
        <v>1335</v>
      </c>
      <c r="B3" s="957"/>
      <c r="C3" s="957"/>
      <c r="D3" s="957"/>
      <c r="E3" s="958"/>
      <c r="F3" s="958"/>
      <c r="G3" s="959"/>
    </row>
    <row r="4" spans="1:9">
      <c r="A4" s="960" t="s">
        <v>755</v>
      </c>
      <c r="B4" s="961"/>
      <c r="C4" s="961"/>
      <c r="D4" s="961"/>
      <c r="E4" s="962"/>
      <c r="F4" s="963"/>
      <c r="G4" s="964"/>
      <c r="H4" s="252"/>
      <c r="I4" s="252"/>
    </row>
    <row r="5" spans="1:9" s="343" customFormat="1" ht="57" customHeight="1">
      <c r="A5" s="2290" t="s">
        <v>1652</v>
      </c>
      <c r="B5" s="2291"/>
      <c r="C5" s="2291"/>
      <c r="D5" s="2291"/>
      <c r="E5" s="2291"/>
      <c r="F5" s="2291"/>
      <c r="G5" s="2292"/>
      <c r="H5" s="252"/>
      <c r="I5" s="609"/>
    </row>
    <row r="6" spans="1:9" s="668" customFormat="1">
      <c r="A6" s="1570"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1893</v>
      </c>
      <c r="B10" s="971"/>
      <c r="C10" s="976"/>
      <c r="D10" s="972"/>
      <c r="E10" s="973"/>
      <c r="F10" s="974"/>
      <c r="G10" s="975"/>
      <c r="H10" s="162"/>
      <c r="I10" s="162"/>
    </row>
    <row r="11" spans="1:9" s="668" customFormat="1" ht="22.5" customHeight="1">
      <c r="A11" s="2295" t="s">
        <v>1937</v>
      </c>
      <c r="B11" s="2296"/>
      <c r="C11" s="2296"/>
      <c r="D11" s="2297"/>
      <c r="E11" s="977">
        <v>73597</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1355</v>
      </c>
      <c r="B16" s="983"/>
      <c r="C16" s="984"/>
      <c r="D16" s="963"/>
      <c r="E16" s="958"/>
      <c r="F16" s="958"/>
      <c r="G16" s="959"/>
      <c r="H16" s="162"/>
      <c r="I16" s="162"/>
    </row>
    <row r="17" spans="1:9" s="668" customFormat="1" ht="12" customHeight="1">
      <c r="A17" s="985"/>
      <c r="B17" s="986"/>
      <c r="C17" s="329"/>
      <c r="D17" s="1571" t="s">
        <v>532</v>
      </c>
      <c r="E17" s="1572"/>
      <c r="F17" s="1571" t="s">
        <v>433</v>
      </c>
      <c r="G17" s="1573"/>
      <c r="H17" s="162"/>
      <c r="I17" s="162"/>
    </row>
    <row r="18" spans="1:9" s="259" customFormat="1" ht="11.25">
      <c r="A18" s="988"/>
      <c r="C18" s="989" t="s">
        <v>434</v>
      </c>
      <c r="D18" s="1574" t="s">
        <v>435</v>
      </c>
      <c r="E18" s="1574" t="s">
        <v>53</v>
      </c>
      <c r="F18" s="1574" t="s">
        <v>435</v>
      </c>
      <c r="G18" s="1574" t="s">
        <v>53</v>
      </c>
      <c r="H18" s="178"/>
      <c r="I18" s="178"/>
    </row>
    <row r="19" spans="1:9" s="668" customFormat="1" ht="12" customHeight="1">
      <c r="A19" s="990" t="s">
        <v>456</v>
      </c>
      <c r="B19" s="991"/>
      <c r="C19" s="992" t="s">
        <v>570</v>
      </c>
      <c r="D19" s="1731"/>
      <c r="E19" s="1732">
        <f>'Expenditures 15-22'!K33-SUM('Expenditures 15-22'!G33,'Expenditures 15-22'!I33)+'Expenditures 15-22'!D229</f>
        <v>15018583</v>
      </c>
      <c r="F19" s="1731"/>
      <c r="G19" s="1733">
        <f>'Expenditures 15-22'!K33-SUM('Expenditures 15-22'!G33,'Expenditures 15-22'!I33)+'Expenditures 15-22'!D229</f>
        <v>15018583</v>
      </c>
      <c r="H19" s="987"/>
      <c r="I19" s="162"/>
    </row>
    <row r="20" spans="1:9" s="668" customFormat="1" ht="12" customHeight="1">
      <c r="A20" s="990" t="s">
        <v>54</v>
      </c>
      <c r="B20" s="991"/>
      <c r="C20" s="993"/>
      <c r="D20" s="1734"/>
      <c r="E20" s="1734"/>
      <c r="F20" s="1734"/>
      <c r="G20" s="1735"/>
      <c r="H20" s="987"/>
      <c r="I20" s="162"/>
    </row>
    <row r="21" spans="1:9" s="668" customFormat="1" ht="12" customHeight="1">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1096391</v>
      </c>
      <c r="F21" s="1734"/>
      <c r="G21" s="1737">
        <f>'Expenditures 15-22'!K42-SUM('Expenditures 15-22'!G42,'Expenditures 15-22'!I42)+'Expenditures 15-22'!K120-SUM('Expenditures 15-22'!G120,'Expenditures 15-22'!I120)+'Expenditures 15-22'!K180-SUM('Expenditures 15-22'!G180,'Expenditures 15-22'!I180)+'Expenditures 15-22'!D238</f>
        <v>1096391</v>
      </c>
      <c r="H21" s="987"/>
      <c r="I21" s="162"/>
    </row>
    <row r="22" spans="1:9" s="668" customFormat="1" ht="12" customHeight="1">
      <c r="A22" s="994" t="s">
        <v>564</v>
      </c>
      <c r="B22" s="995"/>
      <c r="C22" s="993">
        <v>2200</v>
      </c>
      <c r="D22" s="1734"/>
      <c r="E22" s="1736">
        <f>'Expenditures 15-22'!K47-SUM('Expenditures 15-22'!G47,'Expenditures 15-22'!I47)+'Expenditures 15-22'!D243</f>
        <v>644398</v>
      </c>
      <c r="F22" s="1734"/>
      <c r="G22" s="1737">
        <f>'Expenditures 15-22'!K47-SUM('Expenditures 15-22'!G47,'Expenditures 15-22'!I47)+'Expenditures 15-22'!D243</f>
        <v>644398</v>
      </c>
      <c r="H22" s="987"/>
      <c r="I22" s="162"/>
    </row>
    <row r="23" spans="1:9" s="668" customFormat="1" ht="12" customHeight="1">
      <c r="A23" s="994" t="s">
        <v>565</v>
      </c>
      <c r="B23" s="995"/>
      <c r="C23" s="993">
        <v>2300</v>
      </c>
      <c r="D23" s="1734"/>
      <c r="E23" s="1736">
        <f>'Expenditures 15-22'!K53-SUM('Expenditures 15-22'!G53,'Expenditures 15-22'!I53)+'Expenditures 15-22'!D257+'Expenditures 15-22'!K330-SUM('Expenditures 15-22'!G330,'Expenditures 15-22'!I330)</f>
        <v>1732930</v>
      </c>
      <c r="F23" s="1734"/>
      <c r="G23" s="1736">
        <f>'Expenditures 15-22'!K53-SUM('Expenditures 15-22'!G53,'Expenditures 15-22'!I53)+'Expenditures 15-22'!D257+'Expenditures 15-22'!K330-SUM('Expenditures 15-22'!G330,'Expenditures 15-22'!I330)</f>
        <v>1732930</v>
      </c>
      <c r="H23" s="987"/>
      <c r="I23" s="162"/>
    </row>
    <row r="24" spans="1:9" s="668" customFormat="1" ht="12" customHeight="1">
      <c r="A24" s="994" t="s">
        <v>566</v>
      </c>
      <c r="B24" s="995"/>
      <c r="C24" s="993">
        <v>2400</v>
      </c>
      <c r="D24" s="1734"/>
      <c r="E24" s="1736">
        <f>'Expenditures 15-22'!K57-SUM('Expenditures 15-22'!G57,'Expenditures 15-22'!I57)+'Expenditures 15-22'!D261</f>
        <v>1628636</v>
      </c>
      <c r="F24" s="1734"/>
      <c r="G24" s="1737">
        <f>'Expenditures 15-22'!K57-SUM('Expenditures 15-22'!G57,'Expenditures 15-22'!I57)+'Expenditures 15-22'!D261</f>
        <v>1628636</v>
      </c>
      <c r="H24" s="987"/>
      <c r="I24" s="162"/>
    </row>
    <row r="25" spans="1:9" s="668" customFormat="1" ht="12" customHeight="1">
      <c r="A25" s="990" t="s">
        <v>567</v>
      </c>
      <c r="B25" s="996"/>
      <c r="C25" s="993"/>
      <c r="D25" s="1734"/>
      <c r="E25" s="1736"/>
      <c r="F25" s="1734"/>
      <c r="G25" s="1737"/>
      <c r="H25" s="987"/>
      <c r="I25" s="162"/>
    </row>
    <row r="26" spans="1:9" s="668" customFormat="1" ht="12" customHeight="1">
      <c r="A26" s="994" t="s">
        <v>515</v>
      </c>
      <c r="B26" s="997"/>
      <c r="C26" s="993">
        <v>2510</v>
      </c>
      <c r="D26" s="1736">
        <f>'Expenditures 15-22'!K59-SUM('Expenditures 15-22'!G59,'Expenditures 15-22'!I59)+'Expenditures 15-22'!D263-E7</f>
        <v>209356</v>
      </c>
      <c r="E26" s="1736">
        <f>'Expenditures 15-22'!K122-SUM('Expenditures 15-22'!G122,'Expenditures 15-22'!I122)+E7</f>
        <v>0</v>
      </c>
      <c r="F26" s="1736">
        <f>'Expenditures 15-22'!K59-SUM('Expenditures 15-22'!G59,'Expenditures 15-22'!I59)+'Expenditures 15-22'!D263-E7</f>
        <v>209356</v>
      </c>
      <c r="G26" s="1737">
        <f>'Expenditures 15-22'!K122-SUM('Expenditures 15-22'!G122,'Expenditures 15-22'!I122)+E7</f>
        <v>0</v>
      </c>
      <c r="H26" s="987"/>
      <c r="I26" s="162"/>
    </row>
    <row r="27" spans="1:9" s="668" customFormat="1" ht="12" customHeight="1">
      <c r="A27" s="994" t="s">
        <v>463</v>
      </c>
      <c r="B27" s="997"/>
      <c r="C27" s="993">
        <v>2520</v>
      </c>
      <c r="D27" s="1736">
        <f>'Expenditures 15-22'!K60-SUM('Expenditures 15-22'!G60,'Expenditures 15-22'!I60)+'Expenditures 15-22'!D264-E8</f>
        <v>43360</v>
      </c>
      <c r="E27" s="1736">
        <f>E8</f>
        <v>0</v>
      </c>
      <c r="F27" s="1736">
        <f>'Expenditures 15-22'!K60-SUM('Expenditures 15-22'!G60,'Expenditures 15-22'!I60)+'Expenditures 15-22'!D264-E8</f>
        <v>43360</v>
      </c>
      <c r="G27" s="1737">
        <f>E8</f>
        <v>0</v>
      </c>
      <c r="H27" s="987"/>
      <c r="I27" s="162"/>
    </row>
    <row r="28" spans="1:9" s="668" customFormat="1" ht="12" customHeight="1">
      <c r="A28" s="994" t="s">
        <v>516</v>
      </c>
      <c r="B28" s="997"/>
      <c r="C28" s="993">
        <v>2540</v>
      </c>
      <c r="D28" s="1738"/>
      <c r="E28" s="1736">
        <f>'Expenditures 15-22'!K61-SUM('Expenditures 15-22'!G61,'Expenditures 15-22'!I61)+'Expenditures 15-22'!K124-SUM('Expenditures 15-22'!G124,'Expenditures 15-22'!I124)+'Expenditures 15-22'!D266</f>
        <v>2163487</v>
      </c>
      <c r="F28" s="1738">
        <f>'Expenditures 15-22'!K61-SUM('Expenditures 15-22'!G61,'Expenditures 15-22'!I61)+'Expenditures 15-22'!K124-SUM('Expenditures 15-22'!G124,'Expenditures 15-22'!I124)+'Expenditures 15-22'!D266-E9</f>
        <v>2163487</v>
      </c>
      <c r="G28" s="1737">
        <f>E9</f>
        <v>0</v>
      </c>
      <c r="H28" s="987"/>
      <c r="I28" s="162"/>
    </row>
    <row r="29" spans="1:9" ht="12" customHeight="1">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2264381</v>
      </c>
      <c r="F29" s="1734"/>
      <c r="G29" s="1737">
        <f>'Expenditures 15-22'!K62-SUM('Expenditures 15-22'!G62,'Expenditures 15-22'!I62)+'Expenditures 15-22'!K125-SUM('Expenditures 15-22'!G125,'Expenditures 15-22'!I125)+'Expenditures 15-22'!K182-SUM('Expenditures 15-22'!G182,'Expenditures 15-22'!I182)+'Expenditures 15-22'!D267</f>
        <v>2264381</v>
      </c>
      <c r="H29" s="985"/>
    </row>
    <row r="30" spans="1:9" ht="12" customHeight="1">
      <c r="A30" s="994" t="s">
        <v>100</v>
      </c>
      <c r="B30" s="997"/>
      <c r="C30" s="993">
        <v>2560</v>
      </c>
      <c r="D30" s="1734"/>
      <c r="E30" s="1736">
        <f>'Expenditures 15-22'!K63-SUM('Expenditures 15-22'!G63,'Expenditures 15-22'!I63)+'Expenditures 15-22'!D268-E10</f>
        <v>633552</v>
      </c>
      <c r="F30" s="1734"/>
      <c r="G30" s="1736">
        <f>'Expenditures 15-22'!K63-SUM('Expenditures 15-22'!G63,'Expenditures 15-22'!I63)+'Expenditures 15-22'!D268-E10</f>
        <v>633552</v>
      </c>
    </row>
    <row r="31" spans="1:9" ht="12" customHeight="1">
      <c r="A31" s="994" t="s">
        <v>101</v>
      </c>
      <c r="B31" s="997"/>
      <c r="C31" s="993">
        <v>2570</v>
      </c>
      <c r="D31" s="1736">
        <f>'Expenditures 15-22'!K64-SUM('Expenditures 15-22'!G64,'Expenditures 15-22'!I64)+'Expenditures 15-22'!D269-E12</f>
        <v>46935</v>
      </c>
      <c r="E31" s="1736">
        <f>E12</f>
        <v>0</v>
      </c>
      <c r="F31" s="1736">
        <f>'Expenditures 15-22'!K64-SUM('Expenditures 15-22'!G64,'Expenditures 15-22'!I64)+'Expenditures 15-22'!D269-E12</f>
        <v>46935</v>
      </c>
      <c r="G31" s="1736">
        <f>E12</f>
        <v>0</v>
      </c>
    </row>
    <row r="32" spans="1:9" ht="12" customHeight="1">
      <c r="A32" s="990" t="s">
        <v>518</v>
      </c>
      <c r="B32" s="996"/>
      <c r="C32" s="993"/>
      <c r="D32" s="1734"/>
      <c r="E32" s="1734"/>
      <c r="F32" s="1734"/>
      <c r="G32" s="1734"/>
    </row>
    <row r="33" spans="1:7" ht="12" customHeight="1">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c r="A36" s="994" t="s">
        <v>403</v>
      </c>
      <c r="B36" s="997"/>
      <c r="C36" s="993">
        <v>2640</v>
      </c>
      <c r="D36" s="1736">
        <f>'Expenditures 15-22'!K70-SUM('Expenditures 15-22'!G70,'Expenditures 15-22'!I70)+'Expenditures 15-22'!D275-E13</f>
        <v>0</v>
      </c>
      <c r="E36" s="1736">
        <f>E13</f>
        <v>0</v>
      </c>
      <c r="F36" s="1736">
        <f>'Expenditures 15-22'!K70-SUM('Expenditures 15-22'!G70,'Expenditures 15-22'!I70)+'Expenditures 15-22'!D275-E13</f>
        <v>0</v>
      </c>
      <c r="G36" s="1736">
        <f>E13</f>
        <v>0</v>
      </c>
    </row>
    <row r="37" spans="1:7" ht="12" customHeight="1">
      <c r="A37" s="994" t="s">
        <v>404</v>
      </c>
      <c r="B37" s="997"/>
      <c r="C37" s="993">
        <v>2660</v>
      </c>
      <c r="D37" s="1736">
        <f>'Expenditures 15-22'!K71-SUM('Expenditures 15-22'!G71,'Expenditures 15-22'!I71)+'Expenditures 15-22'!D276-E14</f>
        <v>0</v>
      </c>
      <c r="E37" s="1736">
        <f>E14</f>
        <v>0</v>
      </c>
      <c r="F37" s="1736">
        <f>'Expenditures 15-22'!K71-SUM('Expenditures 15-22'!G71,'Expenditures 15-22'!I71)+'Expenditures 15-22'!D276-E14</f>
        <v>0</v>
      </c>
      <c r="G37" s="1736">
        <f>E14</f>
        <v>0</v>
      </c>
    </row>
    <row r="38" spans="1:7" ht="12" customHeight="1">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0</v>
      </c>
      <c r="F38" s="1734"/>
      <c r="G38" s="1736">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55747</v>
      </c>
      <c r="F39" s="1734"/>
      <c r="G39" s="1736">
        <f>'Expenditures 15-22'!K75-SUM('Expenditures 15-22'!G75,'Expenditures 15-22'!I75)+'Expenditures 15-22'!K130-SUM('Expenditures 15-22'!G130,'Expenditures 15-22'!I130)+'Expenditures 15-22'!K185-SUM('Expenditures 15-22'!G185,'Expenditures 15-22'!I185)+'Expenditures 15-22'!D280</f>
        <v>55747</v>
      </c>
    </row>
    <row r="40" spans="1:7" ht="12" customHeight="1">
      <c r="A40" s="990" t="s">
        <v>1785</v>
      </c>
      <c r="B40" s="991"/>
      <c r="C40" s="993"/>
      <c r="D40" s="1734"/>
      <c r="E40" s="1738">
        <f>-'Contracts Paid in CY 29'!G141</f>
        <v>0</v>
      </c>
      <c r="F40" s="1734"/>
      <c r="G40" s="1738">
        <f>-'Contracts Paid in CY 29'!G141</f>
        <v>0</v>
      </c>
    </row>
    <row r="41" spans="1:7" ht="12" customHeight="1">
      <c r="A41" s="998" t="s">
        <v>156</v>
      </c>
      <c r="B41" s="999"/>
      <c r="C41" s="1000"/>
      <c r="D41" s="1738">
        <f>SUM(D19:D39)</f>
        <v>299651</v>
      </c>
      <c r="E41" s="1738">
        <f>SUM(E19:E40)</f>
        <v>25238105</v>
      </c>
      <c r="F41" s="1738">
        <f>SUM(F19:F39)</f>
        <v>2463138</v>
      </c>
      <c r="G41" s="1738">
        <f>SUM(G19:G40)</f>
        <v>23074618</v>
      </c>
    </row>
    <row r="42" spans="1:7">
      <c r="A42" s="987"/>
      <c r="B42" s="162"/>
      <c r="C42" s="1001"/>
      <c r="D42" s="2293" t="s">
        <v>522</v>
      </c>
      <c r="E42" s="2294"/>
      <c r="F42" s="1002" t="s">
        <v>523</v>
      </c>
      <c r="G42" s="1003"/>
    </row>
    <row r="43" spans="1:7" ht="12" customHeight="1">
      <c r="A43" s="987"/>
      <c r="B43" s="162"/>
      <c r="C43" s="1001"/>
      <c r="D43" s="1739" t="s">
        <v>473</v>
      </c>
      <c r="E43" s="1740">
        <f>D41</f>
        <v>299651</v>
      </c>
      <c r="F43" s="1739" t="s">
        <v>473</v>
      </c>
      <c r="G43" s="1740">
        <f>F41</f>
        <v>2463138</v>
      </c>
    </row>
    <row r="44" spans="1:7" ht="12" customHeight="1">
      <c r="A44" s="987"/>
      <c r="B44" s="162"/>
      <c r="C44" s="1001"/>
      <c r="D44" s="1739" t="s">
        <v>474</v>
      </c>
      <c r="E44" s="1740">
        <f>E41</f>
        <v>25238105</v>
      </c>
      <c r="F44" s="1739" t="s">
        <v>474</v>
      </c>
      <c r="G44" s="1740">
        <f>G41</f>
        <v>23074618</v>
      </c>
    </row>
    <row r="45" spans="1:7" ht="12" customHeight="1">
      <c r="A45" s="987"/>
      <c r="B45" s="162"/>
      <c r="C45" s="162"/>
      <c r="D45" s="1741" t="s">
        <v>1006</v>
      </c>
      <c r="E45" s="1742">
        <f>(E43/E44)</f>
        <v>1.1872959558572246E-2</v>
      </c>
      <c r="F45" s="1741" t="s">
        <v>1006</v>
      </c>
      <c r="G45" s="1742">
        <f>(G43/G44)</f>
        <v>0.10674664256630381</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T15" sqref="T15:AA15"/>
      <selection pane="bottomLeft" activeCell="T15" sqref="T15:AA15"/>
    </sheetView>
  </sheetViews>
  <sheetFormatPr defaultColWidth="9.140625" defaultRowHeight="12.75"/>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c r="A1" s="2312" t="s">
        <v>1358</v>
      </c>
      <c r="B1" s="2312"/>
      <c r="C1" s="2312"/>
      <c r="D1" s="2312"/>
      <c r="E1" s="2312"/>
      <c r="F1" s="2312"/>
    </row>
    <row r="2" spans="1:10">
      <c r="A2" s="1819" t="s">
        <v>1872</v>
      </c>
      <c r="B2" s="1780"/>
      <c r="C2" s="1819"/>
      <c r="D2" s="1780"/>
      <c r="E2" s="1780"/>
      <c r="F2" s="1781"/>
    </row>
    <row r="3" spans="1:10">
      <c r="A3" s="1819" t="s">
        <v>1938</v>
      </c>
      <c r="B3" s="1780"/>
      <c r="C3" s="1819"/>
      <c r="D3" s="1780"/>
      <c r="E3" s="1780"/>
      <c r="F3" s="1781"/>
    </row>
    <row r="4" spans="1:10" ht="3.75" customHeight="1">
      <c r="A4" s="1780"/>
      <c r="B4" s="1780"/>
      <c r="C4" s="1780"/>
      <c r="D4" s="1780"/>
      <c r="E4" s="1780"/>
      <c r="F4" s="1781"/>
    </row>
    <row r="5" spans="1:10" ht="15">
      <c r="A5" s="2313" t="s">
        <v>1525</v>
      </c>
      <c r="B5" s="2314"/>
      <c r="C5" s="2315"/>
      <c r="D5" s="2315"/>
      <c r="E5" s="2315"/>
      <c r="F5" s="2315"/>
    </row>
    <row r="6" spans="1:10" ht="12" customHeight="1">
      <c r="A6" s="1782"/>
      <c r="B6" s="1783"/>
      <c r="C6" s="2316" t="str">
        <f>COVER!A17</f>
        <v>Dixon USD 170</v>
      </c>
      <c r="D6" s="2316"/>
      <c r="E6" s="2316"/>
      <c r="F6" s="1784"/>
    </row>
    <row r="7" spans="1:10" ht="11.25" customHeight="1" thickBot="1">
      <c r="A7" s="1782"/>
      <c r="B7" s="1783"/>
      <c r="C7" s="2317">
        <f>COVER!A13</f>
        <v>47052170022</v>
      </c>
      <c r="D7" s="2317"/>
      <c r="E7" s="2317"/>
      <c r="F7" s="1784"/>
    </row>
    <row r="8" spans="1:10" ht="25.5" customHeight="1" thickBot="1">
      <c r="A8" s="1825" t="s">
        <v>1868</v>
      </c>
      <c r="B8" s="1785"/>
      <c r="C8" s="1821" t="s">
        <v>1654</v>
      </c>
      <c r="D8" s="1820" t="s">
        <v>1655</v>
      </c>
      <c r="E8" s="1822" t="s">
        <v>1359</v>
      </c>
      <c r="F8" s="1820" t="s">
        <v>1656</v>
      </c>
      <c r="H8" s="1786" t="b">
        <v>0</v>
      </c>
    </row>
    <row r="9" spans="1:10" ht="15.75" customHeight="1">
      <c r="A9" s="1787" t="s">
        <v>1521</v>
      </c>
      <c r="B9" s="1788"/>
      <c r="C9" s="1789"/>
      <c r="D9" s="1789"/>
      <c r="E9" s="1790"/>
      <c r="F9" s="1791"/>
    </row>
    <row r="10" spans="1:10" ht="27.75" customHeight="1">
      <c r="A10" s="1792" t="s">
        <v>1653</v>
      </c>
      <c r="B10" s="1793"/>
      <c r="C10" s="1794"/>
      <c r="D10" s="1794"/>
      <c r="E10" s="1823" t="s">
        <v>1360</v>
      </c>
      <c r="F10" s="1824" t="s">
        <v>1361</v>
      </c>
    </row>
    <row r="11" spans="1:10" ht="12" customHeight="1">
      <c r="A11" s="1795" t="s">
        <v>1362</v>
      </c>
      <c r="B11" s="1796"/>
      <c r="C11" s="1797"/>
      <c r="D11" s="1797"/>
      <c r="E11" s="1798"/>
      <c r="F11" s="1799"/>
      <c r="H11" s="1810">
        <f>IF(C11="X",5,0)</f>
        <v>0</v>
      </c>
      <c r="I11" s="1810">
        <f>IF(D11="X",5,0)</f>
        <v>0</v>
      </c>
      <c r="J11" s="1810">
        <f>IF(E11="X",5,0)</f>
        <v>0</v>
      </c>
    </row>
    <row r="12" spans="1:10" ht="12" customHeight="1">
      <c r="A12" s="1795" t="s">
        <v>1363</v>
      </c>
      <c r="B12" s="1796"/>
      <c r="C12" s="1797"/>
      <c r="D12" s="1797"/>
      <c r="E12" s="1800"/>
      <c r="F12" s="1799"/>
      <c r="H12" s="1810">
        <f t="shared" ref="H12:H33" si="0">IF(C12="X",5,0)</f>
        <v>0</v>
      </c>
      <c r="I12" s="1810">
        <f t="shared" ref="I12:I33" si="1">IF(D12="X",5,0)</f>
        <v>0</v>
      </c>
      <c r="J12" s="1810">
        <f t="shared" ref="J12:J33" si="2">IF(E12="X",5,0)</f>
        <v>0</v>
      </c>
    </row>
    <row r="13" spans="1:10" ht="12" customHeight="1">
      <c r="A13" s="1795" t="s">
        <v>1364</v>
      </c>
      <c r="B13" s="1796"/>
      <c r="C13" s="1797"/>
      <c r="D13" s="1797"/>
      <c r="E13" s="1800"/>
      <c r="F13" s="1799"/>
      <c r="H13" s="1810">
        <f t="shared" si="0"/>
        <v>0</v>
      </c>
      <c r="I13" s="1810">
        <f t="shared" si="1"/>
        <v>0</v>
      </c>
      <c r="J13" s="1810">
        <f t="shared" si="2"/>
        <v>0</v>
      </c>
    </row>
    <row r="14" spans="1:10" ht="12" customHeight="1">
      <c r="A14" s="1795" t="s">
        <v>1365</v>
      </c>
      <c r="B14" s="1796"/>
      <c r="C14" s="1797"/>
      <c r="D14" s="1797"/>
      <c r="E14" s="1800"/>
      <c r="F14" s="1799"/>
      <c r="H14" s="1810">
        <f t="shared" si="0"/>
        <v>0</v>
      </c>
      <c r="I14" s="1810">
        <f t="shared" si="1"/>
        <v>0</v>
      </c>
      <c r="J14" s="1810">
        <f t="shared" si="2"/>
        <v>0</v>
      </c>
    </row>
    <row r="15" spans="1:10" ht="12" customHeight="1">
      <c r="A15" s="1795" t="s">
        <v>1366</v>
      </c>
      <c r="B15" s="1796"/>
      <c r="C15" s="1797"/>
      <c r="D15" s="1797"/>
      <c r="E15" s="1800"/>
      <c r="F15" s="1799"/>
      <c r="H15" s="1810">
        <f t="shared" si="0"/>
        <v>0</v>
      </c>
      <c r="I15" s="1810">
        <f t="shared" si="1"/>
        <v>0</v>
      </c>
      <c r="J15" s="1810">
        <f t="shared" si="2"/>
        <v>0</v>
      </c>
    </row>
    <row r="16" spans="1:10" ht="12" customHeight="1">
      <c r="A16" s="1795" t="s">
        <v>1367</v>
      </c>
      <c r="B16" s="1796"/>
      <c r="C16" s="1797"/>
      <c r="D16" s="1797"/>
      <c r="E16" s="1800"/>
      <c r="F16" s="1799"/>
      <c r="H16" s="1810">
        <f t="shared" si="0"/>
        <v>0</v>
      </c>
      <c r="I16" s="1810">
        <f t="shared" si="1"/>
        <v>0</v>
      </c>
      <c r="J16" s="1810">
        <f t="shared" si="2"/>
        <v>0</v>
      </c>
    </row>
    <row r="17" spans="1:12" ht="12" customHeight="1">
      <c r="A17" s="1795" t="s">
        <v>1368</v>
      </c>
      <c r="B17" s="1796"/>
      <c r="C17" s="1797"/>
      <c r="D17" s="1797"/>
      <c r="E17" s="1800"/>
      <c r="F17" s="1799"/>
      <c r="H17" s="1810">
        <f t="shared" si="0"/>
        <v>0</v>
      </c>
      <c r="I17" s="1810">
        <f t="shared" si="1"/>
        <v>0</v>
      </c>
      <c r="J17" s="1810">
        <f t="shared" si="2"/>
        <v>0</v>
      </c>
    </row>
    <row r="18" spans="1:12" ht="12" customHeight="1">
      <c r="A18" s="1795" t="s">
        <v>1369</v>
      </c>
      <c r="B18" s="1796"/>
      <c r="C18" s="1797"/>
      <c r="D18" s="1797"/>
      <c r="E18" s="1800"/>
      <c r="F18" s="1799"/>
      <c r="H18" s="1810">
        <f t="shared" si="0"/>
        <v>0</v>
      </c>
      <c r="I18" s="1810">
        <f t="shared" si="1"/>
        <v>0</v>
      </c>
      <c r="J18" s="1810">
        <f t="shared" si="2"/>
        <v>0</v>
      </c>
    </row>
    <row r="19" spans="1:12" ht="12" customHeight="1">
      <c r="A19" s="1795" t="s">
        <v>1506</v>
      </c>
      <c r="B19" s="1796"/>
      <c r="C19" s="1797"/>
      <c r="D19" s="1797"/>
      <c r="E19" s="1800"/>
      <c r="F19" s="1799"/>
      <c r="H19" s="1810">
        <f t="shared" si="0"/>
        <v>0</v>
      </c>
      <c r="I19" s="1810">
        <f t="shared" si="1"/>
        <v>0</v>
      </c>
      <c r="J19" s="1810">
        <f t="shared" si="2"/>
        <v>0</v>
      </c>
    </row>
    <row r="20" spans="1:12" ht="12" customHeight="1">
      <c r="A20" s="1795" t="s">
        <v>1507</v>
      </c>
      <c r="B20" s="1796"/>
      <c r="C20" s="1797"/>
      <c r="D20" s="1797"/>
      <c r="E20" s="1800"/>
      <c r="F20" s="1799"/>
      <c r="H20" s="1810">
        <f t="shared" si="0"/>
        <v>0</v>
      </c>
      <c r="I20" s="1810">
        <f t="shared" si="1"/>
        <v>0</v>
      </c>
      <c r="J20" s="1810">
        <f t="shared" si="2"/>
        <v>0</v>
      </c>
    </row>
    <row r="21" spans="1:12" ht="12" customHeight="1">
      <c r="A21" s="1795" t="s">
        <v>1508</v>
      </c>
      <c r="B21" s="1796"/>
      <c r="C21" s="1797"/>
      <c r="D21" s="1797"/>
      <c r="E21" s="1800"/>
      <c r="F21" s="1799"/>
      <c r="H21" s="1810">
        <f t="shared" si="0"/>
        <v>0</v>
      </c>
      <c r="I21" s="1810">
        <f t="shared" si="1"/>
        <v>0</v>
      </c>
      <c r="J21" s="1810">
        <f t="shared" si="2"/>
        <v>0</v>
      </c>
    </row>
    <row r="22" spans="1:12" ht="12" customHeight="1">
      <c r="A22" s="1795" t="s">
        <v>1509</v>
      </c>
      <c r="B22" s="1796"/>
      <c r="C22" s="1797"/>
      <c r="D22" s="1797"/>
      <c r="E22" s="1800"/>
      <c r="F22" s="1799"/>
      <c r="H22" s="1810">
        <f t="shared" si="0"/>
        <v>0</v>
      </c>
      <c r="I22" s="1810">
        <f t="shared" si="1"/>
        <v>0</v>
      </c>
      <c r="J22" s="1810">
        <f t="shared" si="2"/>
        <v>0</v>
      </c>
    </row>
    <row r="23" spans="1:12" ht="12" customHeight="1">
      <c r="A23" s="1795" t="s">
        <v>1510</v>
      </c>
      <c r="B23" s="1796"/>
      <c r="C23" s="1797"/>
      <c r="D23" s="1797"/>
      <c r="E23" s="1800"/>
      <c r="F23" s="1799"/>
      <c r="H23" s="1810">
        <f t="shared" si="0"/>
        <v>0</v>
      </c>
      <c r="I23" s="1810">
        <f t="shared" si="1"/>
        <v>0</v>
      </c>
      <c r="J23" s="1810">
        <f t="shared" si="2"/>
        <v>0</v>
      </c>
    </row>
    <row r="24" spans="1:12" ht="12" customHeight="1">
      <c r="A24" s="1795" t="s">
        <v>1511</v>
      </c>
      <c r="B24" s="1796"/>
      <c r="C24" s="1797"/>
      <c r="D24" s="1797"/>
      <c r="E24" s="1800"/>
      <c r="F24" s="1799"/>
      <c r="H24" s="1810">
        <f t="shared" si="0"/>
        <v>0</v>
      </c>
      <c r="I24" s="1810">
        <f t="shared" si="1"/>
        <v>0</v>
      </c>
      <c r="J24" s="1810">
        <f t="shared" si="2"/>
        <v>0</v>
      </c>
    </row>
    <row r="25" spans="1:12" ht="12" customHeight="1">
      <c r="A25" s="1795" t="s">
        <v>1512</v>
      </c>
      <c r="B25" s="1796"/>
      <c r="C25" s="1797"/>
      <c r="D25" s="1797"/>
      <c r="E25" s="1800"/>
      <c r="F25" s="1799"/>
      <c r="H25" s="1810">
        <f t="shared" si="0"/>
        <v>0</v>
      </c>
      <c r="I25" s="1810">
        <f t="shared" si="1"/>
        <v>0</v>
      </c>
      <c r="J25" s="1810">
        <f t="shared" si="2"/>
        <v>0</v>
      </c>
    </row>
    <row r="26" spans="1:12" ht="12" customHeight="1">
      <c r="A26" s="1795" t="s">
        <v>1513</v>
      </c>
      <c r="B26" s="1796"/>
      <c r="C26" s="1797" t="s">
        <v>2051</v>
      </c>
      <c r="D26" s="1797" t="s">
        <v>2051</v>
      </c>
      <c r="E26" s="1800"/>
      <c r="F26" s="1799" t="s">
        <v>2052</v>
      </c>
      <c r="H26" s="1810">
        <f t="shared" si="0"/>
        <v>5</v>
      </c>
      <c r="I26" s="1810">
        <f t="shared" si="1"/>
        <v>5</v>
      </c>
      <c r="J26" s="1810">
        <f t="shared" si="2"/>
        <v>0</v>
      </c>
    </row>
    <row r="27" spans="1:12" ht="18.75">
      <c r="A27" s="1795" t="s">
        <v>1514</v>
      </c>
      <c r="B27" s="1796"/>
      <c r="C27" s="1797"/>
      <c r="D27" s="1797"/>
      <c r="E27" s="1800"/>
      <c r="F27" s="1799"/>
      <c r="H27" s="1810">
        <f t="shared" si="0"/>
        <v>0</v>
      </c>
      <c r="I27" s="1810">
        <f t="shared" si="1"/>
        <v>0</v>
      </c>
      <c r="J27" s="1810">
        <f t="shared" si="2"/>
        <v>0</v>
      </c>
    </row>
    <row r="28" spans="1:12" ht="12" customHeight="1">
      <c r="A28" s="1795" t="s">
        <v>1515</v>
      </c>
      <c r="B28" s="1796"/>
      <c r="C28" s="1797"/>
      <c r="D28" s="1797"/>
      <c r="E28" s="1800"/>
      <c r="F28" s="1799"/>
      <c r="H28" s="1810">
        <f t="shared" si="0"/>
        <v>0</v>
      </c>
      <c r="I28" s="1810">
        <f t="shared" si="1"/>
        <v>0</v>
      </c>
      <c r="J28" s="1810">
        <f t="shared" si="2"/>
        <v>0</v>
      </c>
    </row>
    <row r="29" spans="1:12" ht="12" customHeight="1">
      <c r="A29" s="1795" t="s">
        <v>1516</v>
      </c>
      <c r="B29" s="1796"/>
      <c r="C29" s="1797"/>
      <c r="D29" s="1797"/>
      <c r="E29" s="1800"/>
      <c r="F29" s="1799"/>
      <c r="H29" s="1810">
        <f t="shared" si="0"/>
        <v>0</v>
      </c>
      <c r="I29" s="1810">
        <f t="shared" si="1"/>
        <v>0</v>
      </c>
      <c r="J29" s="1810">
        <f t="shared" si="2"/>
        <v>0</v>
      </c>
    </row>
    <row r="30" spans="1:12" ht="12" customHeight="1">
      <c r="A30" s="1795" t="s">
        <v>1517</v>
      </c>
      <c r="B30" s="1796"/>
      <c r="C30" s="1797"/>
      <c r="D30" s="1797"/>
      <c r="E30" s="1800"/>
      <c r="F30" s="1799"/>
      <c r="H30" s="1810">
        <f t="shared" si="0"/>
        <v>0</v>
      </c>
      <c r="I30" s="1810">
        <f t="shared" si="1"/>
        <v>0</v>
      </c>
      <c r="J30" s="1810">
        <f t="shared" si="2"/>
        <v>0</v>
      </c>
    </row>
    <row r="31" spans="1:12" ht="12" customHeight="1">
      <c r="A31" s="1795" t="s">
        <v>1518</v>
      </c>
      <c r="B31" s="1796"/>
      <c r="C31" s="1797" t="s">
        <v>2051</v>
      </c>
      <c r="D31" s="1797" t="s">
        <v>2051</v>
      </c>
      <c r="E31" s="1800"/>
      <c r="F31" s="1799">
        <v>1</v>
      </c>
      <c r="H31" s="1810">
        <f t="shared" si="0"/>
        <v>5</v>
      </c>
      <c r="I31" s="1810">
        <f t="shared" si="1"/>
        <v>5</v>
      </c>
      <c r="J31" s="1810">
        <f t="shared" si="2"/>
        <v>0</v>
      </c>
      <c r="L31" s="1801"/>
    </row>
    <row r="32" spans="1:12" ht="12" customHeight="1">
      <c r="A32" s="1795" t="s">
        <v>1519</v>
      </c>
      <c r="B32" s="1796"/>
      <c r="C32" s="1797"/>
      <c r="D32" s="1797"/>
      <c r="E32" s="1800"/>
      <c r="F32" s="1799"/>
      <c r="H32" s="1810">
        <f t="shared" si="0"/>
        <v>0</v>
      </c>
      <c r="I32" s="1810">
        <f t="shared" si="1"/>
        <v>0</v>
      </c>
      <c r="J32" s="1810">
        <f t="shared" si="2"/>
        <v>0</v>
      </c>
    </row>
    <row r="33" spans="1:11" ht="12" customHeight="1">
      <c r="A33" s="1795" t="s">
        <v>1520</v>
      </c>
      <c r="B33" s="1796"/>
      <c r="C33" s="1797"/>
      <c r="D33" s="1797"/>
      <c r="E33" s="1800"/>
      <c r="F33" s="1799"/>
      <c r="H33" s="1810">
        <f t="shared" si="0"/>
        <v>0</v>
      </c>
      <c r="I33" s="1810">
        <f t="shared" si="1"/>
        <v>0</v>
      </c>
      <c r="J33" s="1810">
        <f t="shared" si="2"/>
        <v>0</v>
      </c>
    </row>
    <row r="34" spans="1:11" ht="12" customHeight="1">
      <c r="A34" s="1802"/>
      <c r="B34" s="1802"/>
      <c r="C34" s="1802"/>
      <c r="D34" s="1802"/>
      <c r="E34" s="1802"/>
      <c r="F34" s="1802"/>
      <c r="H34" s="1810">
        <f>SUM(H11:H32)</f>
        <v>10</v>
      </c>
      <c r="I34" s="1810">
        <f>SUM(I11:I32)</f>
        <v>10</v>
      </c>
      <c r="J34" s="1810">
        <f>SUM(J11:J32)</f>
        <v>0</v>
      </c>
      <c r="K34" s="1810">
        <f>SUM(H34:J34)</f>
        <v>20</v>
      </c>
    </row>
    <row r="35" spans="1:11" ht="12" customHeight="1">
      <c r="A35" s="1803" t="s">
        <v>1371</v>
      </c>
      <c r="B35" s="1804"/>
      <c r="C35" s="2318"/>
      <c r="D35" s="2318"/>
      <c r="E35" s="2318"/>
      <c r="F35" s="2319"/>
    </row>
    <row r="36" spans="1:11" ht="12" customHeight="1">
      <c r="A36" s="2301"/>
      <c r="B36" s="2302"/>
      <c r="C36" s="2302"/>
      <c r="D36" s="2302"/>
      <c r="E36" s="2302"/>
      <c r="F36" s="2303"/>
    </row>
    <row r="37" spans="1:11" ht="12" customHeight="1">
      <c r="A37" s="2301"/>
      <c r="B37" s="2302"/>
      <c r="C37" s="2302"/>
      <c r="D37" s="2302"/>
      <c r="E37" s="2302"/>
      <c r="F37" s="2303"/>
    </row>
    <row r="38" spans="1:11" ht="12" customHeight="1">
      <c r="A38" s="2304"/>
      <c r="B38" s="2305"/>
      <c r="C38" s="2305"/>
      <c r="D38" s="2305"/>
      <c r="E38" s="2305"/>
      <c r="F38" s="2306"/>
    </row>
    <row r="39" spans="1:11" ht="4.5" hidden="1" customHeight="1">
      <c r="A39" s="1805"/>
      <c r="B39" s="1805"/>
      <c r="C39" s="1805"/>
      <c r="D39" s="1805"/>
      <c r="E39" s="1805"/>
      <c r="F39" s="1805"/>
    </row>
    <row r="40" spans="1:11" s="1802" customFormat="1" ht="12" customHeight="1">
      <c r="A40" s="1806" t="s">
        <v>1370</v>
      </c>
      <c r="B40" s="1807"/>
      <c r="C40" s="2307"/>
      <c r="D40" s="2307"/>
      <c r="E40" s="2307"/>
      <c r="F40" s="2308"/>
      <c r="H40" s="1811"/>
      <c r="I40" s="1811"/>
      <c r="J40" s="1811"/>
      <c r="K40" s="1811"/>
    </row>
    <row r="41" spans="1:11" s="1802" customFormat="1" ht="12" customHeight="1">
      <c r="A41" s="2309" t="s">
        <v>2053</v>
      </c>
      <c r="B41" s="2310"/>
      <c r="C41" s="2310"/>
      <c r="D41" s="2310"/>
      <c r="E41" s="2310"/>
      <c r="F41" s="2311"/>
      <c r="H41" s="1811"/>
      <c r="I41" s="1811"/>
      <c r="J41" s="1811"/>
      <c r="K41" s="1811"/>
    </row>
    <row r="42" spans="1:11" s="1802" customFormat="1" ht="12" customHeight="1">
      <c r="A42" s="2309"/>
      <c r="B42" s="2310"/>
      <c r="C42" s="2310"/>
      <c r="D42" s="2310"/>
      <c r="E42" s="2310"/>
      <c r="F42" s="2311"/>
      <c r="H42" s="1811"/>
      <c r="I42" s="1811"/>
      <c r="J42" s="1811"/>
      <c r="K42" s="1811"/>
    </row>
    <row r="43" spans="1:11" s="1802" customFormat="1" ht="15">
      <c r="A43" s="2298"/>
      <c r="B43" s="2299"/>
      <c r="C43" s="2299"/>
      <c r="D43" s="2299"/>
      <c r="E43" s="2299"/>
      <c r="F43" s="2300"/>
      <c r="H43" s="1811"/>
      <c r="I43" s="1811"/>
      <c r="J43" s="1811"/>
      <c r="K43" s="1811"/>
    </row>
    <row r="44" spans="1:11" s="1802" customFormat="1" ht="12" hidden="1" customHeight="1">
      <c r="A44" s="2298"/>
      <c r="B44" s="2299"/>
      <c r="C44" s="2299"/>
      <c r="D44" s="2299"/>
      <c r="E44" s="2299"/>
      <c r="F44" s="2300"/>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15" sqref="T15:AA15"/>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6" t="s">
        <v>672</v>
      </c>
      <c r="B6" s="1575"/>
      <c r="C6" s="1575"/>
      <c r="D6" s="1575"/>
      <c r="E6" s="1576"/>
      <c r="F6" s="1015"/>
      <c r="G6" s="1009"/>
      <c r="H6" s="1016" t="s">
        <v>1028</v>
      </c>
      <c r="I6" s="2325" t="str">
        <f>COVER!A17</f>
        <v>Dixon USD 170</v>
      </c>
      <c r="J6" s="2326"/>
      <c r="Q6" s="1597"/>
    </row>
    <row r="7" spans="1:17">
      <c r="A7" s="2327" t="s">
        <v>869</v>
      </c>
      <c r="B7" s="2328"/>
      <c r="C7" s="2328"/>
      <c r="D7" s="2328"/>
      <c r="E7" s="2329"/>
      <c r="F7" s="1017"/>
      <c r="G7" s="1009"/>
      <c r="H7" s="1016" t="s">
        <v>372</v>
      </c>
      <c r="I7" s="2330">
        <f>COVER!A13</f>
        <v>47052170022</v>
      </c>
      <c r="J7" s="2330"/>
    </row>
    <row r="8" spans="1:17" ht="8.25" customHeight="1">
      <c r="A8" s="1577"/>
      <c r="B8" s="1578"/>
      <c r="C8" s="1578"/>
      <c r="D8" s="1578"/>
      <c r="E8" s="1579"/>
      <c r="F8" s="1018"/>
      <c r="G8" s="1019"/>
      <c r="H8" s="1019"/>
      <c r="I8" s="1019"/>
      <c r="J8" s="1019"/>
    </row>
    <row r="9" spans="1:17" ht="13.5" customHeight="1">
      <c r="A9" s="1020"/>
      <c r="B9" s="1021"/>
      <c r="C9" s="1021"/>
      <c r="D9" s="1022"/>
      <c r="E9" s="1827" t="s">
        <v>1939</v>
      </c>
      <c r="F9" s="1023"/>
      <c r="G9" s="1023"/>
      <c r="H9" s="1828" t="s">
        <v>1940</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31" t="s">
        <v>481</v>
      </c>
      <c r="B11" s="2332"/>
      <c r="C11" s="2333"/>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3">
        <f>'Expenditures 15-22'!K50</f>
        <v>292584</v>
      </c>
      <c r="F12" s="1039"/>
      <c r="G12" s="1743">
        <f t="shared" ref="G12:G18" si="0">SUM(E12:F12)</f>
        <v>292584</v>
      </c>
      <c r="H12" s="1040">
        <v>232181</v>
      </c>
      <c r="I12" s="1039"/>
      <c r="J12" s="1743">
        <f t="shared" ref="J12:J18" si="1">SUM(H12:I12)</f>
        <v>232181</v>
      </c>
    </row>
    <row r="13" spans="1:17" ht="15" customHeight="1">
      <c r="A13" s="1035">
        <v>2</v>
      </c>
      <c r="B13" s="1036" t="s">
        <v>42</v>
      </c>
      <c r="C13" s="1037"/>
      <c r="D13" s="1038">
        <v>2330</v>
      </c>
      <c r="E13" s="1743">
        <f>'Expenditures 15-22'!K51</f>
        <v>0</v>
      </c>
      <c r="F13" s="1039"/>
      <c r="G13" s="1743">
        <f t="shared" si="0"/>
        <v>0</v>
      </c>
      <c r="H13" s="1040"/>
      <c r="I13" s="1039"/>
      <c r="J13" s="1743">
        <f t="shared" si="1"/>
        <v>0</v>
      </c>
    </row>
    <row r="14" spans="1:17" ht="15" customHeight="1">
      <c r="A14" s="1035">
        <v>3</v>
      </c>
      <c r="B14" s="1036" t="s">
        <v>43</v>
      </c>
      <c r="C14" s="1037"/>
      <c r="D14" s="1041">
        <v>2490</v>
      </c>
      <c r="E14" s="1743">
        <f>'Expenditures 15-22'!K56</f>
        <v>0</v>
      </c>
      <c r="F14" s="1039"/>
      <c r="G14" s="1743">
        <f t="shared" si="0"/>
        <v>0</v>
      </c>
      <c r="H14" s="1040"/>
      <c r="I14" s="1039"/>
      <c r="J14" s="1743">
        <f t="shared" si="1"/>
        <v>0</v>
      </c>
    </row>
    <row r="15" spans="1:17" ht="15" customHeight="1">
      <c r="A15" s="1035">
        <v>4</v>
      </c>
      <c r="B15" s="1036" t="s">
        <v>1068</v>
      </c>
      <c r="C15" s="1037"/>
      <c r="D15" s="1038">
        <v>2510</v>
      </c>
      <c r="E15" s="1743">
        <f>'Expenditures 15-22'!K59</f>
        <v>186553</v>
      </c>
      <c r="F15" s="1743">
        <f>'Expenditures 15-22'!K122</f>
        <v>0</v>
      </c>
      <c r="G15" s="1743">
        <f t="shared" si="0"/>
        <v>186553</v>
      </c>
      <c r="H15" s="1040">
        <v>122983</v>
      </c>
      <c r="I15" s="1040"/>
      <c r="J15" s="1743">
        <f t="shared" si="1"/>
        <v>122983</v>
      </c>
    </row>
    <row r="16" spans="1:17" ht="15" customHeight="1">
      <c r="A16" s="1035">
        <v>5</v>
      </c>
      <c r="B16" s="1036" t="s">
        <v>101</v>
      </c>
      <c r="C16" s="1037"/>
      <c r="D16" s="1038">
        <v>2570</v>
      </c>
      <c r="E16" s="1743">
        <f>'Expenditures 15-22'!K64</f>
        <v>39980</v>
      </c>
      <c r="F16" s="1039"/>
      <c r="G16" s="1743">
        <f t="shared" si="0"/>
        <v>39980</v>
      </c>
      <c r="H16" s="1040">
        <v>36714</v>
      </c>
      <c r="I16" s="1039"/>
      <c r="J16" s="1743">
        <f t="shared" si="1"/>
        <v>36714</v>
      </c>
    </row>
    <row r="17" spans="1:10" ht="15" customHeight="1">
      <c r="A17" s="1035">
        <v>6</v>
      </c>
      <c r="B17" s="1036" t="s">
        <v>1060</v>
      </c>
      <c r="C17" s="1037"/>
      <c r="D17" s="1038">
        <v>2610</v>
      </c>
      <c r="E17" s="1743">
        <f>'Expenditures 15-22'!K67</f>
        <v>0</v>
      </c>
      <c r="F17" s="1039"/>
      <c r="G17" s="1743">
        <f t="shared" si="0"/>
        <v>0</v>
      </c>
      <c r="H17" s="1040"/>
      <c r="I17" s="1039"/>
      <c r="J17" s="1743">
        <f t="shared" si="1"/>
        <v>0</v>
      </c>
    </row>
    <row r="18" spans="1:10" ht="22.5" customHeight="1">
      <c r="A18" s="1042">
        <v>7</v>
      </c>
      <c r="B18" s="2334" t="s">
        <v>7</v>
      </c>
      <c r="C18" s="2335"/>
      <c r="D18" s="2336"/>
      <c r="E18" s="1043"/>
      <c r="F18" s="1043"/>
      <c r="G18" s="1744">
        <f t="shared" si="0"/>
        <v>0</v>
      </c>
      <c r="H18" s="1040"/>
      <c r="I18" s="1040"/>
      <c r="J18" s="1743">
        <f t="shared" si="1"/>
        <v>0</v>
      </c>
    </row>
    <row r="19" spans="1:10" ht="13.15" customHeight="1" thickBot="1">
      <c r="A19" s="1035">
        <v>8</v>
      </c>
      <c r="B19" s="1044" t="s">
        <v>1161</v>
      </c>
      <c r="D19" s="1045"/>
      <c r="E19" s="1745">
        <f t="shared" ref="E19:J19" si="2">SUM(E12:E17)-E18</f>
        <v>519117</v>
      </c>
      <c r="F19" s="1745">
        <f t="shared" si="2"/>
        <v>0</v>
      </c>
      <c r="G19" s="1745">
        <f t="shared" si="2"/>
        <v>519117</v>
      </c>
      <c r="H19" s="1745">
        <f t="shared" si="2"/>
        <v>391878</v>
      </c>
      <c r="I19" s="1745">
        <f t="shared" si="2"/>
        <v>0</v>
      </c>
      <c r="J19" s="1745">
        <f t="shared" si="2"/>
        <v>391878</v>
      </c>
    </row>
    <row r="20" spans="1:10" ht="13.5" thickTop="1">
      <c r="A20" s="1035">
        <v>9</v>
      </c>
      <c r="B20" s="2337" t="s">
        <v>1941</v>
      </c>
      <c r="C20" s="2337"/>
      <c r="D20" s="2338"/>
      <c r="E20" s="1046"/>
      <c r="F20" s="1046"/>
      <c r="G20" s="1046"/>
      <c r="H20" s="1046"/>
      <c r="I20" s="1046"/>
      <c r="J20" s="1746">
        <f>IF(AND(G19&gt;0,J19&gt;0),(((J19-G19)/G19)),"Enter Budget Data")</f>
        <v>-0.24510659446714325</v>
      </c>
    </row>
    <row r="21" spans="1:10" ht="9.4" customHeight="1">
      <c r="B21" s="1047"/>
    </row>
    <row r="22" spans="1:10">
      <c r="A22" s="1048" t="s">
        <v>133</v>
      </c>
      <c r="B22" s="1047"/>
    </row>
    <row r="23" spans="1:10">
      <c r="A23" s="1011" t="s">
        <v>1942</v>
      </c>
      <c r="B23" s="1047"/>
    </row>
    <row r="24" spans="1:10">
      <c r="A24" s="1011" t="s">
        <v>1955</v>
      </c>
      <c r="B24" s="1047"/>
    </row>
    <row r="25" spans="1:10">
      <c r="A25" s="1049"/>
      <c r="B25" s="1047"/>
    </row>
    <row r="26" spans="1:10" ht="20.25" customHeight="1">
      <c r="B26" s="1047"/>
      <c r="C26" s="2343"/>
      <c r="D26" s="2343"/>
      <c r="E26" s="1050"/>
      <c r="F26" s="2342"/>
      <c r="G26" s="2342"/>
    </row>
    <row r="27" spans="1:10">
      <c r="B27" s="1047"/>
      <c r="C27" s="1051" t="s">
        <v>1033</v>
      </c>
      <c r="D27" s="1052"/>
      <c r="E27" s="1053"/>
      <c r="F27" s="2339" t="s">
        <v>1488</v>
      </c>
      <c r="G27" s="2339"/>
    </row>
    <row r="28" spans="1:10" ht="28.5" customHeight="1">
      <c r="B28" s="1047"/>
      <c r="C28" s="2341"/>
      <c r="D28" s="2341"/>
      <c r="E28" s="1054"/>
      <c r="F28" s="2341"/>
      <c r="G28" s="2341"/>
    </row>
    <row r="29" spans="1:10">
      <c r="B29" s="1047"/>
      <c r="C29" s="1055" t="s">
        <v>1540</v>
      </c>
      <c r="E29" s="1056"/>
      <c r="F29" s="2340" t="s">
        <v>1489</v>
      </c>
      <c r="G29" s="2340"/>
    </row>
    <row r="30" spans="1:10" ht="9.4" customHeight="1">
      <c r="B30" s="1047"/>
      <c r="C30" s="1057"/>
      <c r="E30" s="1058"/>
      <c r="F30" s="1059"/>
      <c r="G30" s="1059"/>
    </row>
    <row r="31" spans="1:10" ht="15" customHeight="1">
      <c r="A31" s="1011"/>
      <c r="B31" s="1060" t="s">
        <v>1034</v>
      </c>
    </row>
    <row r="32" spans="1:10" ht="9.4" customHeight="1">
      <c r="A32" s="1011"/>
      <c r="B32" s="1048"/>
    </row>
    <row r="33" spans="1:10" ht="13.15" customHeight="1">
      <c r="A33" s="1011"/>
      <c r="B33" s="1061"/>
      <c r="C33" s="2322" t="s">
        <v>132</v>
      </c>
      <c r="D33" s="2323"/>
      <c r="E33" s="2323"/>
      <c r="F33" s="2323"/>
      <c r="G33" s="2323"/>
      <c r="H33" s="2323"/>
      <c r="I33" s="2323"/>
    </row>
    <row r="34" spans="1:10" ht="10.35" customHeight="1">
      <c r="C34" s="2323"/>
      <c r="D34" s="2323"/>
      <c r="E34" s="2323"/>
      <c r="F34" s="2323"/>
      <c r="G34" s="2323"/>
      <c r="H34" s="2323"/>
      <c r="I34" s="2323"/>
    </row>
    <row r="35" spans="1:10" ht="7.5" customHeight="1">
      <c r="C35" s="1062"/>
    </row>
    <row r="36" spans="1:10" ht="13.5" customHeight="1">
      <c r="B36" s="1061"/>
      <c r="C36" s="2324" t="s">
        <v>1943</v>
      </c>
      <c r="D36" s="2323"/>
      <c r="E36" s="2323"/>
      <c r="F36" s="2323"/>
      <c r="G36" s="2323"/>
      <c r="H36" s="2323"/>
      <c r="I36" s="2323"/>
      <c r="J36" s="1063"/>
    </row>
    <row r="37" spans="1:10" ht="22.5" customHeight="1">
      <c r="C37" s="2323"/>
      <c r="D37" s="2323"/>
      <c r="E37" s="2323"/>
      <c r="F37" s="2323"/>
      <c r="G37" s="2323"/>
      <c r="H37" s="2323"/>
      <c r="I37" s="2323"/>
      <c r="J37" s="1063"/>
    </row>
    <row r="38" spans="1:10" ht="7.5" customHeight="1">
      <c r="C38" s="1062"/>
      <c r="D38" s="1064"/>
      <c r="E38" s="1065"/>
      <c r="F38" s="1066"/>
      <c r="G38" s="1065"/>
    </row>
    <row r="39" spans="1:10" ht="13.5" customHeight="1">
      <c r="B39" s="1061"/>
      <c r="C39" s="2320" t="s">
        <v>882</v>
      </c>
      <c r="D39" s="2321"/>
      <c r="E39" s="2321"/>
      <c r="F39" s="2321"/>
      <c r="G39" s="2321"/>
      <c r="H39" s="2321"/>
      <c r="I39" s="2321"/>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T15" sqref="T15:AA15"/>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1819</v>
      </c>
      <c r="C4" s="162" t="s">
        <v>1169</v>
      </c>
      <c r="D4" s="169" t="s">
        <v>10</v>
      </c>
      <c r="E4" s="170" t="s">
        <v>22</v>
      </c>
    </row>
    <row r="5" spans="1:5">
      <c r="A5" s="168" t="s">
        <v>1821</v>
      </c>
      <c r="C5" s="162" t="s">
        <v>1169</v>
      </c>
      <c r="D5" s="169" t="s">
        <v>10</v>
      </c>
      <c r="E5" s="170" t="s">
        <v>22</v>
      </c>
    </row>
    <row r="6" spans="1:5">
      <c r="A6" s="168" t="s">
        <v>1820</v>
      </c>
      <c r="C6" s="162" t="s">
        <v>1169</v>
      </c>
      <c r="D6" s="167" t="s">
        <v>11</v>
      </c>
      <c r="E6" s="170" t="s">
        <v>941</v>
      </c>
    </row>
    <row r="7" spans="1:5">
      <c r="A7" s="168" t="s">
        <v>1822</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1823</v>
      </c>
      <c r="C11" s="162" t="s">
        <v>1169</v>
      </c>
      <c r="D11" s="169" t="s">
        <v>14</v>
      </c>
      <c r="E11" s="170" t="s">
        <v>1156</v>
      </c>
    </row>
    <row r="12" spans="1:5">
      <c r="B12" s="169" t="s">
        <v>1824</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1825</v>
      </c>
      <c r="C15" s="162" t="s">
        <v>1169</v>
      </c>
      <c r="D15" s="169" t="s">
        <v>17</v>
      </c>
      <c r="E15" s="170" t="s">
        <v>636</v>
      </c>
    </row>
    <row r="16" spans="1:5">
      <c r="A16" s="172"/>
      <c r="B16" s="162" t="s">
        <v>1826</v>
      </c>
      <c r="C16" s="162" t="s">
        <v>1169</v>
      </c>
      <c r="D16" s="169" t="s">
        <v>681</v>
      </c>
      <c r="E16" s="170" t="s">
        <v>1040</v>
      </c>
    </row>
    <row r="17" spans="1:5">
      <c r="B17" s="167" t="s">
        <v>988</v>
      </c>
      <c r="C17" s="162" t="s">
        <v>1169</v>
      </c>
    </row>
    <row r="18" spans="1:5">
      <c r="B18" s="167" t="s">
        <v>1832</v>
      </c>
      <c r="D18" s="169" t="s">
        <v>18</v>
      </c>
      <c r="E18" s="170" t="s">
        <v>1041</v>
      </c>
    </row>
    <row r="19" spans="1:5">
      <c r="A19" s="168" t="s">
        <v>1099</v>
      </c>
      <c r="C19" s="162" t="s">
        <v>1169</v>
      </c>
      <c r="D19" s="169"/>
      <c r="E19" s="171"/>
    </row>
    <row r="20" spans="1:5">
      <c r="B20" s="167" t="s">
        <v>1827</v>
      </c>
      <c r="C20" s="162" t="s">
        <v>1169</v>
      </c>
      <c r="D20" s="169" t="s">
        <v>19</v>
      </c>
      <c r="E20" s="170" t="s">
        <v>51</v>
      </c>
    </row>
    <row r="21" spans="1:5">
      <c r="B21" s="167" t="s">
        <v>1828</v>
      </c>
      <c r="C21" s="162" t="s">
        <v>1169</v>
      </c>
      <c r="D21" s="169" t="s">
        <v>20</v>
      </c>
      <c r="E21" s="170" t="s">
        <v>1583</v>
      </c>
    </row>
    <row r="22" spans="1:5">
      <c r="A22" s="168"/>
      <c r="B22" s="162" t="s">
        <v>1816</v>
      </c>
      <c r="C22" s="162" t="s">
        <v>1169</v>
      </c>
      <c r="D22" s="167" t="s">
        <v>1818</v>
      </c>
      <c r="E22" s="1768" t="s">
        <v>1584</v>
      </c>
    </row>
    <row r="23" spans="1:5">
      <c r="A23" s="168"/>
      <c r="B23" s="162" t="s">
        <v>1817</v>
      </c>
      <c r="D23" s="167" t="s">
        <v>637</v>
      </c>
      <c r="E23" s="1768" t="s">
        <v>959</v>
      </c>
    </row>
    <row r="24" spans="1:5">
      <c r="A24" s="168" t="s">
        <v>1582</v>
      </c>
      <c r="C24" s="162" t="s">
        <v>1169</v>
      </c>
      <c r="D24" s="167" t="s">
        <v>1372</v>
      </c>
      <c r="E24" s="170" t="s">
        <v>960</v>
      </c>
    </row>
    <row r="25" spans="1:5">
      <c r="A25" s="168" t="s">
        <v>1829</v>
      </c>
      <c r="C25" s="162" t="s">
        <v>1169</v>
      </c>
      <c r="D25" s="169" t="s">
        <v>21</v>
      </c>
      <c r="E25" s="170" t="s">
        <v>1042</v>
      </c>
    </row>
    <row r="26" spans="1:5">
      <c r="A26" s="168" t="s">
        <v>1830</v>
      </c>
      <c r="C26" s="162" t="s">
        <v>1169</v>
      </c>
      <c r="D26" s="169" t="s">
        <v>563</v>
      </c>
      <c r="E26" s="170" t="s">
        <v>1043</v>
      </c>
    </row>
    <row r="27" spans="1:5">
      <c r="A27" s="168" t="s">
        <v>1831</v>
      </c>
      <c r="C27" s="162" t="s">
        <v>1169</v>
      </c>
      <c r="D27" s="169" t="s">
        <v>557</v>
      </c>
      <c r="E27" s="170" t="s">
        <v>683</v>
      </c>
    </row>
    <row r="28" spans="1:5">
      <c r="A28" s="168" t="s">
        <v>1833</v>
      </c>
      <c r="D28" s="169" t="s">
        <v>684</v>
      </c>
      <c r="E28" s="170" t="s">
        <v>1345</v>
      </c>
    </row>
    <row r="29" spans="1:5">
      <c r="A29" s="168" t="s">
        <v>1834</v>
      </c>
      <c r="D29" s="169" t="s">
        <v>1373</v>
      </c>
      <c r="E29" s="170" t="s">
        <v>1354</v>
      </c>
    </row>
    <row r="30" spans="1:5">
      <c r="A30" s="173" t="s">
        <v>1835</v>
      </c>
      <c r="C30" s="162" t="s">
        <v>1169</v>
      </c>
      <c r="D30" s="169" t="s">
        <v>40</v>
      </c>
      <c r="E30" s="170" t="s">
        <v>982</v>
      </c>
    </row>
    <row r="31" spans="1:5">
      <c r="A31" s="168" t="s">
        <v>1500</v>
      </c>
      <c r="C31" s="162" t="s">
        <v>1169</v>
      </c>
      <c r="D31" s="167"/>
      <c r="E31" s="171"/>
    </row>
    <row r="32" spans="1:5">
      <c r="B32" s="167" t="s">
        <v>1836</v>
      </c>
      <c r="C32" s="162" t="s">
        <v>1169</v>
      </c>
      <c r="D32" s="169" t="s">
        <v>1501</v>
      </c>
      <c r="E32" s="170" t="s">
        <v>1374</v>
      </c>
    </row>
    <row r="33" spans="1:5">
      <c r="A33" s="172"/>
      <c r="D33" s="169"/>
      <c r="E33" s="171"/>
    </row>
    <row r="34" spans="1:5">
      <c r="A34" s="172"/>
      <c r="D34" s="169"/>
      <c r="E34" s="171"/>
    </row>
    <row r="35" spans="1:5" ht="15.75" customHeight="1" thickBot="1">
      <c r="A35" s="2061" t="s">
        <v>1065</v>
      </c>
      <c r="B35" s="2061"/>
      <c r="C35" s="2061"/>
      <c r="D35" s="2061"/>
      <c r="E35" s="206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58" t="s">
        <v>691</v>
      </c>
      <c r="B40" s="2058"/>
      <c r="C40" s="2058"/>
      <c r="D40" s="2058"/>
      <c r="E40" s="2058"/>
    </row>
    <row r="41" spans="1:5">
      <c r="A41" s="2059" t="s">
        <v>1581</v>
      </c>
      <c r="B41" s="2059"/>
      <c r="C41" s="2059"/>
      <c r="D41" s="2059"/>
      <c r="E41" s="2059"/>
    </row>
    <row r="42" spans="1:5" ht="13.15" customHeight="1">
      <c r="A42" s="2060" t="s">
        <v>1022</v>
      </c>
      <c r="B42" s="2060"/>
      <c r="C42" s="2060"/>
      <c r="D42" s="2060"/>
      <c r="E42" s="2060"/>
    </row>
    <row r="43" spans="1:5" ht="6.75" customHeight="1">
      <c r="A43" s="167"/>
      <c r="B43" s="176"/>
    </row>
    <row r="44" spans="1:5">
      <c r="A44" s="185" t="s">
        <v>983</v>
      </c>
      <c r="B44" s="186" t="s">
        <v>1862</v>
      </c>
    </row>
    <row r="45" spans="1:5" ht="6.75" customHeight="1">
      <c r="A45" s="187"/>
      <c r="B45" s="186"/>
    </row>
    <row r="46" spans="1:5">
      <c r="A46" s="185" t="s">
        <v>984</v>
      </c>
      <c r="B46" s="169" t="s">
        <v>1586</v>
      </c>
    </row>
    <row r="47" spans="1:5" ht="9.75" customHeight="1">
      <c r="A47" s="189"/>
      <c r="B47" s="188"/>
    </row>
    <row r="48" spans="1:5">
      <c r="A48" s="169" t="s">
        <v>1585</v>
      </c>
      <c r="B48" s="169" t="s">
        <v>1590</v>
      </c>
      <c r="C48" s="177"/>
    </row>
    <row r="49" spans="1:3" ht="9.75" customHeight="1">
      <c r="A49" s="188"/>
      <c r="B49" s="188"/>
      <c r="C49" s="177"/>
    </row>
    <row r="50" spans="1:3">
      <c r="A50" s="200" t="s">
        <v>1587</v>
      </c>
      <c r="B50" s="198" t="s">
        <v>1591</v>
      </c>
    </row>
    <row r="51" spans="1:3">
      <c r="B51" s="169" t="s">
        <v>1733</v>
      </c>
    </row>
    <row r="52" spans="1:3">
      <c r="A52" s="190"/>
      <c r="B52" s="188" t="s">
        <v>1753</v>
      </c>
    </row>
    <row r="53" spans="1:3" ht="4.5" customHeight="1">
      <c r="A53" s="190"/>
      <c r="B53" s="190"/>
    </row>
    <row r="54" spans="1:3">
      <c r="A54" s="190"/>
      <c r="B54" s="201" t="s">
        <v>1588</v>
      </c>
    </row>
    <row r="55" spans="1:3" ht="8.25" customHeight="1">
      <c r="A55" s="190"/>
      <c r="B55" s="191"/>
    </row>
    <row r="56" spans="1:3">
      <c r="A56" s="192"/>
      <c r="B56" s="169" t="s">
        <v>1734</v>
      </c>
    </row>
    <row r="57" spans="1:3">
      <c r="A57" s="193"/>
      <c r="B57" s="190" t="s">
        <v>1736</v>
      </c>
    </row>
    <row r="58" spans="1:3">
      <c r="A58" s="194"/>
      <c r="B58" s="190" t="s">
        <v>1737</v>
      </c>
    </row>
    <row r="59" spans="1:3">
      <c r="A59" s="195"/>
      <c r="B59" s="1418" t="s">
        <v>1738</v>
      </c>
    </row>
    <row r="60" spans="1:3">
      <c r="A60" s="196"/>
      <c r="B60" s="1418" t="s">
        <v>1739</v>
      </c>
    </row>
    <row r="61" spans="1:3" ht="6" customHeight="1">
      <c r="A61" s="197"/>
      <c r="B61" s="189"/>
    </row>
    <row r="62" spans="1:3">
      <c r="A62" s="169" t="s">
        <v>1589</v>
      </c>
      <c r="B62" s="198" t="s">
        <v>1735</v>
      </c>
    </row>
    <row r="63" spans="1:3">
      <c r="A63" s="188"/>
      <c r="B63" s="169" t="s">
        <v>1750</v>
      </c>
    </row>
    <row r="64" spans="1:3">
      <c r="A64" s="195"/>
      <c r="B64" s="1420" t="s">
        <v>1740</v>
      </c>
    </row>
    <row r="65" spans="1:9">
      <c r="A65" s="188"/>
      <c r="B65" s="169" t="s">
        <v>1751</v>
      </c>
    </row>
    <row r="66" spans="1:9">
      <c r="A66" s="190"/>
      <c r="B66" s="190" t="s">
        <v>1741</v>
      </c>
    </row>
    <row r="67" spans="1:9" ht="12" customHeight="1">
      <c r="A67" s="188"/>
      <c r="B67" s="169" t="s">
        <v>1752</v>
      </c>
    </row>
    <row r="68" spans="1:9">
      <c r="A68" s="189"/>
      <c r="B68" s="190" t="s">
        <v>1742</v>
      </c>
    </row>
    <row r="69" spans="1:9">
      <c r="A69" s="190"/>
      <c r="B69" s="188" t="s">
        <v>1743</v>
      </c>
    </row>
    <row r="70" spans="1:9" ht="13.5" customHeight="1">
      <c r="A70" s="190"/>
      <c r="B70" s="188" t="s">
        <v>1744</v>
      </c>
    </row>
    <row r="71" spans="1:9" ht="12" customHeight="1">
      <c r="A71" s="192"/>
      <c r="B71" s="1419" t="s">
        <v>1592</v>
      </c>
    </row>
    <row r="72" spans="1:9" ht="9.4" customHeight="1">
      <c r="A72" s="192"/>
      <c r="B72" s="199"/>
    </row>
    <row r="73" spans="1:9">
      <c r="A73" s="189" t="s">
        <v>1593</v>
      </c>
      <c r="B73" s="169" t="s">
        <v>1746</v>
      </c>
    </row>
    <row r="74" spans="1:9">
      <c r="A74" s="189"/>
      <c r="B74" s="169" t="s">
        <v>1745</v>
      </c>
    </row>
    <row r="75" spans="1:9" ht="8.25" customHeight="1">
      <c r="A75" s="189"/>
      <c r="B75" s="189"/>
    </row>
    <row r="76" spans="1:9" ht="12.2" customHeight="1">
      <c r="A76" s="189" t="s">
        <v>1594</v>
      </c>
      <c r="B76" s="198" t="s">
        <v>1747</v>
      </c>
    </row>
    <row r="77" spans="1:9" ht="12.2" customHeight="1">
      <c r="A77" s="190"/>
      <c r="B77" s="169" t="s">
        <v>1595</v>
      </c>
      <c r="C77" s="179"/>
      <c r="D77" s="180"/>
      <c r="E77" s="181"/>
      <c r="F77" s="181"/>
      <c r="G77" s="181"/>
      <c r="H77" s="181"/>
      <c r="I77" s="181"/>
    </row>
    <row r="78" spans="1:9" ht="11.25" customHeight="1">
      <c r="A78" s="190"/>
      <c r="B78" s="190" t="s">
        <v>1749</v>
      </c>
      <c r="C78" s="179"/>
      <c r="D78" s="182"/>
      <c r="E78" s="182"/>
      <c r="F78" s="182"/>
      <c r="G78" s="182"/>
      <c r="H78" s="182"/>
      <c r="I78" s="181"/>
    </row>
    <row r="79" spans="1:9" ht="12.2" customHeight="1">
      <c r="A79" s="190"/>
      <c r="B79" s="169" t="s">
        <v>1596</v>
      </c>
      <c r="C79" s="179"/>
      <c r="D79" s="182"/>
      <c r="E79" s="182"/>
      <c r="F79" s="182"/>
      <c r="G79" s="182"/>
      <c r="H79" s="182"/>
      <c r="I79" s="181"/>
    </row>
    <row r="80" spans="1:9" ht="11.25" customHeight="1">
      <c r="A80" s="189"/>
      <c r="B80" s="190" t="s">
        <v>1748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15" sqref="T15:AA15"/>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2055</v>
      </c>
    </row>
    <row r="6" spans="1:2">
      <c r="A6" s="1068">
        <v>2</v>
      </c>
      <c r="B6" s="329" t="s">
        <v>2054</v>
      </c>
    </row>
    <row r="7" spans="1:2">
      <c r="A7" s="1068">
        <v>3</v>
      </c>
      <c r="B7" s="329" t="s">
        <v>2056</v>
      </c>
    </row>
    <row r="8" spans="1:2">
      <c r="A8" s="1068">
        <v>4</v>
      </c>
      <c r="B8" s="329" t="s">
        <v>2057</v>
      </c>
    </row>
    <row r="9" spans="1:2">
      <c r="A9" s="1069">
        <v>5</v>
      </c>
      <c r="B9" s="329" t="s">
        <v>2058</v>
      </c>
    </row>
    <row r="10" spans="1:2">
      <c r="A10" s="1069">
        <v>6</v>
      </c>
      <c r="B10" s="329" t="s">
        <v>2059</v>
      </c>
    </row>
    <row r="11" spans="1:2">
      <c r="A11" s="1069">
        <v>7</v>
      </c>
      <c r="B11" s="329" t="s">
        <v>2060</v>
      </c>
    </row>
    <row r="12" spans="1:2">
      <c r="A12" s="1069">
        <v>8</v>
      </c>
      <c r="B12" s="329" t="s">
        <v>2061</v>
      </c>
    </row>
    <row r="13" spans="1:2">
      <c r="A13" s="1069">
        <v>9</v>
      </c>
      <c r="B13" s="329" t="s">
        <v>2062</v>
      </c>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Dixon USD 170</v>
      </c>
    </row>
    <row r="65" spans="2:2">
      <c r="B65" s="1070">
        <f>COVER!A13</f>
        <v>47052170022</v>
      </c>
    </row>
  </sheetData>
  <phoneticPr fontId="14" type="noConversion"/>
  <pageMargins left="0.2" right="0.2" top="1.17" bottom="0.75" header="0.19" footer="0.16"/>
  <pageSetup scale="75"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15" sqref="T15:AA15"/>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1393</v>
      </c>
      <c r="D6" s="24"/>
    </row>
    <row r="7" spans="1:4" ht="13.5" customHeight="1">
      <c r="A7" s="23"/>
      <c r="B7" s="25"/>
      <c r="C7" s="65" t="s">
        <v>1394</v>
      </c>
      <c r="D7" s="24"/>
    </row>
    <row r="8" spans="1:4" ht="13.5" customHeight="1">
      <c r="A8" s="23"/>
      <c r="B8" s="146" t="s">
        <v>943</v>
      </c>
      <c r="C8" s="65" t="s">
        <v>1379</v>
      </c>
      <c r="D8" s="24"/>
    </row>
    <row r="9" spans="1:4" ht="13.5" customHeight="1">
      <c r="A9" s="14"/>
      <c r="B9" s="144" t="s">
        <v>944</v>
      </c>
      <c r="C9" s="142" t="s">
        <v>1298</v>
      </c>
    </row>
    <row r="10" spans="1:4" ht="13.5" customHeight="1">
      <c r="B10" s="18" t="s">
        <v>945</v>
      </c>
      <c r="C10" s="15" t="s">
        <v>909</v>
      </c>
    </row>
    <row r="11" spans="1:4" ht="13.15" customHeight="1">
      <c r="B11" s="18" t="s">
        <v>946</v>
      </c>
      <c r="C11" s="16" t="s">
        <v>859</v>
      </c>
    </row>
    <row r="12" spans="1:4" ht="21.75" customHeight="1">
      <c r="B12" s="18" t="s">
        <v>947</v>
      </c>
      <c r="C12" s="145" t="s">
        <v>1378</v>
      </c>
    </row>
    <row r="13" spans="1:4" s="19" customFormat="1" ht="13.15" customHeight="1">
      <c r="B13" s="18" t="s">
        <v>915</v>
      </c>
      <c r="C13" s="16" t="s">
        <v>1127</v>
      </c>
    </row>
    <row r="14" spans="1:4" ht="21.75" customHeight="1">
      <c r="B14" s="18" t="s">
        <v>916</v>
      </c>
      <c r="C14" s="16" t="s">
        <v>843</v>
      </c>
    </row>
    <row r="15" spans="1:4" ht="13.15" customHeight="1">
      <c r="B15" s="143" t="s">
        <v>1304</v>
      </c>
      <c r="C15" s="142" t="s">
        <v>1305</v>
      </c>
    </row>
    <row r="16" spans="1:4" ht="13.15" customHeight="1">
      <c r="C16" s="142" t="s">
        <v>1306</v>
      </c>
    </row>
    <row r="17" spans="3:3" ht="13.15" customHeight="1">
      <c r="C17" s="66" t="s">
        <v>1307</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1472</v>
      </c>
    </row>
    <row r="15" spans="1:6">
      <c r="A15" s="389" t="s">
        <v>857</v>
      </c>
    </row>
    <row r="16" spans="1:6" s="1071" customFormat="1" ht="45.4" customHeight="1">
      <c r="A16" s="1073"/>
      <c r="B16" s="1073" t="s">
        <v>1657</v>
      </c>
    </row>
    <row r="17" spans="1:2" ht="6" customHeight="1"/>
    <row r="18" spans="1:2" ht="24.75" customHeight="1">
      <c r="A18" s="2344" t="s">
        <v>1658</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788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activeCell="T15" sqref="T15:AA15"/>
    </sheetView>
  </sheetViews>
  <sheetFormatPr defaultColWidth="9.140625" defaultRowHeight="12.75"/>
  <cols>
    <col min="1" max="1" width="33.85546875" style="316" customWidth="1"/>
    <col min="2" max="6" width="16.7109375" style="316" customWidth="1"/>
    <col min="7" max="16384" width="9.140625" style="316"/>
  </cols>
  <sheetData>
    <row r="1" spans="1:8" ht="49.15" customHeight="1">
      <c r="A1" s="2345" t="s">
        <v>1663</v>
      </c>
      <c r="B1" s="2346"/>
      <c r="C1" s="2346"/>
      <c r="D1" s="2346"/>
      <c r="E1" s="2346"/>
      <c r="F1" s="2347"/>
    </row>
    <row r="2" spans="1:8" ht="45.4" customHeight="1">
      <c r="A2" s="2355" t="s">
        <v>1947</v>
      </c>
      <c r="B2" s="2356"/>
      <c r="C2" s="2356"/>
      <c r="D2" s="2356"/>
      <c r="E2" s="2356"/>
      <c r="F2" s="2357"/>
      <c r="G2" s="1074"/>
      <c r="H2" s="1074"/>
    </row>
    <row r="3" spans="1:8" ht="57" customHeight="1">
      <c r="A3" s="2358" t="s">
        <v>1659</v>
      </c>
      <c r="B3" s="2359"/>
      <c r="C3" s="2359"/>
      <c r="D3" s="2359"/>
      <c r="E3" s="2359"/>
      <c r="F3" s="2360"/>
      <c r="G3" s="1074"/>
      <c r="H3" s="1074"/>
    </row>
    <row r="4" spans="1:8" ht="14.25" customHeight="1">
      <c r="A4" s="2364" t="s">
        <v>1948</v>
      </c>
      <c r="B4" s="2365"/>
      <c r="C4" s="2365"/>
      <c r="D4" s="2365"/>
      <c r="E4" s="2365"/>
      <c r="F4" s="2366"/>
      <c r="G4" s="1074"/>
      <c r="H4" s="1074"/>
    </row>
    <row r="5" spans="1:8" ht="14.25" customHeight="1">
      <c r="A5" s="2367" t="s">
        <v>1944</v>
      </c>
      <c r="B5" s="2368"/>
      <c r="C5" s="2368"/>
      <c r="D5" s="2368"/>
      <c r="E5" s="2368"/>
      <c r="F5" s="2369"/>
      <c r="G5" s="1074"/>
      <c r="H5" s="1074"/>
    </row>
    <row r="6" spans="1:8" s="1075" customFormat="1" ht="41.25" customHeight="1">
      <c r="A6" s="2361" t="s">
        <v>1664</v>
      </c>
      <c r="B6" s="2362"/>
      <c r="C6" s="2362"/>
      <c r="D6" s="2362"/>
      <c r="E6" s="2362"/>
      <c r="F6" s="2363"/>
    </row>
    <row r="7" spans="1:8" ht="42" customHeight="1">
      <c r="A7" s="1076" t="s">
        <v>481</v>
      </c>
      <c r="B7" s="1077" t="s">
        <v>1475</v>
      </c>
      <c r="C7" s="1077" t="s">
        <v>1476</v>
      </c>
      <c r="D7" s="1077" t="s">
        <v>1474</v>
      </c>
      <c r="E7" s="1077" t="s">
        <v>1477</v>
      </c>
      <c r="F7" s="1077" t="s">
        <v>1346</v>
      </c>
    </row>
    <row r="8" spans="1:8" s="1079" customFormat="1" ht="14.25" customHeight="1">
      <c r="A8" s="1078" t="s">
        <v>1347</v>
      </c>
      <c r="B8" s="1747">
        <f>'Acct Summary 7-8'!C8</f>
        <v>21342295</v>
      </c>
      <c r="C8" s="1747">
        <f>'Acct Summary 7-8'!D8</f>
        <v>2132779</v>
      </c>
      <c r="D8" s="1747">
        <f>'Acct Summary 7-8'!F8</f>
        <v>2193229</v>
      </c>
      <c r="E8" s="1747">
        <f>'Acct Summary 7-8'!I8</f>
        <v>225684</v>
      </c>
      <c r="F8" s="1747">
        <f>SUM(B8:E8)</f>
        <v>25893987</v>
      </c>
    </row>
    <row r="9" spans="1:8" s="1079" customFormat="1" ht="14.25" customHeight="1" thickBot="1">
      <c r="A9" s="1078" t="s">
        <v>1348</v>
      </c>
      <c r="B9" s="1748">
        <f>'Acct Summary 7-8'!C17</f>
        <v>21708391</v>
      </c>
      <c r="C9" s="1748">
        <f>'Acct Summary 7-8'!D17</f>
        <v>2139005</v>
      </c>
      <c r="D9" s="1748">
        <f>'Acct Summary 7-8'!F17</f>
        <v>2263387</v>
      </c>
      <c r="E9" s="1747"/>
      <c r="F9" s="1747">
        <f>SUM(B9:E9)</f>
        <v>26110783</v>
      </c>
    </row>
    <row r="10" spans="1:8" s="1079" customFormat="1" ht="14.25" thickTop="1" thickBot="1">
      <c r="A10" s="1080" t="s">
        <v>1349</v>
      </c>
      <c r="B10" s="1749">
        <f>(B8-B9)</f>
        <v>-366096</v>
      </c>
      <c r="C10" s="1749">
        <f>(C8-C9)</f>
        <v>-6226</v>
      </c>
      <c r="D10" s="1749">
        <f>(D8-D9)</f>
        <v>-70158</v>
      </c>
      <c r="E10" s="1748">
        <f>(E8-E9)</f>
        <v>225684</v>
      </c>
      <c r="F10" s="1750">
        <f>SUM(F8-F9)</f>
        <v>-216796</v>
      </c>
    </row>
    <row r="11" spans="1:8" s="1079" customFormat="1" ht="14.25" thickTop="1" thickBot="1">
      <c r="A11" s="1081" t="s">
        <v>1945</v>
      </c>
      <c r="B11" s="1751">
        <f>'Acct Summary 7-8'!C81</f>
        <v>571563</v>
      </c>
      <c r="C11" s="1751">
        <f>'Acct Summary 7-8'!D81</f>
        <v>-1551</v>
      </c>
      <c r="D11" s="1751">
        <f>'Acct Summary 7-8'!F81</f>
        <v>-179077</v>
      </c>
      <c r="E11" s="1751">
        <f>'Acct Summary 7-8'!I81</f>
        <v>3283921</v>
      </c>
      <c r="F11" s="1752">
        <f>SUM(B11:E11)</f>
        <v>3674856</v>
      </c>
    </row>
    <row r="12" spans="1:8" ht="16.7" customHeight="1" thickTop="1">
      <c r="A12" s="1082"/>
      <c r="B12" s="1083"/>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c r="A13" s="1084"/>
      <c r="B13" s="1085"/>
      <c r="C13" s="2349"/>
      <c r="D13" s="2350"/>
      <c r="E13" s="2350"/>
      <c r="F13" s="2351"/>
      <c r="H13" s="1074"/>
    </row>
    <row r="14" spans="1:8" ht="19.5" customHeight="1">
      <c r="A14" s="1084"/>
      <c r="B14" s="1085"/>
      <c r="C14" s="2349"/>
      <c r="D14" s="2350"/>
      <c r="E14" s="2350"/>
      <c r="F14" s="2351"/>
      <c r="H14" s="1074"/>
    </row>
    <row r="15" spans="1:8" ht="17.25" customHeight="1">
      <c r="A15" s="1084"/>
      <c r="B15" s="1085"/>
      <c r="C15" s="2352"/>
      <c r="D15" s="2353"/>
      <c r="E15" s="2353"/>
      <c r="F15" s="2354"/>
      <c r="H15" s="1074"/>
    </row>
    <row r="16" spans="1:8" s="310" customFormat="1" ht="51.75" hidden="1" customHeight="1">
      <c r="A16" s="2348" t="s">
        <v>1660</v>
      </c>
      <c r="B16" s="2348"/>
      <c r="C16" s="2348"/>
      <c r="D16" s="2348"/>
      <c r="E16" s="2348"/>
      <c r="F16" s="310" t="s">
        <v>1350</v>
      </c>
    </row>
    <row r="17" spans="1:6" hidden="1">
      <c r="A17" s="316" t="s">
        <v>1661</v>
      </c>
      <c r="F17" s="1086" t="s">
        <v>1351</v>
      </c>
    </row>
    <row r="18" spans="1:6" hidden="1">
      <c r="A18" s="316" t="s">
        <v>1662</v>
      </c>
      <c r="F18" s="316" t="s">
        <v>1389</v>
      </c>
    </row>
    <row r="19" spans="1:6" hidden="1">
      <c r="A19" s="316" t="s">
        <v>1388</v>
      </c>
      <c r="F19" s="316" t="s">
        <v>1353</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T15" sqref="T15:AA15"/>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9"/>
      <c r="B2" s="1830"/>
      <c r="C2" s="1831"/>
      <c r="D2" s="1832"/>
    </row>
    <row r="3" spans="1:4" ht="36" customHeight="1">
      <c r="A3" s="2370" t="s">
        <v>665</v>
      </c>
      <c r="B3" s="2371"/>
      <c r="C3" s="2371"/>
      <c r="D3" s="2372"/>
    </row>
    <row r="4" spans="1:4">
      <c r="A4" s="1152" t="s">
        <v>1665</v>
      </c>
      <c r="B4" s="1153"/>
      <c r="C4" s="1154"/>
      <c r="D4" s="1155"/>
    </row>
    <row r="5" spans="1:4" ht="21" customHeight="1">
      <c r="A5" s="1148"/>
      <c r="B5" s="1149">
        <v>1</v>
      </c>
      <c r="C5" s="1150" t="s">
        <v>1797</v>
      </c>
      <c r="D5" s="1151"/>
    </row>
    <row r="6" spans="1:4" s="668" customFormat="1" ht="14.25" customHeight="1">
      <c r="A6" s="1138"/>
      <c r="B6" s="1093">
        <f t="shared" ref="B6:B13" si="0">B5+1</f>
        <v>2</v>
      </c>
      <c r="C6" s="1094" t="s">
        <v>864</v>
      </c>
      <c r="D6" s="1095"/>
    </row>
    <row r="7" spans="1:4" s="668" customFormat="1" ht="12.75">
      <c r="A7" s="1138"/>
      <c r="B7" s="1093">
        <f t="shared" si="0"/>
        <v>3</v>
      </c>
      <c r="C7" s="2381" t="s">
        <v>1483</v>
      </c>
      <c r="D7" s="2382"/>
    </row>
    <row r="8" spans="1:4" s="668" customFormat="1" ht="12.75">
      <c r="A8" s="1138"/>
      <c r="B8" s="1093"/>
      <c r="C8" s="1096" t="s">
        <v>1482</v>
      </c>
      <c r="D8" s="1097"/>
    </row>
    <row r="9" spans="1:4" s="668" customFormat="1" ht="14.25" customHeight="1">
      <c r="A9" s="1138"/>
      <c r="B9" s="1093">
        <f>B7+1</f>
        <v>4</v>
      </c>
      <c r="C9" s="1094" t="s">
        <v>1873</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1484</v>
      </c>
      <c r="D14" s="1137"/>
    </row>
    <row r="15" spans="1:4" s="668" customFormat="1" ht="21.75" customHeight="1">
      <c r="A15" s="2373" t="s">
        <v>1008</v>
      </c>
      <c r="B15" s="2374"/>
      <c r="C15" s="2374"/>
      <c r="D15" s="2375"/>
    </row>
    <row r="16" spans="1:4" s="668" customFormat="1" ht="24" customHeight="1">
      <c r="A16" s="2376" t="s">
        <v>663</v>
      </c>
      <c r="B16" s="2377"/>
      <c r="C16" s="2377"/>
      <c r="D16" s="2378"/>
    </row>
    <row r="17" spans="1:10" s="668" customFormat="1" ht="13.15" customHeight="1">
      <c r="A17" s="1156" t="s">
        <v>1666</v>
      </c>
      <c r="B17" s="1157"/>
      <c r="C17" s="1158"/>
      <c r="D17" s="1159"/>
    </row>
    <row r="18" spans="1:10" s="668" customFormat="1" ht="13.15" customHeight="1">
      <c r="A18" s="1160" t="s">
        <v>1667</v>
      </c>
      <c r="B18" s="1161"/>
      <c r="C18" s="1162"/>
      <c r="D18" s="1163"/>
    </row>
    <row r="19" spans="1:10" ht="6.75" customHeight="1" thickBot="1">
      <c r="A19" s="1164"/>
      <c r="B19" s="1165"/>
      <c r="C19" s="1166"/>
      <c r="D19" s="1167"/>
    </row>
    <row r="20" spans="1:10" s="1171" customFormat="1" ht="12.75" thickTop="1">
      <c r="A20" s="1168"/>
      <c r="B20" s="1169" t="s">
        <v>1668</v>
      </c>
      <c r="C20" s="1170"/>
      <c r="D20" s="1173" t="s">
        <v>710</v>
      </c>
    </row>
    <row r="21" spans="1:10">
      <c r="A21" s="1098"/>
      <c r="B21" s="1099">
        <v>1</v>
      </c>
      <c r="C21" s="2385" t="s">
        <v>314</v>
      </c>
      <c r="D21" s="2386"/>
    </row>
    <row r="22" spans="1:10" ht="12.75">
      <c r="A22" s="1139"/>
      <c r="B22" s="1140">
        <v>2</v>
      </c>
      <c r="C22" s="2383" t="s">
        <v>1503</v>
      </c>
      <c r="D22" s="2384"/>
    </row>
    <row r="23" spans="1:10" ht="12.2" customHeight="1">
      <c r="A23" s="1139"/>
      <c r="B23" s="1140"/>
      <c r="C23" s="1141" t="s">
        <v>954</v>
      </c>
      <c r="D23" s="1142" t="str">
        <f>IF(COVER!O11="X","CASH",IF(COVER!O12="X","ACCRUAL ","PLEASE CHECK AN ACCOUNTING BASIS."))</f>
        <v xml:space="preserve">ACCRUAL </v>
      </c>
    </row>
    <row r="24" spans="1:10" ht="12.2" customHeight="1">
      <c r="A24" s="1139"/>
      <c r="B24" s="1140"/>
      <c r="C24" s="1141" t="s">
        <v>1311</v>
      </c>
      <c r="D24" s="1142" t="str">
        <f>IF(COVER!O11="X","OK",IF(AND('Aud Quest 2'!J90=0,'Aud Quest 2'!I77&lt;DATE(2017,12,31)),"ENTER ACCOUNTING INFO",IF(AND('Aud Quest 2'!J90&gt;0,'Aud Quest 2'!I77&lt;DATE(2017,12,31)),"OK")))</f>
        <v>OK</v>
      </c>
    </row>
    <row r="25" spans="1:10">
      <c r="A25" s="1100"/>
      <c r="B25" s="1101"/>
      <c r="C25" s="1102" t="s">
        <v>1505</v>
      </c>
      <c r="D25" s="1103" t="str">
        <f>IF(AND(COVER!J29="X",COVER!J30="X",COVER!L30&lt;&gt;"X"),"OK",IF(AND(COVER!J29="X",COVER!J30&lt;&gt;"X",COVER!L30="X"),"OK",IF(AND(COVER!L29="X",COVER!J30&lt;&gt;"X"),"OK","PLEASE CHECK YES or NO.")))</f>
        <v>OK</v>
      </c>
    </row>
    <row r="26" spans="1:10">
      <c r="A26" s="1100"/>
      <c r="B26" s="1143"/>
      <c r="C26" s="1104" t="s">
        <v>1504</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95"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3.1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87" t="s">
        <v>536</v>
      </c>
      <c r="D43" s="2388"/>
    </row>
    <row r="44" spans="1:12">
      <c r="A44" s="1119"/>
      <c r="B44" s="1121"/>
      <c r="C44" s="1122" t="s">
        <v>1314</v>
      </c>
      <c r="D44" s="1123" t="str">
        <f>IF(SUM('Assets-Liab 5-6'!C13)&lt;&gt;SUM('Assets-Liab 5-6'!C41),"ERROR!","OK")</f>
        <v>OK</v>
      </c>
    </row>
    <row r="45" spans="1:12">
      <c r="A45" s="1119"/>
      <c r="B45" s="1121"/>
      <c r="C45" s="1122" t="s">
        <v>1315</v>
      </c>
      <c r="D45" s="1123" t="str">
        <f>IF(SUM('Assets-Liab 5-6'!D13)&lt;&gt;SUM('Assets-Liab 5-6'!D41),"ERROR!","OK")</f>
        <v>OK</v>
      </c>
    </row>
    <row r="46" spans="1:12">
      <c r="A46" s="1119"/>
      <c r="B46" s="1121"/>
      <c r="C46" s="1122" t="s">
        <v>1316</v>
      </c>
      <c r="D46" s="1123" t="str">
        <f>IF(SUM('Assets-Liab 5-6'!E13)&lt;&gt;SUM('Assets-Liab 5-6'!E41),"ERROR!","OK")</f>
        <v>OK</v>
      </c>
    </row>
    <row r="47" spans="1:12">
      <c r="A47" s="1119"/>
      <c r="B47" s="1121"/>
      <c r="C47" s="1122" t="s">
        <v>1317</v>
      </c>
      <c r="D47" s="1123" t="str">
        <f>IF(SUM('Assets-Liab 5-6'!F13)&lt;&gt;SUM('Assets-Liab 5-6'!F41),"ERROR!","OK")</f>
        <v>OK</v>
      </c>
    </row>
    <row r="48" spans="1:12">
      <c r="A48" s="1119"/>
      <c r="B48" s="1121"/>
      <c r="C48" s="1122" t="s">
        <v>1318</v>
      </c>
      <c r="D48" s="1123" t="str">
        <f>IF(SUM('Assets-Liab 5-6'!G13)&lt;&gt;SUM('Assets-Liab 5-6'!G41),"ERROR!","OK")</f>
        <v>OK</v>
      </c>
    </row>
    <row r="49" spans="1:4">
      <c r="A49" s="1119"/>
      <c r="B49" s="1121"/>
      <c r="C49" s="1122" t="s">
        <v>1319</v>
      </c>
      <c r="D49" s="1123" t="str">
        <f>IF(SUM('Assets-Liab 5-6'!H13)&lt;&gt;SUM('Assets-Liab 5-6'!H41),"ERROR!","OK")</f>
        <v>OK</v>
      </c>
    </row>
    <row r="50" spans="1:4">
      <c r="A50" s="1119"/>
      <c r="B50" s="1121"/>
      <c r="C50" s="1122" t="s">
        <v>1320</v>
      </c>
      <c r="D50" s="1123" t="str">
        <f>IF(SUM('Assets-Liab 5-6'!I13)&lt;&gt;SUM('Assets-Liab 5-6'!I41),"ERROR!","OK")</f>
        <v>OK</v>
      </c>
    </row>
    <row r="51" spans="1:4">
      <c r="A51" s="1119"/>
      <c r="B51" s="1121"/>
      <c r="C51" s="1122" t="s">
        <v>1321</v>
      </c>
      <c r="D51" s="1123" t="str">
        <f>IF(SUM('Assets-Liab 5-6'!J13)&lt;&gt;SUM('Assets-Liab 5-6'!J41),"ERROR!","OK")</f>
        <v>OK</v>
      </c>
    </row>
    <row r="52" spans="1:4">
      <c r="A52" s="1119"/>
      <c r="B52" s="1121"/>
      <c r="C52" s="1122" t="s">
        <v>1322</v>
      </c>
      <c r="D52" s="1123" t="str">
        <f>IF(SUM('Assets-Liab 5-6'!K13)&lt;&gt;SUM('Assets-Liab 5-6'!K41),"ERROR!","OK")</f>
        <v>OK</v>
      </c>
    </row>
    <row r="53" spans="1:4">
      <c r="A53" s="1119"/>
      <c r="B53" s="1121"/>
      <c r="C53" s="1122" t="s">
        <v>1323</v>
      </c>
      <c r="D53" s="1123" t="str">
        <f>IF(SUM('Assets-Liab 5-6'!L13)&lt;&gt;('Assets-Liab 5-6'!L41),"ERROR!","OK")</f>
        <v>OK</v>
      </c>
    </row>
    <row r="54" spans="1:4">
      <c r="A54" s="1119"/>
      <c r="B54" s="1121"/>
      <c r="C54" s="1122" t="s">
        <v>1324</v>
      </c>
      <c r="D54" s="1123" t="str">
        <f>IF(SUM('Assets-Liab 5-6'!M23)&lt;&gt;('Assets-Liab 5-6'!M41),"ERROR!","OK")</f>
        <v>OK</v>
      </c>
    </row>
    <row r="55" spans="1:4">
      <c r="A55" s="1119"/>
      <c r="B55" s="1121"/>
      <c r="C55" s="1122" t="s">
        <v>1325</v>
      </c>
      <c r="D55" s="1123" t="str">
        <f>IF(SUM('Assets-Liab 5-6'!N23)&lt;&gt;('Assets-Liab 5-6'!N41),"ERROR!","OK")</f>
        <v>OK</v>
      </c>
    </row>
    <row r="56" spans="1:4">
      <c r="A56" s="1100"/>
      <c r="B56" s="1120">
        <f>B43+1</f>
        <v>6</v>
      </c>
      <c r="C56" s="2379" t="s">
        <v>784</v>
      </c>
      <c r="D56" s="2380"/>
    </row>
    <row r="57" spans="1:4" s="1116" customFormat="1">
      <c r="A57" s="1100"/>
      <c r="B57" s="1110"/>
      <c r="C57" s="1118" t="s">
        <v>1326</v>
      </c>
      <c r="D57" s="1124" t="str">
        <f>IF('Assets-Liab 5-6'!C38+'Assets-Liab 5-6'!C39='Acct Summary 7-8'!C81,"OK","ERROR!")</f>
        <v>OK</v>
      </c>
    </row>
    <row r="58" spans="1:4">
      <c r="A58" s="1100"/>
      <c r="B58" s="1110"/>
      <c r="C58" s="1118" t="s">
        <v>1327</v>
      </c>
      <c r="D58" s="1124" t="str">
        <f>IF((('Assets-Liab 5-6'!D38+'Assets-Liab 5-6'!D39) ='Acct Summary 7-8'!D81), "OK", "ERROR!" )</f>
        <v>OK</v>
      </c>
    </row>
    <row r="59" spans="1:4" s="1116" customFormat="1">
      <c r="A59" s="1100"/>
      <c r="B59" s="1110"/>
      <c r="C59" s="1118" t="s">
        <v>1328</v>
      </c>
      <c r="D59" s="1124" t="str">
        <f>IF((('Assets-Liab 5-6'!E38 + 'Assets-Liab 5-6'!E39) ='Acct Summary 7-8'!E81), "OK", "ERROR!" )</f>
        <v>OK</v>
      </c>
    </row>
    <row r="60" spans="1:4">
      <c r="A60" s="1100"/>
      <c r="B60" s="1110"/>
      <c r="C60" s="1118" t="s">
        <v>1329</v>
      </c>
      <c r="D60" s="1124" t="str">
        <f>IF((('Assets-Liab 5-6'!F38 + 'Assets-Liab 5-6'!F39) ='Acct Summary 7-8'!F81), "OK", "ERROR!" )</f>
        <v>OK</v>
      </c>
    </row>
    <row r="61" spans="1:4" ht="13.15" customHeight="1">
      <c r="A61" s="1100"/>
      <c r="B61" s="1110"/>
      <c r="C61" s="1118" t="s">
        <v>1342</v>
      </c>
      <c r="D61" s="1124" t="str">
        <f>IF((('Assets-Liab 5-6'!G38 + 'Assets-Liab 5-6'!G39) ='Acct Summary 7-8'!G81), "OK", "ERROR!" )</f>
        <v>OK</v>
      </c>
    </row>
    <row r="62" spans="1:4">
      <c r="A62" s="1100"/>
      <c r="B62" s="1110"/>
      <c r="C62" s="1118" t="s">
        <v>1330</v>
      </c>
      <c r="D62" s="1124" t="str">
        <f>IF((('Assets-Liab 5-6'!H38 + 'Assets-Liab 5-6'!H39) ='Acct Summary 7-8'!H81), "OK", "ERROR!" )</f>
        <v>OK</v>
      </c>
    </row>
    <row r="63" spans="1:4" ht="13.15" customHeight="1">
      <c r="A63" s="1100"/>
      <c r="B63" s="1110"/>
      <c r="C63" s="1118" t="s">
        <v>1331</v>
      </c>
      <c r="D63" s="1124" t="str">
        <f>IF((('Assets-Liab 5-6'!I38 + 'Assets-Liab 5-6'!I39) ='Acct Summary 7-8'!I81), "OK", "ERROR!" )</f>
        <v>OK</v>
      </c>
    </row>
    <row r="64" spans="1:4">
      <c r="A64" s="1100"/>
      <c r="B64" s="1110"/>
      <c r="C64" s="1118" t="s">
        <v>1332</v>
      </c>
      <c r="D64" s="1124" t="str">
        <f>IF((('Assets-Liab 5-6'!J38 + 'Assets-Liab 5-6'!J39) ='Acct Summary 7-8'!J81), "OK", "ERROR!" )</f>
        <v>OK</v>
      </c>
    </row>
    <row r="65" spans="1:4">
      <c r="A65" s="1117"/>
      <c r="B65" s="1110"/>
      <c r="C65" s="1118" t="s">
        <v>1343</v>
      </c>
      <c r="D65" s="1124" t="str">
        <f>IF((('Assets-Liab 5-6'!K38 + 'Assets-Liab 5-6'!K39) ='Acct Summary 7-8'!K81), "OK", "ERROR!" )</f>
        <v>OK</v>
      </c>
    </row>
    <row r="66" spans="1:4">
      <c r="A66" s="1098"/>
      <c r="B66" s="1140">
        <f>B56+1+1</f>
        <v>8</v>
      </c>
      <c r="C66" s="1146" t="s">
        <v>1874</v>
      </c>
      <c r="D66" s="1125"/>
    </row>
    <row r="67" spans="1:4">
      <c r="A67" s="1119"/>
      <c r="B67" s="1140"/>
      <c r="C67" s="1147" t="s">
        <v>1021</v>
      </c>
      <c r="D67" s="1125"/>
    </row>
    <row r="68" spans="1:4">
      <c r="A68" s="1100"/>
      <c r="B68" s="1110"/>
      <c r="C68" s="1102" t="s">
        <v>1875</v>
      </c>
      <c r="D68" s="1124" t="str">
        <f>IF('Short-Term Long-Term Debt 24'!F49=SUM(,'Acct Summary 7-8'!C33:K33),"OK","ERROR!")</f>
        <v>OK</v>
      </c>
    </row>
    <row r="69" spans="1:4">
      <c r="A69" s="1100"/>
      <c r="B69" s="1110"/>
      <c r="C69" s="1102" t="s">
        <v>1876</v>
      </c>
      <c r="D69" s="1124" t="str">
        <f>IF('Expenditures 15-22'!H170&lt;&gt;'Short-Term Long-Term Debt 24'!H49,"ERROR!","OK")</f>
        <v>OK</v>
      </c>
    </row>
    <row r="70" spans="1:4">
      <c r="A70" s="1098"/>
      <c r="B70" s="1120">
        <f>B66+1</f>
        <v>9</v>
      </c>
      <c r="C70" s="2379" t="s">
        <v>1669</v>
      </c>
      <c r="D70" s="2380"/>
    </row>
    <row r="71" spans="1:4">
      <c r="A71" s="1098"/>
      <c r="B71" s="1120"/>
      <c r="C71" s="1102" t="s">
        <v>1333</v>
      </c>
      <c r="D71" s="1126" t="str">
        <f>IF(SUM('Acct Summary 7-8'!C27:K27) =SUM( 'Acct Summary 7-8'!C49:K49),"OK", "ERROR")</f>
        <v>OK</v>
      </c>
    </row>
    <row r="72" spans="1:4">
      <c r="A72" s="1100"/>
      <c r="B72" s="1110"/>
      <c r="C72" s="1118" t="s">
        <v>1334</v>
      </c>
      <c r="D72" s="1124" t="str">
        <f>IF(SUM('Acct Summary 7-8'!C28:K28)=SUM('Acct Summary 7-8'!C50:K50),"OK","ERROR!")</f>
        <v>OK</v>
      </c>
    </row>
    <row r="73" spans="1:4" ht="24">
      <c r="A73" s="1127"/>
      <c r="B73" s="1110"/>
      <c r="C73" s="1118" t="s">
        <v>1670</v>
      </c>
      <c r="D73" s="1126" t="str">
        <f>IF(SUM('Acct Summary 7-8'!C42:K42)&gt;=SUM( 'Acct Summary 7-8'!C74:K74),"OK", "ERROR")</f>
        <v>OK</v>
      </c>
    </row>
    <row r="74" spans="1:4">
      <c r="A74" s="1098"/>
      <c r="B74" s="1120">
        <f>B70+1</f>
        <v>10</v>
      </c>
      <c r="C74" s="1114" t="s">
        <v>1877</v>
      </c>
      <c r="D74" s="1128"/>
    </row>
    <row r="75" spans="1:4">
      <c r="A75" s="1100"/>
      <c r="B75" s="1110"/>
      <c r="C75" s="1118" t="s">
        <v>1356</v>
      </c>
      <c r="D75" s="1124" t="str">
        <f>IF(SUM('Assets-Liab 5-6'!C38:H38)&gt;=SUM('Rest Tax Levies-Tort Im 25'!G25:K25),"OK","ERROR")</f>
        <v>OK</v>
      </c>
    </row>
    <row r="76" spans="1:4">
      <c r="A76" s="1100"/>
      <c r="B76" s="1110"/>
      <c r="C76" s="1118" t="s">
        <v>1397</v>
      </c>
      <c r="D76" s="1124" t="str">
        <f>IF(SUM('Assets-Liab 5-6'!C39:K39)&gt;0,"OK","ENTRY IS REQUIRED!")</f>
        <v>OK</v>
      </c>
    </row>
    <row r="77" spans="1:4">
      <c r="A77" s="1100"/>
      <c r="B77" s="1129">
        <f>B74+1</f>
        <v>11</v>
      </c>
      <c r="C77" s="1174" t="s">
        <v>1357</v>
      </c>
      <c r="D77" s="1124"/>
    </row>
    <row r="78" spans="1:4">
      <c r="A78" s="1100"/>
      <c r="B78" s="1110"/>
      <c r="C78" s="1118" t="s">
        <v>1878</v>
      </c>
      <c r="D78" s="1124" t="str">
        <f>IF(ISNUMBER('Acct Summary 7-8'!C9),"OK","ENTRY IS REQUIRED!")</f>
        <v>OK</v>
      </c>
    </row>
    <row r="79" spans="1:4">
      <c r="A79" s="1119"/>
      <c r="B79" s="1120">
        <f>B74+1+1</f>
        <v>12</v>
      </c>
      <c r="C79" s="1130" t="s">
        <v>1863</v>
      </c>
      <c r="D79" s="1131" t="str">
        <f>IF(OR(COVER!$B$6="X",'PCTC-OEPP 27-28'!F78&gt;0),"OK","PLEASE ENTER 9 MO ADA.")</f>
        <v>OK</v>
      </c>
    </row>
    <row r="80" spans="1:4">
      <c r="A80" s="1098"/>
      <c r="B80" s="1120">
        <v>13</v>
      </c>
      <c r="C80" s="1130" t="s">
        <v>1879</v>
      </c>
      <c r="D80" s="1131" t="str">
        <f>IF('Contracts Paid in CY 29'!D141&gt;0,"OK","PLEASE ENTER CONTRACTS PAID IN CURRENT YEAR.")</f>
        <v>OK</v>
      </c>
    </row>
    <row r="81" spans="1:4">
      <c r="A81" s="1098"/>
      <c r="B81" s="1120">
        <v>14</v>
      </c>
      <c r="C81" s="1130" t="s">
        <v>1403</v>
      </c>
      <c r="D81" s="1123" t="str">
        <f>IF('Shared Outsourced Services 31'!B8="X","OK",IF('Shared Outsourced Services 31'!K34&gt;0,"OK","ENTRY REQUIRED!"))</f>
        <v>OK</v>
      </c>
    </row>
    <row r="82" spans="1:4">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47052170022</v>
      </c>
    </row>
    <row r="3" spans="1:2">
      <c r="A3" t="s">
        <v>956</v>
      </c>
      <c r="B3" s="138" t="str">
        <f>COVER!A15</f>
        <v>Lee</v>
      </c>
    </row>
    <row r="4" spans="1:2">
      <c r="A4" t="s">
        <v>1007</v>
      </c>
      <c r="B4" s="138" t="str">
        <f>COVER!A17</f>
        <v>Dixon USD 170</v>
      </c>
    </row>
    <row r="5" spans="1:2">
      <c r="A5" t="s">
        <v>704</v>
      </c>
      <c r="B5" s="138" t="str">
        <f>COVER!A38</f>
        <v>Margo Empen</v>
      </c>
    </row>
    <row r="6" spans="1:2">
      <c r="A6" t="s">
        <v>709</v>
      </c>
      <c r="B6" s="138">
        <f>COVER!P35</f>
        <v>0</v>
      </c>
    </row>
    <row r="7" spans="1:2">
      <c r="A7" t="s">
        <v>705</v>
      </c>
      <c r="B7" s="138">
        <f>COVER!I38</f>
        <v>0</v>
      </c>
    </row>
    <row r="8" spans="1:2">
      <c r="A8" t="s">
        <v>706</v>
      </c>
      <c r="B8" s="138">
        <f>COVER!T38</f>
        <v>0</v>
      </c>
    </row>
    <row r="9" spans="1:2">
      <c r="A9" s="3" t="s">
        <v>957</v>
      </c>
      <c r="B9" s="158" t="str">
        <f>AUDITCHECK!D23</f>
        <v xml:space="preserve">ACCRUAL </v>
      </c>
    </row>
    <row r="10" spans="1:2">
      <c r="A10" t="s">
        <v>976</v>
      </c>
      <c r="B10" s="138" t="str">
        <f>COVER!B5</f>
        <v>X</v>
      </c>
    </row>
    <row r="11" spans="1:2">
      <c r="A11" t="s">
        <v>977</v>
      </c>
      <c r="B11" s="138">
        <f>COVER!B6</f>
        <v>0</v>
      </c>
    </row>
    <row r="12" spans="1:2">
      <c r="A12" s="1" t="s">
        <v>1522</v>
      </c>
      <c r="B12" s="138" t="str">
        <f>IF(COVER!J29="x","Yes",IF(COVER!L29="X","No",0))</f>
        <v>Yes</v>
      </c>
    </row>
    <row r="13" spans="1:2">
      <c r="A13" s="1" t="s">
        <v>1523</v>
      </c>
      <c r="B13" s="138" t="str">
        <f>IF(COVER!J30="x","Yes",IF(COVER!L30="x","No",0))</f>
        <v>Yes</v>
      </c>
    </row>
    <row r="14" spans="1:2">
      <c r="A14" t="s">
        <v>476</v>
      </c>
      <c r="B14" s="138" t="str">
        <f>IF(COVER!J31="x","Yes",IF(COVER!L31="x","No",0))</f>
        <v>Yes</v>
      </c>
    </row>
    <row r="15" spans="1:2">
      <c r="A15" t="s">
        <v>577</v>
      </c>
      <c r="B15" s="138" t="str">
        <f>COVER!T23</f>
        <v>066-004023</v>
      </c>
    </row>
    <row r="16" spans="1:2">
      <c r="A16" t="s">
        <v>422</v>
      </c>
      <c r="B16" s="138" t="str">
        <f>COVER!T13</f>
        <v>Wipfli LLP</v>
      </c>
    </row>
    <row r="17" spans="1:2">
      <c r="A17" t="s">
        <v>884</v>
      </c>
      <c r="B17" s="138" t="str">
        <f>COVER!T15</f>
        <v>Matthew J. Schueler</v>
      </c>
    </row>
    <row r="18" spans="1:2">
      <c r="A18" t="s">
        <v>1150</v>
      </c>
      <c r="B18" s="138" t="str">
        <f>COVER!T17</f>
        <v>403 East 3rd Street</v>
      </c>
    </row>
    <row r="19" spans="1:2">
      <c r="A19" t="s">
        <v>886</v>
      </c>
      <c r="B19" s="138" t="str">
        <f>COVER!T25</f>
        <v>mschueler@wipfli.com</v>
      </c>
    </row>
    <row r="20" spans="1:2">
      <c r="A20" t="s">
        <v>887</v>
      </c>
      <c r="B20" s="138" t="str">
        <f>COVER!T19</f>
        <v>Sterling</v>
      </c>
    </row>
    <row r="21" spans="1:2">
      <c r="A21" t="s">
        <v>479</v>
      </c>
      <c r="B21" s="138" t="str">
        <f>COVER!X19</f>
        <v>IL</v>
      </c>
    </row>
    <row r="22" spans="1:2">
      <c r="A22" t="s">
        <v>888</v>
      </c>
      <c r="B22" s="138">
        <f>COVER!Z19</f>
        <v>61081</v>
      </c>
    </row>
    <row r="23" spans="1:2">
      <c r="A23" t="s">
        <v>1152</v>
      </c>
      <c r="B23" s="138" t="str">
        <f>COVER!T21</f>
        <v>815-626-1277</v>
      </c>
    </row>
    <row r="24" spans="1:2">
      <c r="A24" t="s">
        <v>1151</v>
      </c>
      <c r="B24" s="138">
        <f>COVER!Y21</f>
        <v>0</v>
      </c>
    </row>
    <row r="25" spans="1:2">
      <c r="A25" t="s">
        <v>761</v>
      </c>
      <c r="B25" s="138" t="str">
        <f>COVER!B34</f>
        <v>X</v>
      </c>
    </row>
    <row r="26" spans="1:2">
      <c r="A26" t="s">
        <v>1153</v>
      </c>
      <c r="B26" s="138">
        <f>COVER!L34</f>
        <v>0</v>
      </c>
    </row>
    <row r="27" spans="1:2">
      <c r="A27" t="s">
        <v>268</v>
      </c>
      <c r="B27" s="138">
        <f>COVER!U34</f>
        <v>0</v>
      </c>
    </row>
    <row r="28" spans="1:2">
      <c r="A28" t="s">
        <v>316</v>
      </c>
      <c r="B28" s="138" t="str">
        <f>IF('Aud Quest 2'!B9="x","Yes",IF('Aud Quest 2'!B9&lt;&gt;"x","0"))</f>
        <v>Yes</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1460</v>
      </c>
      <c r="B49" s="138" t="str">
        <f>IF('Aud Quest 2'!B53="x","Yes",IF('Aud Quest 2'!B53&lt;&gt;"x","0"))</f>
        <v>0</v>
      </c>
    </row>
    <row r="50" spans="1:4">
      <c r="A50" s="1" t="s">
        <v>1459</v>
      </c>
      <c r="B50" s="150">
        <f>'Aud Quest 2'!H53</f>
        <v>0</v>
      </c>
    </row>
    <row r="51" spans="1:4">
      <c r="A51" s="1" t="s">
        <v>1461</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10671713</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2879563</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14703418</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11210839</v>
      </c>
      <c r="D88" s="2" t="str">
        <f t="shared" si="0"/>
        <v>Error?</v>
      </c>
    </row>
    <row r="89" spans="1:4">
      <c r="A89" s="10">
        <v>28</v>
      </c>
      <c r="D89" s="2" t="str">
        <f t="shared" si="0"/>
        <v>OK</v>
      </c>
    </row>
    <row r="90" spans="1:4">
      <c r="A90" s="10">
        <v>29</v>
      </c>
      <c r="D90" s="2" t="str">
        <f t="shared" si="0"/>
        <v>OK</v>
      </c>
    </row>
    <row r="91" spans="1:4">
      <c r="A91" s="5">
        <v>30</v>
      </c>
      <c r="B91" s="138">
        <f>'Assets-Liab 5-6'!C34</f>
        <v>14131855</v>
      </c>
      <c r="C91" s="2" t="s">
        <v>573</v>
      </c>
      <c r="D91" s="2" t="str">
        <f t="shared" si="0"/>
        <v>Error?</v>
      </c>
    </row>
    <row r="92" spans="1:4">
      <c r="A92" s="5">
        <v>31</v>
      </c>
      <c r="B92" s="138">
        <f>'Assets-Liab 5-6'!C39</f>
        <v>571563</v>
      </c>
      <c r="D92" s="2" t="str">
        <f t="shared" si="0"/>
        <v>Error?</v>
      </c>
    </row>
    <row r="93" spans="1:4">
      <c r="A93" s="5">
        <v>32</v>
      </c>
      <c r="B93" s="138">
        <f>'Assets-Liab 5-6'!C41</f>
        <v>14703418</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1753826</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1873826</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1843888</v>
      </c>
      <c r="D119" s="2" t="str">
        <f t="shared" si="0"/>
        <v>Error?</v>
      </c>
    </row>
    <row r="120" spans="1:4">
      <c r="A120" s="10">
        <v>59</v>
      </c>
      <c r="D120" s="2" t="str">
        <f t="shared" si="0"/>
        <v>OK</v>
      </c>
    </row>
    <row r="121" spans="1:4">
      <c r="A121" s="10">
        <v>60</v>
      </c>
      <c r="D121" s="2" t="str">
        <f t="shared" si="0"/>
        <v>OK</v>
      </c>
    </row>
    <row r="122" spans="1:4">
      <c r="A122" s="5">
        <v>61</v>
      </c>
      <c r="B122" s="138">
        <f>'Assets-Liab 5-6'!D34</f>
        <v>1875377</v>
      </c>
      <c r="C122" s="2" t="s">
        <v>573</v>
      </c>
      <c r="D122" s="2" t="str">
        <f t="shared" si="0"/>
        <v>Error?</v>
      </c>
    </row>
    <row r="123" spans="1:4">
      <c r="A123" s="5">
        <v>62</v>
      </c>
      <c r="B123" s="138">
        <f>'Assets-Liab 5-6'!D39</f>
        <v>-1551</v>
      </c>
      <c r="D123" s="2" t="str">
        <f t="shared" si="0"/>
        <v>Error?</v>
      </c>
    </row>
    <row r="124" spans="1:4">
      <c r="A124" s="5">
        <v>63</v>
      </c>
      <c r="B124" s="138">
        <f>'Assets-Liab 5-6'!D41</f>
        <v>1873826</v>
      </c>
      <c r="C124" s="2" t="s">
        <v>573</v>
      </c>
      <c r="D124" s="2" t="str">
        <f t="shared" si="0"/>
        <v>Error?</v>
      </c>
    </row>
    <row r="125" spans="1:4">
      <c r="A125" s="10">
        <v>64</v>
      </c>
      <c r="D125" s="2" t="str">
        <f t="shared" si="0"/>
        <v>OK</v>
      </c>
    </row>
    <row r="126" spans="1:4">
      <c r="A126" s="5">
        <v>65</v>
      </c>
      <c r="B126" s="138">
        <f>'Assets-Liab 5-6'!E6</f>
        <v>1907123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978720</v>
      </c>
      <c r="D129" s="2" t="str">
        <f t="shared" si="1"/>
        <v>Error?</v>
      </c>
    </row>
    <row r="130" spans="1:4">
      <c r="A130" s="5">
        <v>69</v>
      </c>
      <c r="B130" s="138">
        <f>'Assets-Liab 5-6'!E12</f>
        <v>0</v>
      </c>
      <c r="D130" s="2" t="str">
        <f t="shared" si="1"/>
        <v>Error?</v>
      </c>
    </row>
    <row r="131" spans="1:4">
      <c r="A131" s="5">
        <v>70</v>
      </c>
      <c r="B131" s="138">
        <f>'Assets-Liab 5-6'!E13</f>
        <v>3513260</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2006888</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2006888</v>
      </c>
      <c r="C139" s="2" t="s">
        <v>573</v>
      </c>
      <c r="D139" s="2" t="str">
        <f t="shared" si="1"/>
        <v>Error?</v>
      </c>
    </row>
    <row r="140" spans="1:4">
      <c r="A140" s="5">
        <v>79</v>
      </c>
      <c r="B140" s="138">
        <f>'Assets-Liab 5-6'!E39</f>
        <v>724460</v>
      </c>
      <c r="D140" s="2" t="str">
        <f t="shared" si="1"/>
        <v>Error?</v>
      </c>
    </row>
    <row r="141" spans="1:4">
      <c r="A141" s="5">
        <v>80</v>
      </c>
      <c r="B141" s="138">
        <f>'Assets-Liab 5-6'!E41</f>
        <v>3513260</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701530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1284184</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737555</v>
      </c>
      <c r="D166" s="2" t="str">
        <f t="shared" si="1"/>
        <v>Error?</v>
      </c>
    </row>
    <row r="167" spans="1:4">
      <c r="A167" s="10">
        <v>106</v>
      </c>
      <c r="D167" s="2" t="str">
        <f t="shared" si="1"/>
        <v>OK</v>
      </c>
    </row>
    <row r="168" spans="1:4">
      <c r="A168" s="10">
        <v>107</v>
      </c>
      <c r="D168" s="2" t="str">
        <f t="shared" si="1"/>
        <v>OK</v>
      </c>
    </row>
    <row r="169" spans="1:4">
      <c r="A169" s="5">
        <v>108</v>
      </c>
      <c r="B169" s="138">
        <f>'Assets-Liab 5-6'!F34</f>
        <v>1463261</v>
      </c>
      <c r="C169" s="2" t="s">
        <v>573</v>
      </c>
      <c r="D169" s="2" t="str">
        <f t="shared" si="1"/>
        <v>Error?</v>
      </c>
    </row>
    <row r="170" spans="1:4">
      <c r="A170" s="5">
        <v>109</v>
      </c>
      <c r="B170" s="138">
        <f>'Assets-Liab 5-6'!F39</f>
        <v>-179077</v>
      </c>
      <c r="D170" s="2" t="str">
        <f t="shared" si="1"/>
        <v>Error?</v>
      </c>
    </row>
    <row r="171" spans="1:4">
      <c r="A171" s="5">
        <v>110</v>
      </c>
      <c r="B171" s="138">
        <f>'Assets-Liab 5-6'!F41</f>
        <v>1284184</v>
      </c>
      <c r="C171" s="2" t="s">
        <v>573</v>
      </c>
      <c r="D171" s="2" t="str">
        <f t="shared" si="1"/>
        <v>Error?</v>
      </c>
    </row>
    <row r="172" spans="1:4">
      <c r="A172" s="10">
        <v>111</v>
      </c>
      <c r="D172" s="2" t="str">
        <f t="shared" si="1"/>
        <v>OK</v>
      </c>
    </row>
    <row r="173" spans="1:4">
      <c r="A173" s="5">
        <v>112</v>
      </c>
      <c r="B173" s="138">
        <f>'Assets-Liab 5-6'!G6</f>
        <v>587187</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549849</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1196542</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618071</v>
      </c>
      <c r="D185" s="2" t="str">
        <f t="shared" si="1"/>
        <v>Error?</v>
      </c>
    </row>
    <row r="186" spans="1:4">
      <c r="A186" s="10">
        <v>125</v>
      </c>
      <c r="D186" s="2" t="str">
        <f t="shared" si="1"/>
        <v>OK</v>
      </c>
    </row>
    <row r="187" spans="1:4">
      <c r="A187" s="10">
        <v>126</v>
      </c>
      <c r="D187" s="2" t="str">
        <f t="shared" si="1"/>
        <v>OK</v>
      </c>
    </row>
    <row r="188" spans="1:4">
      <c r="A188" s="5">
        <v>127</v>
      </c>
      <c r="B188" s="138">
        <f>'Assets-Liab 5-6'!G34</f>
        <v>679211</v>
      </c>
      <c r="C188" s="2" t="s">
        <v>573</v>
      </c>
      <c r="D188" s="2" t="str">
        <f t="shared" si="1"/>
        <v>Error?</v>
      </c>
    </row>
    <row r="189" spans="1:4">
      <c r="A189" s="5">
        <v>128</v>
      </c>
      <c r="B189" s="138">
        <f>'Assets-Liab 5-6'!G39</f>
        <v>517331</v>
      </c>
      <c r="D189" s="2" t="str">
        <f t="shared" si="1"/>
        <v>Error?</v>
      </c>
    </row>
    <row r="190" spans="1:4">
      <c r="A190" s="5">
        <v>129</v>
      </c>
      <c r="B190" s="138">
        <f>'Assets-Liab 5-6'!G41</f>
        <v>1196542</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5717828</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7128989</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1689273</v>
      </c>
      <c r="C211" s="2" t="s">
        <v>573</v>
      </c>
      <c r="D211" s="2" t="str">
        <f t="shared" si="2"/>
        <v>Error?</v>
      </c>
    </row>
    <row r="212" spans="1:4">
      <c r="A212" s="5">
        <v>151</v>
      </c>
      <c r="B212" s="138">
        <f>'Assets-Liab 5-6'!H39</f>
        <v>576000</v>
      </c>
      <c r="D212" s="2" t="str">
        <f t="shared" si="2"/>
        <v>Error?</v>
      </c>
    </row>
    <row r="213" spans="1:4">
      <c r="A213" s="12">
        <v>152</v>
      </c>
      <c r="B213" s="138">
        <f>'Assets-Liab 5-6'!H41</f>
        <v>7128989</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1191208</v>
      </c>
      <c r="D273" s="2" t="str">
        <f t="shared" si="3"/>
        <v>Error?</v>
      </c>
    </row>
    <row r="274" spans="1:4">
      <c r="A274" s="5">
        <v>213</v>
      </c>
      <c r="B274" s="138">
        <f>'Assets-Liab 5-6'!M17</f>
        <v>14004985</v>
      </c>
      <c r="D274" s="2" t="str">
        <f t="shared" si="3"/>
        <v>Error?</v>
      </c>
    </row>
    <row r="275" spans="1:4">
      <c r="A275" s="5">
        <v>214</v>
      </c>
      <c r="B275" s="138">
        <f>'Assets-Liab 5-6'!M18</f>
        <v>5071226</v>
      </c>
      <c r="D275" s="2" t="str">
        <f t="shared" si="3"/>
        <v>Error?</v>
      </c>
    </row>
    <row r="276" spans="1:4">
      <c r="A276" s="5">
        <v>215</v>
      </c>
      <c r="B276" s="138">
        <f>'Assets-Liab 5-6'!M19</f>
        <v>481526</v>
      </c>
      <c r="D276" s="2" t="str">
        <f t="shared" si="3"/>
        <v>Error?</v>
      </c>
    </row>
    <row r="277" spans="1:4">
      <c r="A277" s="10">
        <v>216</v>
      </c>
      <c r="D277" s="2" t="str">
        <f t="shared" si="3"/>
        <v>OK</v>
      </c>
    </row>
    <row r="278" spans="1:4">
      <c r="A278" s="10">
        <v>217</v>
      </c>
      <c r="D278" s="2" t="str">
        <f t="shared" si="3"/>
        <v>OK</v>
      </c>
    </row>
    <row r="279" spans="1:4">
      <c r="A279" s="5">
        <v>218</v>
      </c>
      <c r="B279" s="138">
        <f>'Assets-Liab 5-6'!M23</f>
        <v>43919223</v>
      </c>
      <c r="C279" s="2" t="s">
        <v>573</v>
      </c>
      <c r="D279" s="2" t="str">
        <f t="shared" si="3"/>
        <v>Error?</v>
      </c>
    </row>
    <row r="280" spans="1:4">
      <c r="A280" s="5">
        <v>219</v>
      </c>
      <c r="B280" s="138">
        <f>'Assets-Liab 5-6'!M40</f>
        <v>43919223</v>
      </c>
      <c r="D280" s="2" t="str">
        <f t="shared" si="3"/>
        <v>Error?</v>
      </c>
    </row>
    <row r="281" spans="1:4">
      <c r="A281" s="5">
        <v>220</v>
      </c>
      <c r="B281" s="138">
        <f>'Assets-Liab 5-6'!M41</f>
        <v>43919223</v>
      </c>
      <c r="C281" s="2" t="s">
        <v>573</v>
      </c>
      <c r="D281" s="2" t="str">
        <f t="shared" si="3"/>
        <v>Error?</v>
      </c>
    </row>
    <row r="282" spans="1:4">
      <c r="A282" s="5">
        <v>221</v>
      </c>
      <c r="B282" s="138">
        <f>'Assets-Liab 5-6'!N21</f>
        <v>724460</v>
      </c>
      <c r="D282" s="2" t="str">
        <f t="shared" si="3"/>
        <v>Error?</v>
      </c>
    </row>
    <row r="283" spans="1:4">
      <c r="A283" s="5">
        <v>222</v>
      </c>
      <c r="B283" s="138">
        <f>'Assets-Liab 5-6'!N22</f>
        <v>42085540</v>
      </c>
      <c r="D283" s="2" t="str">
        <f t="shared" si="3"/>
        <v>Error?</v>
      </c>
    </row>
    <row r="284" spans="1:4">
      <c r="A284" s="5">
        <v>223</v>
      </c>
      <c r="B284" s="138">
        <f>'Assets-Liab 5-6'!N23</f>
        <v>42810000</v>
      </c>
      <c r="C284" s="2" t="s">
        <v>573</v>
      </c>
      <c r="D284" s="2" t="str">
        <f t="shared" si="3"/>
        <v>Error?</v>
      </c>
    </row>
    <row r="285" spans="1:4">
      <c r="A285" s="5">
        <v>224</v>
      </c>
      <c r="B285" s="138">
        <f>'Assets-Liab 5-6'!N36</f>
        <v>42810000</v>
      </c>
      <c r="D285" s="2" t="str">
        <f t="shared" si="3"/>
        <v>Error?</v>
      </c>
    </row>
    <row r="286" spans="1:4">
      <c r="A286" s="10">
        <v>225</v>
      </c>
      <c r="D286" s="2" t="str">
        <f t="shared" si="3"/>
        <v>OK</v>
      </c>
    </row>
    <row r="287" spans="1:4">
      <c r="A287" s="5">
        <v>226</v>
      </c>
      <c r="B287" s="138">
        <f>'Assets-Liab 5-6'!N37</f>
        <v>42810000</v>
      </c>
      <c r="C287" s="2" t="s">
        <v>573</v>
      </c>
      <c r="D287" s="2" t="str">
        <f t="shared" si="3"/>
        <v>Error?</v>
      </c>
    </row>
    <row r="288" spans="1:4">
      <c r="A288" s="5">
        <v>227</v>
      </c>
      <c r="B288" s="138">
        <f>'Assets-Liab 5-6'!N41</f>
        <v>42810000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47531</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4215000</v>
      </c>
      <c r="D618" s="2" t="str">
        <f t="shared" si="8"/>
        <v>Error?</v>
      </c>
    </row>
    <row r="619" spans="1:4">
      <c r="A619" s="5">
        <v>558</v>
      </c>
      <c r="B619" s="138">
        <f>'Acct Summary 7-8'!H34</f>
        <v>225168</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7890590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150400</v>
      </c>
      <c r="D717" s="2" t="str">
        <f t="shared" si="10"/>
        <v>Error?</v>
      </c>
    </row>
    <row r="718" spans="1:4">
      <c r="A718" s="5">
        <v>657</v>
      </c>
      <c r="B718" s="138">
        <f>'Expenditures 15-22'!C14</f>
        <v>446496</v>
      </c>
      <c r="D718" s="2" t="str">
        <f t="shared" si="10"/>
        <v>Error?</v>
      </c>
    </row>
    <row r="719" spans="1:4">
      <c r="A719" s="5">
        <v>658</v>
      </c>
      <c r="B719" s="138">
        <f>'Expenditures 15-22'!C15</f>
        <v>11200</v>
      </c>
      <c r="D719" s="2" t="str">
        <f t="shared" si="10"/>
        <v>Error?</v>
      </c>
    </row>
    <row r="720" spans="1:4">
      <c r="A720" s="5">
        <v>659</v>
      </c>
      <c r="B720" s="138">
        <f>'Expenditures 15-22'!C33</f>
        <v>10648601</v>
      </c>
      <c r="C720" s="2" t="s">
        <v>573</v>
      </c>
      <c r="D720" s="2" t="str">
        <f t="shared" si="10"/>
        <v>Error?</v>
      </c>
    </row>
    <row r="721" spans="1:4">
      <c r="A721" s="5">
        <v>660</v>
      </c>
      <c r="B721" s="138">
        <f>'Expenditures 15-22'!C36</f>
        <v>0</v>
      </c>
      <c r="D721" s="2" t="str">
        <f t="shared" si="10"/>
        <v>Error?</v>
      </c>
    </row>
    <row r="722" spans="1:4">
      <c r="A722" s="5">
        <v>661</v>
      </c>
      <c r="B722" s="138">
        <f>'Expenditures 15-22'!C37</f>
        <v>444634</v>
      </c>
      <c r="D722" s="2" t="str">
        <f t="shared" si="10"/>
        <v>Error?</v>
      </c>
    </row>
    <row r="723" spans="1:4">
      <c r="A723" s="5">
        <v>662</v>
      </c>
      <c r="B723" s="138">
        <f>'Expenditures 15-22'!C38</f>
        <v>156159</v>
      </c>
      <c r="D723" s="2" t="str">
        <f t="shared" si="10"/>
        <v>Error?</v>
      </c>
    </row>
    <row r="724" spans="1:4">
      <c r="A724" s="5">
        <v>663</v>
      </c>
      <c r="B724" s="138">
        <f>'Expenditures 15-22'!C39</f>
        <v>0</v>
      </c>
      <c r="D724" s="2" t="str">
        <f t="shared" si="10"/>
        <v>Error?</v>
      </c>
    </row>
    <row r="725" spans="1:4">
      <c r="A725" s="5">
        <v>664</v>
      </c>
      <c r="B725" s="138">
        <f>'Expenditures 15-22'!C40</f>
        <v>79446</v>
      </c>
      <c r="D725" s="2" t="str">
        <f t="shared" si="10"/>
        <v>Error?</v>
      </c>
    </row>
    <row r="726" spans="1:4">
      <c r="A726" s="5">
        <v>665</v>
      </c>
      <c r="B726" s="138">
        <f>'Expenditures 15-22'!C41</f>
        <v>9028</v>
      </c>
      <c r="D726" s="2" t="str">
        <f t="shared" si="10"/>
        <v>Error?</v>
      </c>
    </row>
    <row r="727" spans="1:4">
      <c r="A727" s="5">
        <v>666</v>
      </c>
      <c r="B727" s="138">
        <f>'Expenditures 15-22'!C42</f>
        <v>689267</v>
      </c>
      <c r="C727" s="2" t="s">
        <v>573</v>
      </c>
      <c r="D727" s="2" t="str">
        <f t="shared" si="10"/>
        <v>Error?</v>
      </c>
    </row>
    <row r="728" spans="1:4">
      <c r="A728" s="5">
        <v>667</v>
      </c>
      <c r="B728" s="138">
        <f>'Expenditures 15-22'!C44</f>
        <v>204979</v>
      </c>
      <c r="D728" s="2" t="str">
        <f t="shared" si="10"/>
        <v>Error?</v>
      </c>
    </row>
    <row r="729" spans="1:4">
      <c r="A729" s="5">
        <v>668</v>
      </c>
      <c r="B729" s="138">
        <f>'Expenditures 15-22'!C45</f>
        <v>44060</v>
      </c>
      <c r="D729" s="2" t="str">
        <f t="shared" si="10"/>
        <v>Error?</v>
      </c>
    </row>
    <row r="730" spans="1:4">
      <c r="A730" s="5">
        <v>669</v>
      </c>
      <c r="B730" s="138">
        <f>'Expenditures 15-22'!C46</f>
        <v>0</v>
      </c>
      <c r="D730" s="2" t="str">
        <f t="shared" si="10"/>
        <v>Error?</v>
      </c>
    </row>
    <row r="731" spans="1:4">
      <c r="A731" s="5">
        <v>670</v>
      </c>
      <c r="B731" s="138">
        <f>'Expenditures 15-22'!C47</f>
        <v>249039</v>
      </c>
      <c r="C731" s="2" t="s">
        <v>573</v>
      </c>
      <c r="D731" s="2" t="str">
        <f t="shared" si="10"/>
        <v>Error?</v>
      </c>
    </row>
    <row r="732" spans="1:4">
      <c r="A732" s="5">
        <v>671</v>
      </c>
      <c r="B732" s="138">
        <f>'Expenditures 15-22'!C49</f>
        <v>0</v>
      </c>
      <c r="D732" s="2" t="str">
        <f t="shared" si="10"/>
        <v>Error?</v>
      </c>
    </row>
    <row r="733" spans="1:4">
      <c r="A733" s="5">
        <v>672</v>
      </c>
      <c r="B733" s="138">
        <f>'Expenditures 15-22'!C50</f>
        <v>193683</v>
      </c>
      <c r="D733" s="2" t="str">
        <f t="shared" si="10"/>
        <v>Error?</v>
      </c>
    </row>
    <row r="734" spans="1:4">
      <c r="A734" s="5">
        <v>673</v>
      </c>
      <c r="B734" s="138">
        <f>'Expenditures 15-22'!C53</f>
        <v>193683</v>
      </c>
      <c r="C734" s="2" t="s">
        <v>573</v>
      </c>
      <c r="D734" s="2" t="str">
        <f t="shared" si="10"/>
        <v>Error?</v>
      </c>
    </row>
    <row r="735" spans="1:4">
      <c r="A735" s="5">
        <v>674</v>
      </c>
      <c r="B735" s="138">
        <f>'Expenditures 15-22'!C55</f>
        <v>975034</v>
      </c>
      <c r="D735" s="2" t="str">
        <f t="shared" si="10"/>
        <v>Error?</v>
      </c>
    </row>
    <row r="736" spans="1:4">
      <c r="A736" s="5">
        <v>675</v>
      </c>
      <c r="B736" s="138">
        <f>'Expenditures 15-22'!C56</f>
        <v>0</v>
      </c>
      <c r="D736" s="2" t="str">
        <f t="shared" si="10"/>
        <v>Error?</v>
      </c>
    </row>
    <row r="737" spans="1:4">
      <c r="A737" s="5">
        <v>676</v>
      </c>
      <c r="B737" s="138">
        <f>'Expenditures 15-22'!C57</f>
        <v>975034</v>
      </c>
      <c r="C737" s="2" t="s">
        <v>573</v>
      </c>
      <c r="D737" s="2" t="str">
        <f t="shared" si="10"/>
        <v>Error?</v>
      </c>
    </row>
    <row r="738" spans="1:4">
      <c r="A738" s="5">
        <v>677</v>
      </c>
      <c r="B738" s="138">
        <f>'Expenditures 15-22'!C59</f>
        <v>112848</v>
      </c>
      <c r="D738" s="2" t="str">
        <f t="shared" si="10"/>
        <v>Error?</v>
      </c>
    </row>
    <row r="739" spans="1:4">
      <c r="A739" s="5">
        <v>678</v>
      </c>
      <c r="B739" s="138">
        <f>'Expenditures 15-22'!C60</f>
        <v>36718</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39487</v>
      </c>
      <c r="D743" s="2" t="str">
        <f t="shared" si="10"/>
        <v>Error?</v>
      </c>
    </row>
    <row r="744" spans="1:4">
      <c r="A744" s="10">
        <v>683</v>
      </c>
      <c r="D744" s="2" t="str">
        <f t="shared" si="10"/>
        <v>OK</v>
      </c>
    </row>
    <row r="745" spans="1:4">
      <c r="A745" s="5">
        <v>684</v>
      </c>
      <c r="B745" s="138">
        <f>'Expenditures 15-22'!C65</f>
        <v>189053</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573</v>
      </c>
      <c r="D753" s="2" t="str">
        <f t="shared" si="10"/>
        <v>Error?</v>
      </c>
    </row>
    <row r="754" spans="1:4">
      <c r="A754" s="5">
        <v>693</v>
      </c>
      <c r="B754" s="138">
        <f>'Expenditures 15-22'!C73</f>
        <v>0</v>
      </c>
      <c r="D754" s="2" t="str">
        <f t="shared" si="10"/>
        <v>Error?</v>
      </c>
    </row>
    <row r="755" spans="1:4">
      <c r="A755" s="5">
        <v>694</v>
      </c>
      <c r="B755" s="138">
        <f>'Expenditures 15-22'!C74</f>
        <v>2296076</v>
      </c>
      <c r="C755" s="2" t="s">
        <v>573</v>
      </c>
      <c r="D755" s="2" t="str">
        <f t="shared" si="10"/>
        <v>Error?</v>
      </c>
    </row>
    <row r="756" spans="1:4">
      <c r="A756" s="5">
        <v>695</v>
      </c>
      <c r="B756" s="138">
        <f>'Expenditures 15-22'!C75</f>
        <v>35390</v>
      </c>
      <c r="D756" s="2" t="str">
        <f t="shared" si="10"/>
        <v>Error?</v>
      </c>
    </row>
    <row r="757" spans="1:4">
      <c r="A757" s="5">
        <v>696</v>
      </c>
      <c r="B757" s="138">
        <f>'Expenditures 15-22'!C114</f>
        <v>12980067</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2328703</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69114</v>
      </c>
      <c r="D775" s="2" t="str">
        <f t="shared" si="11"/>
        <v>Error?</v>
      </c>
    </row>
    <row r="776" spans="1:4">
      <c r="A776" s="5">
        <v>715</v>
      </c>
      <c r="B776" s="138">
        <f>'Expenditures 15-22'!D14</f>
        <v>37248</v>
      </c>
      <c r="D776" s="2" t="str">
        <f t="shared" si="11"/>
        <v>Error?</v>
      </c>
    </row>
    <row r="777" spans="1:4">
      <c r="A777" s="5">
        <v>716</v>
      </c>
      <c r="B777" s="138">
        <f>'Expenditures 15-22'!D15</f>
        <v>1306</v>
      </c>
      <c r="D777" s="2" t="str">
        <f t="shared" si="11"/>
        <v>Error?</v>
      </c>
    </row>
    <row r="778" spans="1:4">
      <c r="A778" s="5">
        <v>717</v>
      </c>
      <c r="B778" s="138">
        <f>'Expenditures 15-22'!D33</f>
        <v>3718451</v>
      </c>
      <c r="C778" s="2" t="s">
        <v>573</v>
      </c>
      <c r="D778" s="2" t="str">
        <f t="shared" si="11"/>
        <v>Error?</v>
      </c>
    </row>
    <row r="779" spans="1:4">
      <c r="A779" s="5">
        <v>718</v>
      </c>
      <c r="B779" s="138">
        <f>'Expenditures 15-22'!D36</f>
        <v>0</v>
      </c>
      <c r="D779" s="2" t="str">
        <f t="shared" si="11"/>
        <v>Error?</v>
      </c>
    </row>
    <row r="780" spans="1:4">
      <c r="A780" s="5">
        <v>719</v>
      </c>
      <c r="B780" s="138">
        <f>'Expenditures 15-22'!D37</f>
        <v>352106</v>
      </c>
      <c r="D780" s="2" t="str">
        <f t="shared" si="11"/>
        <v>Error?</v>
      </c>
    </row>
    <row r="781" spans="1:4">
      <c r="A781" s="5">
        <v>720</v>
      </c>
      <c r="B781" s="138">
        <f>'Expenditures 15-22'!D38</f>
        <v>0</v>
      </c>
      <c r="D781" s="2" t="str">
        <f t="shared" si="11"/>
        <v>Error?</v>
      </c>
    </row>
    <row r="782" spans="1:4">
      <c r="A782" s="5">
        <v>721</v>
      </c>
      <c r="B782" s="138">
        <f>'Expenditures 15-22'!D39</f>
        <v>0</v>
      </c>
      <c r="D782" s="2" t="str">
        <f t="shared" si="11"/>
        <v>Error?</v>
      </c>
    </row>
    <row r="783" spans="1:4">
      <c r="A783" s="5">
        <v>722</v>
      </c>
      <c r="B783" s="138">
        <f>'Expenditures 15-22'!D40</f>
        <v>9802</v>
      </c>
      <c r="D783" s="2" t="str">
        <f t="shared" si="11"/>
        <v>Error?</v>
      </c>
    </row>
    <row r="784" spans="1:4">
      <c r="A784" s="5">
        <v>723</v>
      </c>
      <c r="B784" s="138">
        <f>'Expenditures 15-22'!D41</f>
        <v>116</v>
      </c>
      <c r="D784" s="2" t="str">
        <f t="shared" si="11"/>
        <v>Error?</v>
      </c>
    </row>
    <row r="785" spans="1:4">
      <c r="A785" s="5">
        <v>724</v>
      </c>
      <c r="B785" s="138">
        <f>'Expenditures 15-22'!D42</f>
        <v>362024</v>
      </c>
      <c r="C785" s="2" t="s">
        <v>573</v>
      </c>
      <c r="D785" s="2" t="str">
        <f t="shared" si="11"/>
        <v>Error?</v>
      </c>
    </row>
    <row r="786" spans="1:4">
      <c r="A786" s="5">
        <v>725</v>
      </c>
      <c r="B786" s="138">
        <f>'Expenditures 15-22'!D44</f>
        <v>76384</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76384</v>
      </c>
      <c r="C789" s="2" t="s">
        <v>573</v>
      </c>
      <c r="D789" s="2" t="str">
        <f t="shared" si="11"/>
        <v>Error?</v>
      </c>
    </row>
    <row r="790" spans="1:4">
      <c r="A790" s="5">
        <v>729</v>
      </c>
      <c r="B790" s="138">
        <f>'Expenditures 15-22'!D49</f>
        <v>0</v>
      </c>
      <c r="D790" s="2" t="str">
        <f t="shared" si="11"/>
        <v>Error?</v>
      </c>
    </row>
    <row r="791" spans="1:4">
      <c r="A791" s="5">
        <v>730</v>
      </c>
      <c r="B791" s="138">
        <f>'Expenditures 15-22'!D50</f>
        <v>94529</v>
      </c>
      <c r="D791" s="2" t="str">
        <f t="shared" si="11"/>
        <v>Error?</v>
      </c>
    </row>
    <row r="792" spans="1:4">
      <c r="A792" s="5">
        <v>731</v>
      </c>
      <c r="B792" s="138">
        <f>'Expenditures 15-22'!D53</f>
        <v>94529</v>
      </c>
      <c r="C792" s="2" t="s">
        <v>573</v>
      </c>
      <c r="D792" s="2" t="str">
        <f t="shared" si="11"/>
        <v>Error?</v>
      </c>
    </row>
    <row r="793" spans="1:4">
      <c r="A793" s="5">
        <v>732</v>
      </c>
      <c r="B793" s="138">
        <f>'Expenditures 15-22'!D55</f>
        <v>467025</v>
      </c>
      <c r="D793" s="2" t="str">
        <f t="shared" si="11"/>
        <v>Error?</v>
      </c>
    </row>
    <row r="794" spans="1:4">
      <c r="A794" s="5">
        <v>733</v>
      </c>
      <c r="B794" s="138">
        <f>'Expenditures 15-22'!D56</f>
        <v>0</v>
      </c>
      <c r="D794" s="2" t="str">
        <f t="shared" si="11"/>
        <v>Error?</v>
      </c>
    </row>
    <row r="795" spans="1:4">
      <c r="A795" s="5">
        <v>734</v>
      </c>
      <c r="B795" s="138">
        <f>'Expenditures 15-22'!D57</f>
        <v>467025</v>
      </c>
      <c r="C795" s="2" t="s">
        <v>573</v>
      </c>
      <c r="D795" s="2" t="str">
        <f t="shared" si="11"/>
        <v>Error?</v>
      </c>
    </row>
    <row r="796" spans="1:4">
      <c r="A796" s="5">
        <v>735</v>
      </c>
      <c r="B796" s="138">
        <f>'Expenditures 15-22'!D59</f>
        <v>70668</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70668</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573</v>
      </c>
      <c r="D811" s="2" t="str">
        <f t="shared" si="11"/>
        <v>Error?</v>
      </c>
    </row>
    <row r="812" spans="1:4">
      <c r="A812" s="5">
        <v>751</v>
      </c>
      <c r="B812" s="138">
        <f>'Expenditures 15-22'!D73</f>
        <v>0</v>
      </c>
      <c r="D812" s="2" t="str">
        <f t="shared" si="11"/>
        <v>Error?</v>
      </c>
    </row>
    <row r="813" spans="1:4">
      <c r="A813" s="5">
        <v>752</v>
      </c>
      <c r="B813" s="138">
        <f>'Expenditures 15-22'!D74</f>
        <v>1070630</v>
      </c>
      <c r="C813" s="2" t="s">
        <v>573</v>
      </c>
      <c r="D813" s="2" t="str">
        <f t="shared" si="11"/>
        <v>Error?</v>
      </c>
    </row>
    <row r="814" spans="1:4">
      <c r="A814" s="5">
        <v>753</v>
      </c>
      <c r="B814" s="138">
        <f>'Expenditures 15-22'!D75</f>
        <v>0</v>
      </c>
      <c r="D814" s="2" t="str">
        <f t="shared" si="11"/>
        <v>Error?</v>
      </c>
    </row>
    <row r="815" spans="1:4">
      <c r="A815" s="5">
        <v>754</v>
      </c>
      <c r="B815" s="138">
        <f>'Expenditures 15-22'!D114</f>
        <v>4789081</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104748</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47771</v>
      </c>
      <c r="D834" s="2" t="str">
        <f t="shared" si="12"/>
        <v>Error?</v>
      </c>
    </row>
    <row r="835" spans="1:4">
      <c r="A835" s="5">
        <v>774</v>
      </c>
      <c r="B835" s="138">
        <f>'Expenditures 15-22'!E15</f>
        <v>0</v>
      </c>
      <c r="D835" s="2" t="str">
        <f t="shared" si="12"/>
        <v>Error?</v>
      </c>
    </row>
    <row r="836" spans="1:4">
      <c r="A836" s="5">
        <v>775</v>
      </c>
      <c r="B836" s="138">
        <f>'Expenditures 15-22'!E33</f>
        <v>153330</v>
      </c>
      <c r="C836" s="2" t="s">
        <v>573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1038</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1038</v>
      </c>
      <c r="C843" s="2" t="s">
        <v>573</v>
      </c>
      <c r="D843" s="2" t="str">
        <f t="shared" si="12"/>
        <v>Error?</v>
      </c>
    </row>
    <row r="844" spans="1:4">
      <c r="A844" s="5">
        <v>783</v>
      </c>
      <c r="B844" s="138">
        <f>'Expenditures 15-22'!E44</f>
        <v>62720</v>
      </c>
      <c r="D844" s="2" t="str">
        <f t="shared" si="12"/>
        <v>Error?</v>
      </c>
    </row>
    <row r="845" spans="1:4">
      <c r="A845" s="5">
        <v>784</v>
      </c>
      <c r="B845" s="138">
        <f>'Expenditures 15-22'!E45</f>
        <v>153</v>
      </c>
      <c r="D845" s="2" t="str">
        <f t="shared" si="12"/>
        <v>Error?</v>
      </c>
    </row>
    <row r="846" spans="1:4">
      <c r="A846" s="5">
        <v>785</v>
      </c>
      <c r="B846" s="138">
        <f>'Expenditures 15-22'!E46</f>
        <v>98430</v>
      </c>
      <c r="D846" s="2" t="str">
        <f t="shared" si="12"/>
        <v>Error?</v>
      </c>
    </row>
    <row r="847" spans="1:4">
      <c r="A847" s="5">
        <v>786</v>
      </c>
      <c r="B847" s="138">
        <f>'Expenditures 15-22'!E47</f>
        <v>161303</v>
      </c>
      <c r="C847" s="2" t="s">
        <v>573</v>
      </c>
      <c r="D847" s="2" t="str">
        <f t="shared" si="12"/>
        <v>Error?</v>
      </c>
    </row>
    <row r="848" spans="1:4">
      <c r="A848" s="5">
        <v>787</v>
      </c>
      <c r="B848" s="138">
        <f>'Expenditures 15-22'!E49</f>
        <v>164754</v>
      </c>
      <c r="D848" s="2" t="str">
        <f t="shared" si="12"/>
        <v>Error?</v>
      </c>
    </row>
    <row r="849" spans="1:4">
      <c r="A849" s="5">
        <v>788</v>
      </c>
      <c r="B849" s="138">
        <f>'Expenditures 15-22'!E50</f>
        <v>1099</v>
      </c>
      <c r="D849" s="2" t="str">
        <f t="shared" si="12"/>
        <v>Error?</v>
      </c>
    </row>
    <row r="850" spans="1:4">
      <c r="A850" s="5">
        <v>789</v>
      </c>
      <c r="B850" s="138">
        <f>'Expenditures 15-22'!E53</f>
        <v>165853</v>
      </c>
      <c r="C850" s="2" t="s">
        <v>573</v>
      </c>
      <c r="D850" s="2" t="str">
        <f t="shared" si="12"/>
        <v>Error?</v>
      </c>
    </row>
    <row r="851" spans="1:4">
      <c r="A851" s="5">
        <v>790</v>
      </c>
      <c r="B851" s="138">
        <f>'Expenditures 15-22'!E55</f>
        <v>70120</v>
      </c>
      <c r="D851" s="2" t="str">
        <f t="shared" si="12"/>
        <v>Error?</v>
      </c>
    </row>
    <row r="852" spans="1:4">
      <c r="A852" s="5">
        <v>791</v>
      </c>
      <c r="B852" s="138">
        <f>'Expenditures 15-22'!E56</f>
        <v>0</v>
      </c>
      <c r="D852" s="2" t="str">
        <f t="shared" si="12"/>
        <v>Error?</v>
      </c>
    </row>
    <row r="853" spans="1:4">
      <c r="A853" s="5">
        <v>792</v>
      </c>
      <c r="B853" s="138">
        <f>'Expenditures 15-22'!E57</f>
        <v>70120</v>
      </c>
      <c r="C853" s="2" t="s">
        <v>573</v>
      </c>
      <c r="D853" s="2" t="str">
        <f t="shared" si="12"/>
        <v>Error?</v>
      </c>
    </row>
    <row r="854" spans="1:4">
      <c r="A854" s="5">
        <v>793</v>
      </c>
      <c r="B854" s="138">
        <f>'Expenditures 15-22'!E59</f>
        <v>305</v>
      </c>
      <c r="D854" s="2" t="str">
        <f t="shared" si="12"/>
        <v>Error?</v>
      </c>
    </row>
    <row r="855" spans="1:4">
      <c r="A855" s="5">
        <v>794</v>
      </c>
      <c r="B855" s="138">
        <f>'Expenditures 15-22'!E60</f>
        <v>336</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622673</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623314</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573</v>
      </c>
      <c r="D869" s="2" t="str">
        <f t="shared" si="12"/>
        <v>Error?</v>
      </c>
    </row>
    <row r="870" spans="1:4">
      <c r="A870" s="5">
        <v>809</v>
      </c>
      <c r="B870" s="138">
        <f>'Expenditures 15-22'!E73</f>
        <v>0</v>
      </c>
      <c r="D870" s="2" t="str">
        <f t="shared" si="12"/>
        <v>Error?</v>
      </c>
    </row>
    <row r="871" spans="1:4">
      <c r="A871" s="5">
        <v>810</v>
      </c>
      <c r="B871" s="138">
        <f>'Expenditures 15-22'!E74</f>
        <v>1021628</v>
      </c>
      <c r="C871" s="2" t="s">
        <v>573</v>
      </c>
      <c r="D871" s="2" t="str">
        <f t="shared" si="12"/>
        <v>Error?</v>
      </c>
    </row>
    <row r="872" spans="1:4">
      <c r="A872" s="5">
        <v>811</v>
      </c>
      <c r="B872" s="138">
        <f>'Expenditures 15-22'!E75</f>
        <v>9968</v>
      </c>
      <c r="D872" s="2" t="str">
        <f t="shared" si="12"/>
        <v>Error?</v>
      </c>
    </row>
    <row r="873" spans="1:4">
      <c r="A873" s="5">
        <v>812</v>
      </c>
      <c r="B873" s="138">
        <f>'Expenditures 15-22'!E114</f>
        <v>1184926</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69654</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9489</v>
      </c>
      <c r="D891" s="2" t="str">
        <f t="shared" si="12"/>
        <v>Error?</v>
      </c>
    </row>
    <row r="892" spans="1:4">
      <c r="A892" s="5">
        <v>831</v>
      </c>
      <c r="B892" s="138">
        <f>'Expenditures 15-22'!F14</f>
        <v>21206</v>
      </c>
      <c r="D892" s="2" t="str">
        <f t="shared" si="12"/>
        <v>Error?</v>
      </c>
    </row>
    <row r="893" spans="1:4">
      <c r="A893" s="5">
        <v>832</v>
      </c>
      <c r="B893" s="138">
        <f>'Expenditures 15-22'!F15</f>
        <v>0</v>
      </c>
      <c r="D893" s="2" t="str">
        <f t="shared" si="12"/>
        <v>Error?</v>
      </c>
    </row>
    <row r="894" spans="1:4">
      <c r="A894" s="5">
        <v>833</v>
      </c>
      <c r="B894" s="138">
        <f>'Expenditures 15-22'!F33</f>
        <v>123464</v>
      </c>
      <c r="C894" s="2" t="s">
        <v>573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5361</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5361</v>
      </c>
      <c r="C901" s="2" t="s">
        <v>573</v>
      </c>
      <c r="D901" s="2" t="str">
        <f t="shared" si="13"/>
        <v>Error?</v>
      </c>
    </row>
    <row r="902" spans="1:4">
      <c r="A902" s="5">
        <v>841</v>
      </c>
      <c r="B902" s="138">
        <f>'Expenditures 15-22'!F44</f>
        <v>109688</v>
      </c>
      <c r="D902" s="2" t="str">
        <f t="shared" si="13"/>
        <v>Error?</v>
      </c>
    </row>
    <row r="903" spans="1:4">
      <c r="A903" s="5">
        <v>842</v>
      </c>
      <c r="B903" s="138">
        <f>'Expenditures 15-22'!F45</f>
        <v>18735</v>
      </c>
      <c r="D903" s="2" t="str">
        <f t="shared" si="13"/>
        <v>Error?</v>
      </c>
    </row>
    <row r="904" spans="1:4">
      <c r="A904" s="5">
        <v>843</v>
      </c>
      <c r="B904" s="138">
        <f>'Expenditures 15-22'!F46</f>
        <v>0</v>
      </c>
      <c r="D904" s="2" t="str">
        <f t="shared" si="13"/>
        <v>Error?</v>
      </c>
    </row>
    <row r="905" spans="1:4">
      <c r="A905" s="5">
        <v>844</v>
      </c>
      <c r="B905" s="138">
        <f>'Expenditures 15-22'!F47</f>
        <v>128423</v>
      </c>
      <c r="C905" s="2" t="s">
        <v>573</v>
      </c>
      <c r="D905" s="2" t="str">
        <f t="shared" si="13"/>
        <v>Error?</v>
      </c>
    </row>
    <row r="906" spans="1:4">
      <c r="A906" s="5">
        <v>845</v>
      </c>
      <c r="B906" s="138">
        <f>'Expenditures 15-22'!F49</f>
        <v>66790</v>
      </c>
      <c r="D906" s="2" t="str">
        <f t="shared" si="13"/>
        <v>Error?</v>
      </c>
    </row>
    <row r="907" spans="1:4">
      <c r="A907" s="5">
        <v>846</v>
      </c>
      <c r="B907" s="138">
        <f>'Expenditures 15-22'!F50</f>
        <v>1280</v>
      </c>
      <c r="D907" s="2" t="str">
        <f t="shared" si="13"/>
        <v>Error?</v>
      </c>
    </row>
    <row r="908" spans="1:4">
      <c r="A908" s="5">
        <v>847</v>
      </c>
      <c r="B908" s="138">
        <f>'Expenditures 15-22'!F53</f>
        <v>68070</v>
      </c>
      <c r="C908" s="2" t="s">
        <v>573</v>
      </c>
      <c r="D908" s="2" t="str">
        <f t="shared" si="13"/>
        <v>Error?</v>
      </c>
    </row>
    <row r="909" spans="1:4">
      <c r="A909" s="5">
        <v>848</v>
      </c>
      <c r="B909" s="138">
        <f>'Expenditures 15-22'!F55</f>
        <v>50526</v>
      </c>
      <c r="D909" s="2" t="str">
        <f t="shared" si="13"/>
        <v>Error?</v>
      </c>
    </row>
    <row r="910" spans="1:4">
      <c r="A910" s="5">
        <v>849</v>
      </c>
      <c r="B910" s="138">
        <f>'Expenditures 15-22'!F56</f>
        <v>0</v>
      </c>
      <c r="D910" s="2" t="str">
        <f t="shared" si="13"/>
        <v>Error?</v>
      </c>
    </row>
    <row r="911" spans="1:4">
      <c r="A911" s="5">
        <v>850</v>
      </c>
      <c r="B911" s="138">
        <f>'Expenditures 15-22'!F57</f>
        <v>50526</v>
      </c>
      <c r="C911" s="2" t="s">
        <v>573</v>
      </c>
      <c r="D911" s="2" t="str">
        <f t="shared" si="13"/>
        <v>Error?</v>
      </c>
    </row>
    <row r="912" spans="1:4">
      <c r="A912" s="5">
        <v>851</v>
      </c>
      <c r="B912" s="138">
        <f>'Expenditures 15-22'!F59</f>
        <v>1847</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10879</v>
      </c>
      <c r="D916" s="2" t="str">
        <f t="shared" si="13"/>
        <v>Error?</v>
      </c>
    </row>
    <row r="917" spans="1:4">
      <c r="A917" s="5">
        <v>856</v>
      </c>
      <c r="B917" s="138">
        <f>'Expenditures 15-22'!F64</f>
        <v>493</v>
      </c>
      <c r="D917" s="2" t="str">
        <f t="shared" si="13"/>
        <v>Error?</v>
      </c>
    </row>
    <row r="918" spans="1:4">
      <c r="A918" s="10">
        <v>857</v>
      </c>
      <c r="D918" s="2" t="str">
        <f t="shared" si="13"/>
        <v>OK</v>
      </c>
    </row>
    <row r="919" spans="1:4">
      <c r="A919" s="5">
        <v>858</v>
      </c>
      <c r="B919" s="138">
        <f>'Expenditures 15-22'!F65</f>
        <v>13219</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265599</v>
      </c>
      <c r="C929" s="2" t="s">
        <v>573</v>
      </c>
      <c r="D929" s="2" t="str">
        <f t="shared" si="13"/>
        <v>Error?</v>
      </c>
    </row>
    <row r="930" spans="1:4">
      <c r="A930" s="5">
        <v>869</v>
      </c>
      <c r="B930" s="138">
        <f>'Expenditures 15-22'!F75</f>
        <v>5949</v>
      </c>
      <c r="D930" s="2" t="str">
        <f t="shared" si="13"/>
        <v>Error?</v>
      </c>
    </row>
    <row r="931" spans="1:4">
      <c r="A931" s="5">
        <v>870</v>
      </c>
      <c r="B931" s="138">
        <f>'Expenditures 15-22'!F114</f>
        <v>395012</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199683</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199683</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2776</v>
      </c>
      <c r="D967" s="2" t="str">
        <f t="shared" si="14"/>
        <v>Error?</v>
      </c>
    </row>
    <row r="968" spans="1:4">
      <c r="A968" s="5">
        <v>907</v>
      </c>
      <c r="B968" s="138">
        <f>'Expenditures 15-22'!G56</f>
        <v>0</v>
      </c>
      <c r="D968" s="2" t="str">
        <f t="shared" si="14"/>
        <v>Error?</v>
      </c>
    </row>
    <row r="969" spans="1:4">
      <c r="A969" s="5">
        <v>908</v>
      </c>
      <c r="B969" s="138">
        <f>'Expenditures 15-22'!G57</f>
        <v>2776</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2776</v>
      </c>
      <c r="C987" s="2" t="s">
        <v>573</v>
      </c>
      <c r="D987" s="2" t="str">
        <f t="shared" si="14"/>
        <v>Error?</v>
      </c>
    </row>
    <row r="988" spans="1:4">
      <c r="A988" s="5">
        <v>927</v>
      </c>
      <c r="B988" s="138">
        <f>'Expenditures 15-22'!G75</f>
        <v>0</v>
      </c>
      <c r="D988" s="2" t="str">
        <f t="shared" si="14"/>
        <v>Error?</v>
      </c>
    </row>
    <row r="989" spans="1:4">
      <c r="A989" s="5">
        <v>928</v>
      </c>
      <c r="B989" s="138">
        <f>'Expenditures 15-22'!G114</f>
        <v>202459</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24666</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27646</v>
      </c>
      <c r="D1008" s="2" t="str">
        <f t="shared" si="14"/>
        <v>Error?</v>
      </c>
    </row>
    <row r="1009" spans="1:4">
      <c r="A1009" s="5">
        <v>948</v>
      </c>
      <c r="B1009" s="138">
        <f>'Expenditures 15-22'!H15</f>
        <v>0</v>
      </c>
      <c r="D1009" s="2" t="str">
        <f t="shared" si="14"/>
        <v>Error?</v>
      </c>
    </row>
    <row r="1010" spans="1:4">
      <c r="A1010" s="5">
        <v>949</v>
      </c>
      <c r="B1010" s="138">
        <f>'Expenditures 15-22'!H33</f>
        <v>52312</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13555</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13555</v>
      </c>
      <c r="C1021" s="2" t="s">
        <v>573</v>
      </c>
      <c r="D1021" s="2" t="str">
        <f t="shared" si="14"/>
        <v>Error?</v>
      </c>
    </row>
    <row r="1022" spans="1:4">
      <c r="A1022" s="5">
        <v>961</v>
      </c>
      <c r="B1022" s="138">
        <f>'Expenditures 15-22'!H49</f>
        <v>10114</v>
      </c>
      <c r="D1022" s="2" t="str">
        <f t="shared" si="14"/>
        <v>Error?</v>
      </c>
    </row>
    <row r="1023" spans="1:4">
      <c r="A1023" s="5">
        <v>962</v>
      </c>
      <c r="B1023" s="138">
        <f>'Expenditures 15-22'!H50</f>
        <v>1993</v>
      </c>
      <c r="D1023" s="2" t="str">
        <f t="shared" ref="D1023:D1086" si="15">IF(ISBLANK(B1023),"OK",IF(A1023-B1023=0,"OK","Error?"))</f>
        <v>Error?</v>
      </c>
    </row>
    <row r="1024" spans="1:4">
      <c r="A1024" s="5">
        <v>963</v>
      </c>
      <c r="B1024" s="138">
        <f>'Expenditures 15-22'!H53</f>
        <v>12107</v>
      </c>
      <c r="C1024" s="2" t="s">
        <v>573</v>
      </c>
      <c r="D1024" s="2" t="str">
        <f t="shared" si="15"/>
        <v>Error?</v>
      </c>
    </row>
    <row r="1025" spans="1:4">
      <c r="A1025" s="5">
        <v>964</v>
      </c>
      <c r="B1025" s="138">
        <f>'Expenditures 15-22'!H55</f>
        <v>3926</v>
      </c>
      <c r="D1025" s="2" t="str">
        <f t="shared" si="15"/>
        <v>Error?</v>
      </c>
    </row>
    <row r="1026" spans="1:4">
      <c r="A1026" s="5">
        <v>965</v>
      </c>
      <c r="B1026" s="138">
        <f>'Expenditures 15-22'!H56</f>
        <v>0</v>
      </c>
      <c r="D1026" s="2" t="str">
        <f t="shared" si="15"/>
        <v>Error?</v>
      </c>
    </row>
    <row r="1027" spans="1:4">
      <c r="A1027" s="5">
        <v>966</v>
      </c>
      <c r="B1027" s="138">
        <f>'Expenditures 15-22'!H57</f>
        <v>3926</v>
      </c>
      <c r="C1027" s="2" t="s">
        <v>573</v>
      </c>
      <c r="D1027" s="2" t="str">
        <f t="shared" si="15"/>
        <v>Error?</v>
      </c>
    </row>
    <row r="1028" spans="1:4">
      <c r="A1028" s="5">
        <v>967</v>
      </c>
      <c r="B1028" s="138">
        <f>'Expenditures 15-22'!H59</f>
        <v>885</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885</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30473</v>
      </c>
      <c r="C1045" s="2" t="s">
        <v>573</v>
      </c>
      <c r="D1045" s="2" t="str">
        <f t="shared" si="15"/>
        <v>Error?</v>
      </c>
    </row>
    <row r="1046" spans="1:4">
      <c r="A1046" s="5">
        <v>985</v>
      </c>
      <c r="B1046" s="138">
        <f>'Expenditures 15-22'!H75</f>
        <v>0</v>
      </c>
      <c r="D1046" s="2" t="str">
        <f t="shared" si="15"/>
        <v>Error?</v>
      </c>
    </row>
    <row r="1047" spans="1:4">
      <c r="A1047" s="5">
        <v>986</v>
      </c>
      <c r="B1047" s="138">
        <f>'Expenditures 15-22'!H102</f>
        <v>2074061</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2156846</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10618044</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229003</v>
      </c>
      <c r="C1105" s="2" t="s">
        <v>573</v>
      </c>
      <c r="D1105" s="2" t="str">
        <f t="shared" si="16"/>
        <v>Error?</v>
      </c>
    </row>
    <row r="1106" spans="1:4">
      <c r="A1106" s="5">
        <v>1045</v>
      </c>
      <c r="B1106" s="138">
        <f>'Expenditures 15-22'!K14</f>
        <v>580367</v>
      </c>
      <c r="C1106" s="2" t="s">
        <v>573</v>
      </c>
      <c r="D1106" s="2" t="str">
        <f t="shared" si="16"/>
        <v>Error?</v>
      </c>
    </row>
    <row r="1107" spans="1:4">
      <c r="A1107" s="5">
        <v>1046</v>
      </c>
      <c r="B1107" s="138">
        <f>'Expenditures 15-22'!K15</f>
        <v>12506</v>
      </c>
      <c r="C1107" s="2" t="s">
        <v>573</v>
      </c>
      <c r="D1107" s="2" t="str">
        <f t="shared" si="16"/>
        <v>Error?</v>
      </c>
    </row>
    <row r="1108" spans="1:4">
      <c r="A1108" s="5">
        <v>1047</v>
      </c>
      <c r="B1108" s="138">
        <f>'Expenditures 15-22'!K33</f>
        <v>14895841</v>
      </c>
      <c r="C1108" s="2" t="s">
        <v>573</v>
      </c>
      <c r="D1108" s="2" t="str">
        <f t="shared" si="16"/>
        <v>Error?</v>
      </c>
    </row>
    <row r="1109" spans="1:4">
      <c r="A1109" s="5">
        <v>1048</v>
      </c>
      <c r="B1109" s="138">
        <f>'Expenditures 15-22'!K36</f>
        <v>0</v>
      </c>
      <c r="C1109" s="2" t="s">
        <v>573</v>
      </c>
      <c r="D1109" s="2" t="str">
        <f t="shared" si="16"/>
        <v>Error?</v>
      </c>
    </row>
    <row r="1110" spans="1:4">
      <c r="A1110" s="5">
        <v>1049</v>
      </c>
      <c r="B1110" s="138">
        <f>'Expenditures 15-22'!K37</f>
        <v>796740</v>
      </c>
      <c r="C1110" s="2" t="s">
        <v>573</v>
      </c>
      <c r="D1110" s="2" t="str">
        <f t="shared" si="16"/>
        <v>Error?</v>
      </c>
    </row>
    <row r="1111" spans="1:4">
      <c r="A1111" s="5">
        <v>1050</v>
      </c>
      <c r="B1111" s="138">
        <f>'Expenditures 15-22'!K38</f>
        <v>162558</v>
      </c>
      <c r="C1111" s="2" t="s">
        <v>573</v>
      </c>
      <c r="D1111" s="2" t="str">
        <f t="shared" si="16"/>
        <v>Error?</v>
      </c>
    </row>
    <row r="1112" spans="1:4">
      <c r="A1112" s="5">
        <v>1051</v>
      </c>
      <c r="B1112" s="138">
        <f>'Expenditures 15-22'!K39</f>
        <v>0</v>
      </c>
      <c r="C1112" s="2" t="s">
        <v>573</v>
      </c>
      <c r="D1112" s="2" t="str">
        <f t="shared" si="16"/>
        <v>Error?</v>
      </c>
    </row>
    <row r="1113" spans="1:4">
      <c r="A1113" s="5">
        <v>1052</v>
      </c>
      <c r="B1113" s="138">
        <f>'Expenditures 15-22'!K40</f>
        <v>89248</v>
      </c>
      <c r="C1113" s="2" t="s">
        <v>573</v>
      </c>
      <c r="D1113" s="2" t="str">
        <f t="shared" si="16"/>
        <v>Error?</v>
      </c>
    </row>
    <row r="1114" spans="1:4">
      <c r="A1114" s="5">
        <v>1053</v>
      </c>
      <c r="B1114" s="138">
        <f>'Expenditures 15-22'!K41</f>
        <v>9144</v>
      </c>
      <c r="C1114" s="2" t="s">
        <v>573</v>
      </c>
      <c r="D1114" s="2" t="str">
        <f t="shared" si="16"/>
        <v>Error?</v>
      </c>
    </row>
    <row r="1115" spans="1:4">
      <c r="A1115" s="5">
        <v>1054</v>
      </c>
      <c r="B1115" s="138">
        <f>'Expenditures 15-22'!K42</f>
        <v>1057690</v>
      </c>
      <c r="C1115" s="2" t="s">
        <v>573</v>
      </c>
      <c r="D1115" s="2" t="str">
        <f t="shared" si="16"/>
        <v>Error?</v>
      </c>
    </row>
    <row r="1116" spans="1:4">
      <c r="A1116" s="5">
        <v>1055</v>
      </c>
      <c r="B1116" s="138">
        <f>'Expenditures 15-22'!K44</f>
        <v>467326</v>
      </c>
      <c r="C1116" s="2" t="s">
        <v>573</v>
      </c>
      <c r="D1116" s="2" t="str">
        <f t="shared" si="16"/>
        <v>Error?</v>
      </c>
    </row>
    <row r="1117" spans="1:4">
      <c r="A1117" s="5">
        <v>1056</v>
      </c>
      <c r="B1117" s="138">
        <f>'Expenditures 15-22'!K45</f>
        <v>62948</v>
      </c>
      <c r="C1117" s="2" t="s">
        <v>573</v>
      </c>
      <c r="D1117" s="2" t="str">
        <f t="shared" si="16"/>
        <v>Error?</v>
      </c>
    </row>
    <row r="1118" spans="1:4">
      <c r="A1118" s="5">
        <v>1057</v>
      </c>
      <c r="B1118" s="138">
        <f>'Expenditures 15-22'!K46</f>
        <v>98430</v>
      </c>
      <c r="C1118" s="2" t="s">
        <v>573</v>
      </c>
      <c r="D1118" s="2" t="str">
        <f t="shared" si="16"/>
        <v>Error?</v>
      </c>
    </row>
    <row r="1119" spans="1:4">
      <c r="A1119" s="5">
        <v>1058</v>
      </c>
      <c r="B1119" s="138">
        <f>'Expenditures 15-22'!K47</f>
        <v>628704</v>
      </c>
      <c r="C1119" s="2" t="s">
        <v>573</v>
      </c>
      <c r="D1119" s="2" t="str">
        <f t="shared" si="16"/>
        <v>Error?</v>
      </c>
    </row>
    <row r="1120" spans="1:4">
      <c r="A1120" s="5">
        <v>1059</v>
      </c>
      <c r="B1120" s="138">
        <f>'Expenditures 15-22'!K49</f>
        <v>241658</v>
      </c>
      <c r="C1120" s="2" t="s">
        <v>573</v>
      </c>
      <c r="D1120" s="2" t="str">
        <f t="shared" si="16"/>
        <v>Error?</v>
      </c>
    </row>
    <row r="1121" spans="1:4">
      <c r="A1121" s="5">
        <v>1060</v>
      </c>
      <c r="B1121" s="138">
        <f>'Expenditures 15-22'!K50</f>
        <v>292584</v>
      </c>
      <c r="C1121" s="2" t="s">
        <v>573</v>
      </c>
      <c r="D1121" s="2" t="str">
        <f t="shared" si="16"/>
        <v>Error?</v>
      </c>
    </row>
    <row r="1122" spans="1:4">
      <c r="A1122" s="5">
        <v>1061</v>
      </c>
      <c r="B1122" s="138">
        <f>'Expenditures 15-22'!K53</f>
        <v>534242</v>
      </c>
      <c r="C1122" s="2" t="s">
        <v>573</v>
      </c>
      <c r="D1122" s="2" t="str">
        <f t="shared" si="16"/>
        <v>Error?</v>
      </c>
    </row>
    <row r="1123" spans="1:4">
      <c r="A1123" s="5">
        <v>1062</v>
      </c>
      <c r="B1123" s="138">
        <f>'Expenditures 15-22'!K55</f>
        <v>1569407</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1569407</v>
      </c>
      <c r="C1125" s="2" t="s">
        <v>573</v>
      </c>
      <c r="D1125" s="2" t="str">
        <f t="shared" si="16"/>
        <v>Error?</v>
      </c>
    </row>
    <row r="1126" spans="1:4">
      <c r="A1126" s="5">
        <v>1065</v>
      </c>
      <c r="B1126" s="138">
        <f>'Expenditures 15-22'!K59</f>
        <v>186553</v>
      </c>
      <c r="C1126" s="2" t="s">
        <v>573</v>
      </c>
      <c r="D1126" s="2" t="str">
        <f t="shared" si="16"/>
        <v>Error?</v>
      </c>
    </row>
    <row r="1127" spans="1:4">
      <c r="A1127" s="5">
        <v>1066</v>
      </c>
      <c r="B1127" s="138">
        <f>'Expenditures 15-22'!K60</f>
        <v>37054</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633552</v>
      </c>
      <c r="C1130" s="2" t="s">
        <v>573</v>
      </c>
      <c r="D1130" s="2" t="str">
        <f t="shared" si="16"/>
        <v>Error?</v>
      </c>
    </row>
    <row r="1131" spans="1:4">
      <c r="A1131" s="5">
        <v>1070</v>
      </c>
      <c r="B1131" s="138">
        <f>'Expenditures 15-22'!K64</f>
        <v>39980</v>
      </c>
      <c r="C1131" s="2" t="s">
        <v>573</v>
      </c>
      <c r="D1131" s="2" t="str">
        <f t="shared" si="16"/>
        <v>Error?</v>
      </c>
    </row>
    <row r="1132" spans="1:4">
      <c r="A1132" s="10">
        <v>1071</v>
      </c>
      <c r="D1132" s="2" t="str">
        <f t="shared" si="16"/>
        <v>OK</v>
      </c>
    </row>
    <row r="1133" spans="1:4">
      <c r="A1133" s="5">
        <v>1072</v>
      </c>
      <c r="B1133" s="138">
        <f>'Expenditures 15-22'!K65</f>
        <v>897139</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0</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4687182</v>
      </c>
      <c r="C1143" s="2" t="s">
        <v>573</v>
      </c>
      <c r="D1143" s="2" t="str">
        <f t="shared" si="16"/>
        <v>Error?</v>
      </c>
    </row>
    <row r="1144" spans="1:4">
      <c r="A1144" s="5">
        <v>1083</v>
      </c>
      <c r="B1144" s="138">
        <f>'Expenditures 15-22'!K75</f>
        <v>51307</v>
      </c>
      <c r="C1144" s="2" t="s">
        <v>573</v>
      </c>
      <c r="D1144" s="2" t="str">
        <f t="shared" si="16"/>
        <v>Error?</v>
      </c>
    </row>
    <row r="1145" spans="1:4">
      <c r="A1145" s="5">
        <v>1084</v>
      </c>
      <c r="B1145" s="138">
        <f>'Expenditures 15-22'!K102</f>
        <v>2074061</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21708391</v>
      </c>
      <c r="C1152" s="2" t="s">
        <v>573</v>
      </c>
      <c r="D1152" s="2" t="str">
        <f t="shared" si="17"/>
        <v>Error?</v>
      </c>
    </row>
    <row r="1153" spans="1:4">
      <c r="A1153" s="5">
        <v>1092</v>
      </c>
      <c r="B1153" s="138">
        <f>'Expenditures 15-22'!K115</f>
        <v>-366096</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898824</v>
      </c>
      <c r="D1221" s="2" t="str">
        <f t="shared" si="18"/>
        <v>Error?</v>
      </c>
    </row>
    <row r="1222" spans="1:4">
      <c r="A1222" s="10">
        <v>1161</v>
      </c>
      <c r="D1222" s="2" t="str">
        <f t="shared" si="18"/>
        <v>OK</v>
      </c>
    </row>
    <row r="1223" spans="1:4">
      <c r="A1223" s="5">
        <v>1162</v>
      </c>
      <c r="B1223" s="138">
        <f>'Expenditures 15-22'!C127</f>
        <v>898824</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898824</v>
      </c>
      <c r="C1225" s="2" t="s">
        <v>573</v>
      </c>
      <c r="D1225" s="2" t="str">
        <f t="shared" si="18"/>
        <v>Error?</v>
      </c>
    </row>
    <row r="1226" spans="1:4">
      <c r="A1226" s="5">
        <v>1165</v>
      </c>
      <c r="B1226" s="138">
        <f>'Expenditures 15-22'!C151</f>
        <v>898824</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418198</v>
      </c>
      <c r="D1229" s="2" t="str">
        <f t="shared" si="18"/>
        <v>Error?</v>
      </c>
    </row>
    <row r="1230" spans="1:4">
      <c r="A1230" s="10">
        <v>1169</v>
      </c>
      <c r="D1230" s="2" t="str">
        <f t="shared" si="18"/>
        <v>OK</v>
      </c>
    </row>
    <row r="1231" spans="1:4">
      <c r="A1231" s="5">
        <v>1170</v>
      </c>
      <c r="B1231" s="138">
        <f>'Expenditures 15-22'!D127</f>
        <v>418198</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418198</v>
      </c>
      <c r="C1233" s="2" t="s">
        <v>573</v>
      </c>
      <c r="D1233" s="2" t="str">
        <f t="shared" si="18"/>
        <v>Error?</v>
      </c>
    </row>
    <row r="1234" spans="1:4">
      <c r="A1234" s="5">
        <v>1173</v>
      </c>
      <c r="B1234" s="138">
        <f>'Expenditures 15-22'!D151</f>
        <v>418198</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252615</v>
      </c>
      <c r="D1237" s="2" t="str">
        <f t="shared" si="18"/>
        <v>Error?</v>
      </c>
    </row>
    <row r="1238" spans="1:4">
      <c r="A1238" s="10">
        <v>1177</v>
      </c>
      <c r="D1238" s="2" t="str">
        <f t="shared" si="18"/>
        <v>OK</v>
      </c>
    </row>
    <row r="1239" spans="1:4">
      <c r="A1239" s="5">
        <v>1178</v>
      </c>
      <c r="B1239" s="138">
        <f>'Expenditures 15-22'!E127</f>
        <v>252615</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252615</v>
      </c>
      <c r="C1241" s="2" t="s">
        <v>573</v>
      </c>
      <c r="D1241" s="2" t="str">
        <f t="shared" si="18"/>
        <v>Error?</v>
      </c>
    </row>
    <row r="1242" spans="1:4">
      <c r="A1242" s="5">
        <v>1181</v>
      </c>
      <c r="B1242" s="138">
        <f>'Expenditures 15-22'!E151</f>
        <v>252615</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434778</v>
      </c>
      <c r="D1245" s="2" t="str">
        <f t="shared" si="18"/>
        <v>Error?</v>
      </c>
    </row>
    <row r="1246" spans="1:4">
      <c r="A1246" s="10">
        <v>1185</v>
      </c>
      <c r="D1246" s="2" t="str">
        <f t="shared" si="18"/>
        <v>OK</v>
      </c>
    </row>
    <row r="1247" spans="1:4">
      <c r="A1247" s="5">
        <v>1186</v>
      </c>
      <c r="B1247" s="138">
        <f>'Expenditures 15-22'!F127</f>
        <v>434778</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434778</v>
      </c>
      <c r="C1249" s="2" t="s">
        <v>573</v>
      </c>
      <c r="D1249" s="2" t="str">
        <f t="shared" si="18"/>
        <v>Error?</v>
      </c>
    </row>
    <row r="1250" spans="1:4">
      <c r="A1250" s="5">
        <v>1189</v>
      </c>
      <c r="B1250" s="138">
        <f>'Expenditures 15-22'!F151</f>
        <v>434778</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6821</v>
      </c>
      <c r="D1252" s="2" t="str">
        <f t="shared" si="18"/>
        <v>Error?</v>
      </c>
    </row>
    <row r="1253" spans="1:4">
      <c r="A1253" s="5">
        <v>1192</v>
      </c>
      <c r="B1253" s="138">
        <f>'Expenditures 15-22'!G124</f>
        <v>101540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108361</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108361</v>
      </c>
      <c r="C1258" s="2" t="s">
        <v>573</v>
      </c>
      <c r="D1258" s="2" t="str">
        <f t="shared" si="18"/>
        <v>Error?</v>
      </c>
    </row>
    <row r="1259" spans="1:4">
      <c r="A1259" s="5">
        <v>1198</v>
      </c>
      <c r="B1259" s="138">
        <f>'Expenditures 15-22'!G151</f>
        <v>108361</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2085</v>
      </c>
      <c r="D1262" s="2" t="str">
        <f t="shared" si="18"/>
        <v>Error?</v>
      </c>
    </row>
    <row r="1263" spans="1:4">
      <c r="A1263" s="10">
        <v>1202</v>
      </c>
      <c r="D1263" s="2" t="str">
        <f t="shared" si="18"/>
        <v>OK</v>
      </c>
    </row>
    <row r="1264" spans="1:4">
      <c r="A1264" s="5">
        <v>1203</v>
      </c>
      <c r="B1264" s="138">
        <f>'Expenditures 15-22'!H127</f>
        <v>2085</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2085</v>
      </c>
      <c r="C1266" s="2" t="s">
        <v>573</v>
      </c>
      <c r="D1266" s="2" t="str">
        <f t="shared" si="18"/>
        <v>Error?</v>
      </c>
    </row>
    <row r="1267" spans="1:4">
      <c r="A1267" s="5">
        <v>1206</v>
      </c>
      <c r="B1267" s="138">
        <f>'Expenditures 15-22'!H139</f>
        <v>24144</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26229</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6821</v>
      </c>
      <c r="C1275" s="2" t="s">
        <v>573</v>
      </c>
      <c r="D1275" s="2" t="str">
        <f t="shared" si="18"/>
        <v>Error?</v>
      </c>
    </row>
    <row r="1276" spans="1:4">
      <c r="A1276" s="5">
        <v>1215</v>
      </c>
      <c r="B1276" s="138">
        <f>'Expenditures 15-22'!K124</f>
        <v>2108040</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2114861</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2114861</v>
      </c>
      <c r="C1281" s="2" t="s">
        <v>573</v>
      </c>
      <c r="D1281" s="2" t="str">
        <f t="shared" si="19"/>
        <v>Error?</v>
      </c>
    </row>
    <row r="1282" spans="1:4">
      <c r="A1282" s="5">
        <v>1221</v>
      </c>
      <c r="B1282" s="138">
        <f>'Expenditures 15-22'!K139</f>
        <v>24144</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2139005</v>
      </c>
      <c r="C1288" s="2" t="s">
        <v>573</v>
      </c>
      <c r="D1288" s="2" t="str">
        <f t="shared" si="19"/>
        <v>Error?</v>
      </c>
    </row>
    <row r="1289" spans="1:4">
      <c r="A1289" s="5">
        <v>1228</v>
      </c>
      <c r="B1289" s="138">
        <f>'Expenditures 15-22'!K152</f>
        <v>-6226</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1319527</v>
      </c>
      <c r="C1314" s="2" t="s">
        <v>573</v>
      </c>
      <c r="D1314" s="2" t="str">
        <f t="shared" si="19"/>
        <v>Error?</v>
      </c>
    </row>
    <row r="1315" spans="1:4">
      <c r="A1315" s="5">
        <v>1254</v>
      </c>
      <c r="B1315" s="138">
        <f>'Expenditures 15-22'!H170</f>
        <v>980000</v>
      </c>
      <c r="D1315" s="2" t="str">
        <f t="shared" si="19"/>
        <v>Error?</v>
      </c>
    </row>
    <row r="1316" spans="1:4">
      <c r="A1316" s="5">
        <v>1255</v>
      </c>
      <c r="B1316" s="138">
        <f>'Expenditures 15-22'!H171</f>
        <v>4130</v>
      </c>
      <c r="D1316" s="2" t="str">
        <f t="shared" si="19"/>
        <v>Error?</v>
      </c>
    </row>
    <row r="1317" spans="1:4">
      <c r="A1317" s="5">
        <v>1256</v>
      </c>
      <c r="B1317" s="138">
        <f>'Expenditures 15-22'!H172</f>
        <v>2303657</v>
      </c>
      <c r="C1317" s="2" t="s">
        <v>573</v>
      </c>
      <c r="D1317" s="2" t="str">
        <f t="shared" si="19"/>
        <v>Error?</v>
      </c>
    </row>
    <row r="1318" spans="1:4">
      <c r="A1318" s="5">
        <v>1257</v>
      </c>
      <c r="B1318" s="138">
        <f>'Expenditures 15-22'!H174</f>
        <v>2303657</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0</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1319527</v>
      </c>
      <c r="C1328" s="2" t="s">
        <v>573</v>
      </c>
      <c r="D1328" s="2" t="str">
        <f t="shared" si="19"/>
        <v>Error?</v>
      </c>
    </row>
    <row r="1329" spans="1:4">
      <c r="A1329" s="5">
        <v>1268</v>
      </c>
      <c r="B1329" s="138">
        <f>'Expenditures 15-22'!K170</f>
        <v>980000</v>
      </c>
      <c r="C1329" s="2" t="s">
        <v>573</v>
      </c>
      <c r="D1329" s="2" t="str">
        <f t="shared" si="19"/>
        <v>Error?</v>
      </c>
    </row>
    <row r="1330" spans="1:4">
      <c r="A1330" s="5">
        <v>1269</v>
      </c>
      <c r="B1330" s="138">
        <f>'Expenditures 15-22'!K171</f>
        <v>4130</v>
      </c>
      <c r="C1330" s="2" t="s">
        <v>573</v>
      </c>
      <c r="D1330" s="2" t="str">
        <f t="shared" si="19"/>
        <v>Error?</v>
      </c>
    </row>
    <row r="1331" spans="1:4">
      <c r="A1331" s="5">
        <v>1270</v>
      </c>
      <c r="B1331" s="138">
        <f>'Expenditures 15-22'!K172</f>
        <v>2303657</v>
      </c>
      <c r="C1331" s="2" t="s">
        <v>573</v>
      </c>
      <c r="D1331" s="2" t="str">
        <f t="shared" si="19"/>
        <v>Error?</v>
      </c>
    </row>
    <row r="1332" spans="1:4">
      <c r="A1332" s="5">
        <v>1271</v>
      </c>
      <c r="B1332" s="138">
        <f>'Expenditures 15-22'!K174</f>
        <v>2303657</v>
      </c>
      <c r="C1332" s="2" t="s">
        <v>573</v>
      </c>
      <c r="D1332" s="2" t="str">
        <f t="shared" si="19"/>
        <v>Error?</v>
      </c>
    </row>
    <row r="1333" spans="1:4">
      <c r="A1333" s="5">
        <v>1272</v>
      </c>
      <c r="B1333" s="138">
        <f>'Expenditures 15-22'!K175</f>
        <v>349688</v>
      </c>
      <c r="C1333" s="2" t="s">
        <v>573</v>
      </c>
      <c r="D1333" s="2" t="str">
        <f t="shared" si="19"/>
        <v>Error?</v>
      </c>
    </row>
    <row r="1334" spans="1:4">
      <c r="A1334" s="10">
        <v>1273</v>
      </c>
      <c r="D1334" s="2" t="str">
        <f t="shared" si="19"/>
        <v>OK</v>
      </c>
    </row>
    <row r="1335" spans="1:4">
      <c r="A1335" s="5">
        <v>1274</v>
      </c>
      <c r="B1335" s="138">
        <f>'Expenditures 15-22'!C182</f>
        <v>10493</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10493</v>
      </c>
      <c r="C1339" s="2" t="s">
        <v>573</v>
      </c>
      <c r="D1339" s="2" t="str">
        <f t="shared" si="19"/>
        <v>Error?</v>
      </c>
    </row>
    <row r="1340" spans="1:4">
      <c r="A1340" s="5">
        <v>1279</v>
      </c>
      <c r="B1340" s="138">
        <f>'Expenditures 15-22'!C210</f>
        <v>10493</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2097759</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2097759</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2097759</v>
      </c>
      <c r="C1353" s="2" t="s">
        <v>573</v>
      </c>
      <c r="D1353" s="2" t="str">
        <f t="shared" si="20"/>
        <v>Error?</v>
      </c>
    </row>
    <row r="1354" spans="1:4">
      <c r="A1354" s="5">
        <v>1293</v>
      </c>
      <c r="B1354" s="138">
        <f>'Expenditures 15-22'!F182</f>
        <v>153813</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153813</v>
      </c>
      <c r="C1358" s="2" t="s">
        <v>573</v>
      </c>
      <c r="D1358" s="2" t="str">
        <f t="shared" si="20"/>
        <v>Error?</v>
      </c>
    </row>
    <row r="1359" spans="1:4">
      <c r="A1359" s="5">
        <v>1298</v>
      </c>
      <c r="B1359" s="138">
        <f>'Expenditures 15-22'!F210</f>
        <v>153813</v>
      </c>
      <c r="C1359" s="2" t="s">
        <v>573</v>
      </c>
      <c r="D1359" s="2" t="str">
        <f t="shared" si="20"/>
        <v>Error?</v>
      </c>
    </row>
    <row r="1360" spans="1:4">
      <c r="A1360" s="5">
        <v>1299</v>
      </c>
      <c r="B1360" s="138">
        <f>'Expenditures 15-22'!G182</f>
        <v>1322</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1322</v>
      </c>
      <c r="C1364" s="2" t="s">
        <v>573</v>
      </c>
      <c r="D1364" s="2" t="str">
        <f t="shared" si="20"/>
        <v>Error?</v>
      </c>
    </row>
    <row r="1365" spans="1:4">
      <c r="A1365" s="5">
        <v>1304</v>
      </c>
      <c r="B1365" s="138">
        <f>'Expenditures 15-22'!G210</f>
        <v>1322</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2263387</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2263387</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2263387</v>
      </c>
      <c r="C1388" s="2" t="s">
        <v>573</v>
      </c>
      <c r="D1388" s="2" t="str">
        <f t="shared" si="20"/>
        <v>Error?</v>
      </c>
    </row>
    <row r="1389" spans="1:4">
      <c r="A1389" s="5">
        <v>1328</v>
      </c>
      <c r="B1389" s="138">
        <f>'Expenditures 15-22'!K211</f>
        <v>-70158</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2210</v>
      </c>
      <c r="D1407" s="2" t="str">
        <f t="shared" ref="D1407:D1470" si="21">IF(ISBLANK(B1407),"OK",IF(A1407-B1407=0,"OK","Error?"))</f>
        <v>Error?</v>
      </c>
    </row>
    <row r="1408" spans="1:4">
      <c r="A1408" s="5">
        <v>1347</v>
      </c>
      <c r="B1408" s="138">
        <f>'Expenditures 15-22'!D223</f>
        <v>23865</v>
      </c>
      <c r="D1408" s="2" t="str">
        <f t="shared" si="21"/>
        <v>Error?</v>
      </c>
    </row>
    <row r="1409" spans="1:4">
      <c r="A1409" s="5">
        <v>1348</v>
      </c>
      <c r="B1409" s="138">
        <f>'Expenditures 15-22'!D224</f>
        <v>158</v>
      </c>
      <c r="D1409" s="2" t="str">
        <f t="shared" si="21"/>
        <v>Error?</v>
      </c>
    </row>
    <row r="1410" spans="1:4">
      <c r="A1410" s="5">
        <v>1349</v>
      </c>
      <c r="B1410" s="138">
        <f>'Expenditures 15-22'!D229</f>
        <v>322425</v>
      </c>
      <c r="C1410" s="2" t="s">
        <v>573</v>
      </c>
      <c r="D1410" s="2" t="str">
        <f t="shared" si="21"/>
        <v>Error?</v>
      </c>
    </row>
    <row r="1411" spans="1:4">
      <c r="A1411" s="5">
        <v>1350</v>
      </c>
      <c r="B1411" s="138">
        <f>'Expenditures 15-22'!D232</f>
        <v>0</v>
      </c>
      <c r="D1411" s="2" t="str">
        <f t="shared" si="21"/>
        <v>Error?</v>
      </c>
    </row>
    <row r="1412" spans="1:4">
      <c r="A1412" s="5">
        <v>1351</v>
      </c>
      <c r="B1412" s="138">
        <f>'Expenditures 15-22'!D233</f>
        <v>10751</v>
      </c>
      <c r="D1412" s="2" t="str">
        <f t="shared" si="21"/>
        <v>Error?</v>
      </c>
    </row>
    <row r="1413" spans="1:4">
      <c r="A1413" s="5">
        <v>1352</v>
      </c>
      <c r="B1413" s="138">
        <f>'Expenditures 15-22'!D234</f>
        <v>25626</v>
      </c>
      <c r="D1413" s="2" t="str">
        <f t="shared" si="21"/>
        <v>Error?</v>
      </c>
    </row>
    <row r="1414" spans="1:4">
      <c r="A1414" s="5">
        <v>1353</v>
      </c>
      <c r="B1414" s="138">
        <f>'Expenditures 15-22'!D235</f>
        <v>0</v>
      </c>
      <c r="D1414" s="2" t="str">
        <f t="shared" si="21"/>
        <v>Error?</v>
      </c>
    </row>
    <row r="1415" spans="1:4">
      <c r="A1415" s="5">
        <v>1354</v>
      </c>
      <c r="B1415" s="138">
        <f>'Expenditures 15-22'!D236</f>
        <v>1146</v>
      </c>
      <c r="D1415" s="2" t="str">
        <f t="shared" si="21"/>
        <v>Error?</v>
      </c>
    </row>
    <row r="1416" spans="1:4">
      <c r="A1416" s="5">
        <v>1355</v>
      </c>
      <c r="B1416" s="138">
        <f>'Expenditures 15-22'!D237</f>
        <v>1178</v>
      </c>
      <c r="D1416" s="2" t="str">
        <f t="shared" si="21"/>
        <v>Error?</v>
      </c>
    </row>
    <row r="1417" spans="1:4">
      <c r="A1417" s="5">
        <v>1356</v>
      </c>
      <c r="B1417" s="138">
        <f>'Expenditures 15-22'!D238</f>
        <v>38701</v>
      </c>
      <c r="C1417" s="2" t="s">
        <v>573</v>
      </c>
      <c r="D1417" s="2" t="str">
        <f t="shared" si="21"/>
        <v>Error?</v>
      </c>
    </row>
    <row r="1418" spans="1:4">
      <c r="A1418" s="5">
        <v>1357</v>
      </c>
      <c r="B1418" s="138">
        <f>'Expenditures 15-22'!D240</f>
        <v>8471</v>
      </c>
      <c r="D1418" s="2" t="str">
        <f t="shared" si="21"/>
        <v>Error?</v>
      </c>
    </row>
    <row r="1419" spans="1:4">
      <c r="A1419" s="5">
        <v>1358</v>
      </c>
      <c r="B1419" s="138">
        <f>'Expenditures 15-22'!D241</f>
        <v>7223</v>
      </c>
      <c r="D1419" s="2" t="str">
        <f t="shared" si="21"/>
        <v>Error?</v>
      </c>
    </row>
    <row r="1420" spans="1:4">
      <c r="A1420" s="5">
        <v>1359</v>
      </c>
      <c r="B1420" s="138">
        <f>'Expenditures 15-22'!D242</f>
        <v>0</v>
      </c>
      <c r="D1420" s="2" t="str">
        <f t="shared" si="21"/>
        <v>Error?</v>
      </c>
    </row>
    <row r="1421" spans="1:4">
      <c r="A1421" s="5">
        <v>1360</v>
      </c>
      <c r="B1421" s="138">
        <f>'Expenditures 15-22'!D243</f>
        <v>15694</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11444</v>
      </c>
      <c r="D1423" s="2" t="str">
        <f t="shared" si="21"/>
        <v>Error?</v>
      </c>
    </row>
    <row r="1424" spans="1:4">
      <c r="A1424" s="5">
        <v>1363</v>
      </c>
      <c r="B1424" s="138">
        <f>'Expenditures 15-22'!D257</f>
        <v>55830</v>
      </c>
      <c r="C1424" s="2" t="s">
        <v>573</v>
      </c>
      <c r="D1424" s="2" t="str">
        <f t="shared" si="21"/>
        <v>Error?</v>
      </c>
    </row>
    <row r="1425" spans="1:4">
      <c r="A1425" s="5">
        <v>1364</v>
      </c>
      <c r="B1425" s="138">
        <f>'Expenditures 15-22'!D259</f>
        <v>62005</v>
      </c>
      <c r="D1425" s="2" t="str">
        <f t="shared" si="21"/>
        <v>Error?</v>
      </c>
    </row>
    <row r="1426" spans="1:4">
      <c r="A1426" s="5">
        <v>1365</v>
      </c>
      <c r="B1426" s="138">
        <f>'Expenditures 15-22'!D260</f>
        <v>0</v>
      </c>
      <c r="D1426" s="2" t="str">
        <f t="shared" si="21"/>
        <v>Error?</v>
      </c>
    </row>
    <row r="1427" spans="1:4">
      <c r="A1427" s="5">
        <v>1366</v>
      </c>
      <c r="B1427" s="138">
        <f>'Expenditures 15-22'!D261</f>
        <v>62005</v>
      </c>
      <c r="C1427" s="2" t="s">
        <v>573</v>
      </c>
      <c r="D1427" s="2" t="str">
        <f t="shared" si="21"/>
        <v>Error?</v>
      </c>
    </row>
    <row r="1428" spans="1:4">
      <c r="A1428" s="5">
        <v>1367</v>
      </c>
      <c r="B1428" s="138">
        <f>'Expenditures 15-22'!D263</f>
        <v>22803</v>
      </c>
      <c r="D1428" s="2" t="str">
        <f t="shared" si="21"/>
        <v>Error?</v>
      </c>
    </row>
    <row r="1429" spans="1:4">
      <c r="A1429" s="5">
        <v>1368</v>
      </c>
      <c r="B1429" s="138">
        <f>'Expenditures 15-22'!D264</f>
        <v>6306</v>
      </c>
      <c r="D1429" s="2" t="str">
        <f t="shared" si="21"/>
        <v>Error?</v>
      </c>
    </row>
    <row r="1430" spans="1:4">
      <c r="A1430" s="5">
        <v>1369</v>
      </c>
      <c r="B1430" s="138">
        <f>'Expenditures 15-22'!D265</f>
        <v>0</v>
      </c>
      <c r="D1430" s="2" t="str">
        <f t="shared" si="21"/>
        <v>Error?</v>
      </c>
    </row>
    <row r="1431" spans="1:4">
      <c r="A1431" s="5">
        <v>1370</v>
      </c>
      <c r="B1431" s="138">
        <f>'Expenditures 15-22'!D266</f>
        <v>156987</v>
      </c>
      <c r="D1431" s="2" t="str">
        <f t="shared" si="21"/>
        <v>Error?</v>
      </c>
    </row>
    <row r="1432" spans="1:4">
      <c r="A1432" s="5">
        <v>1371</v>
      </c>
      <c r="B1432" s="138">
        <f>'Expenditures 15-22'!D267</f>
        <v>2316</v>
      </c>
      <c r="D1432" s="2" t="str">
        <f t="shared" si="21"/>
        <v>Error?</v>
      </c>
    </row>
    <row r="1433" spans="1:4">
      <c r="A1433" s="5">
        <v>1372</v>
      </c>
      <c r="B1433" s="138">
        <f>'Expenditures 15-22'!D268</f>
        <v>0</v>
      </c>
      <c r="D1433" s="2" t="str">
        <f t="shared" si="21"/>
        <v>Error?</v>
      </c>
    </row>
    <row r="1434" spans="1:4">
      <c r="A1434" s="5">
        <v>1373</v>
      </c>
      <c r="B1434" s="138">
        <f>'Expenditures 15-22'!D269</f>
        <v>6955</v>
      </c>
      <c r="D1434" s="2" t="str">
        <f t="shared" si="21"/>
        <v>Error?</v>
      </c>
    </row>
    <row r="1435" spans="1:4">
      <c r="A1435" s="10">
        <v>1374</v>
      </c>
      <c r="D1435" s="2" t="str">
        <f t="shared" si="21"/>
        <v>OK</v>
      </c>
    </row>
    <row r="1436" spans="1:4">
      <c r="A1436" s="5">
        <v>1375</v>
      </c>
      <c r="B1436" s="138">
        <f>'Expenditures 15-22'!D270</f>
        <v>195367</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367597</v>
      </c>
      <c r="C1446" s="2" t="s">
        <v>573</v>
      </c>
      <c r="D1446" s="2" t="str">
        <f t="shared" si="21"/>
        <v>Error?</v>
      </c>
    </row>
    <row r="1447" spans="1:4">
      <c r="A1447" s="5">
        <v>1386</v>
      </c>
      <c r="B1447" s="138">
        <f>'Expenditures 15-22'!D280</f>
        <v>4440</v>
      </c>
      <c r="D1447" s="2" t="str">
        <f t="shared" si="21"/>
        <v>Error?</v>
      </c>
    </row>
    <row r="1448" spans="1:4">
      <c r="A1448" s="5">
        <v>1387</v>
      </c>
      <c r="B1448" s="138">
        <f>'Expenditures 15-22'!D295</f>
        <v>694462</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2210</v>
      </c>
      <c r="C1471" s="2" t="s">
        <v>573</v>
      </c>
      <c r="D1471" s="2" t="str">
        <f t="shared" ref="D1471:D1534" si="22">IF(ISBLANK(B1471),"OK",IF(A1471-B1471=0,"OK","Error?"))</f>
        <v>Error?</v>
      </c>
    </row>
    <row r="1472" spans="1:4">
      <c r="A1472" s="5">
        <v>1411</v>
      </c>
      <c r="B1472" s="138">
        <f>'Expenditures 15-22'!K223</f>
        <v>23865</v>
      </c>
      <c r="C1472" s="2" t="s">
        <v>573</v>
      </c>
      <c r="D1472" s="2" t="str">
        <f t="shared" si="22"/>
        <v>Error?</v>
      </c>
    </row>
    <row r="1473" spans="1:4">
      <c r="A1473" s="5">
        <v>1412</v>
      </c>
      <c r="B1473" s="138">
        <f>'Expenditures 15-22'!K224</f>
        <v>158</v>
      </c>
      <c r="C1473" s="2" t="s">
        <v>573</v>
      </c>
      <c r="D1473" s="2" t="str">
        <f t="shared" si="22"/>
        <v>Error?</v>
      </c>
    </row>
    <row r="1474" spans="1:4">
      <c r="A1474" s="5">
        <v>1413</v>
      </c>
      <c r="B1474" s="138">
        <f>'Expenditures 15-22'!K229</f>
        <v>322425</v>
      </c>
      <c r="C1474" s="2" t="s">
        <v>573</v>
      </c>
      <c r="D1474" s="2" t="str">
        <f t="shared" si="22"/>
        <v>Error?</v>
      </c>
    </row>
    <row r="1475" spans="1:4">
      <c r="A1475" s="5">
        <v>1414</v>
      </c>
      <c r="B1475" s="138">
        <f>'Expenditures 15-22'!K232</f>
        <v>0</v>
      </c>
      <c r="C1475" s="2" t="s">
        <v>573</v>
      </c>
      <c r="D1475" s="2" t="str">
        <f t="shared" si="22"/>
        <v>Error?</v>
      </c>
    </row>
    <row r="1476" spans="1:4">
      <c r="A1476" s="5">
        <v>1415</v>
      </c>
      <c r="B1476" s="138">
        <f>'Expenditures 15-22'!K233</f>
        <v>10751</v>
      </c>
      <c r="C1476" s="2" t="s">
        <v>573</v>
      </c>
      <c r="D1476" s="2" t="str">
        <f t="shared" si="22"/>
        <v>Error?</v>
      </c>
    </row>
    <row r="1477" spans="1:4">
      <c r="A1477" s="5">
        <v>1416</v>
      </c>
      <c r="B1477" s="138">
        <f>'Expenditures 15-22'!K234</f>
        <v>25626</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1146</v>
      </c>
      <c r="C1479" s="2" t="s">
        <v>573</v>
      </c>
      <c r="D1479" s="2" t="str">
        <f t="shared" si="22"/>
        <v>Error?</v>
      </c>
    </row>
    <row r="1480" spans="1:4">
      <c r="A1480" s="5">
        <v>1419</v>
      </c>
      <c r="B1480" s="138">
        <f>'Expenditures 15-22'!K237</f>
        <v>1178</v>
      </c>
      <c r="C1480" s="2" t="s">
        <v>573</v>
      </c>
      <c r="D1480" s="2" t="str">
        <f t="shared" si="22"/>
        <v>Error?</v>
      </c>
    </row>
    <row r="1481" spans="1:4">
      <c r="A1481" s="5">
        <v>1420</v>
      </c>
      <c r="B1481" s="138">
        <f>'Expenditures 15-22'!K238</f>
        <v>38701</v>
      </c>
      <c r="C1481" s="2" t="s">
        <v>573</v>
      </c>
      <c r="D1481" s="2" t="str">
        <f t="shared" si="22"/>
        <v>Error?</v>
      </c>
    </row>
    <row r="1482" spans="1:4">
      <c r="A1482" s="5">
        <v>1421</v>
      </c>
      <c r="B1482" s="138">
        <f>'Expenditures 15-22'!K240</f>
        <v>8471</v>
      </c>
      <c r="C1482" s="2" t="s">
        <v>573</v>
      </c>
      <c r="D1482" s="2" t="str">
        <f t="shared" si="22"/>
        <v>Error?</v>
      </c>
    </row>
    <row r="1483" spans="1:4">
      <c r="A1483" s="5">
        <v>1422</v>
      </c>
      <c r="B1483" s="138">
        <f>'Expenditures 15-22'!K241</f>
        <v>7223</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15694</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11444</v>
      </c>
      <c r="C1487" s="2" t="s">
        <v>573</v>
      </c>
      <c r="D1487" s="2" t="str">
        <f t="shared" si="22"/>
        <v>Error?</v>
      </c>
    </row>
    <row r="1488" spans="1:4">
      <c r="A1488" s="5">
        <v>1427</v>
      </c>
      <c r="B1488" s="138">
        <f>'Expenditures 15-22'!K257</f>
        <v>55830</v>
      </c>
      <c r="C1488" s="2" t="s">
        <v>573</v>
      </c>
      <c r="D1488" s="2" t="str">
        <f t="shared" si="22"/>
        <v>Error?</v>
      </c>
    </row>
    <row r="1489" spans="1:4">
      <c r="A1489" s="5">
        <v>1428</v>
      </c>
      <c r="B1489" s="138">
        <f>'Expenditures 15-22'!K259</f>
        <v>62005</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62005</v>
      </c>
      <c r="C1491" s="2" t="s">
        <v>573</v>
      </c>
      <c r="D1491" s="2" t="str">
        <f t="shared" si="22"/>
        <v>Error?</v>
      </c>
    </row>
    <row r="1492" spans="1:4">
      <c r="A1492" s="5">
        <v>1431</v>
      </c>
      <c r="B1492" s="138">
        <f>'Expenditures 15-22'!K263</f>
        <v>22803</v>
      </c>
      <c r="C1492" s="2" t="s">
        <v>573</v>
      </c>
      <c r="D1492" s="2" t="str">
        <f t="shared" si="22"/>
        <v>Error?</v>
      </c>
    </row>
    <row r="1493" spans="1:4">
      <c r="A1493" s="5">
        <v>1432</v>
      </c>
      <c r="B1493" s="138">
        <f>'Expenditures 15-22'!K264</f>
        <v>6306</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156987</v>
      </c>
      <c r="C1495" s="2" t="s">
        <v>573</v>
      </c>
      <c r="D1495" s="2" t="str">
        <f t="shared" si="22"/>
        <v>Error?</v>
      </c>
    </row>
    <row r="1496" spans="1:4">
      <c r="A1496" s="5">
        <v>1435</v>
      </c>
      <c r="B1496" s="138">
        <f>'Expenditures 15-22'!K267</f>
        <v>2316</v>
      </c>
      <c r="C1496" s="2" t="s">
        <v>573</v>
      </c>
      <c r="D1496" s="2" t="str">
        <f t="shared" si="22"/>
        <v>Error?</v>
      </c>
    </row>
    <row r="1497" spans="1:4">
      <c r="A1497" s="5">
        <v>1436</v>
      </c>
      <c r="B1497" s="138">
        <f>'Expenditures 15-22'!K268</f>
        <v>0</v>
      </c>
      <c r="C1497" s="2" t="s">
        <v>573</v>
      </c>
      <c r="D1497" s="2" t="str">
        <f t="shared" si="22"/>
        <v>Error?</v>
      </c>
    </row>
    <row r="1498" spans="1:4">
      <c r="A1498" s="5">
        <v>1437</v>
      </c>
      <c r="B1498" s="138">
        <f>'Expenditures 15-22'!K269</f>
        <v>6955</v>
      </c>
      <c r="C1498" s="2" t="s">
        <v>573</v>
      </c>
      <c r="D1498" s="2" t="str">
        <f t="shared" si="22"/>
        <v>Error?</v>
      </c>
    </row>
    <row r="1499" spans="1:4">
      <c r="A1499" s="10">
        <v>1438</v>
      </c>
      <c r="D1499" s="2" t="str">
        <f t="shared" si="22"/>
        <v>OK</v>
      </c>
    </row>
    <row r="1500" spans="1:4">
      <c r="A1500" s="5">
        <v>1439</v>
      </c>
      <c r="B1500" s="138">
        <f>'Expenditures 15-22'!K270</f>
        <v>195367</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367597</v>
      </c>
      <c r="C1510" s="2" t="s">
        <v>573</v>
      </c>
      <c r="D1510" s="2" t="str">
        <f t="shared" si="22"/>
        <v>Error?</v>
      </c>
    </row>
    <row r="1511" spans="1:4">
      <c r="A1511" s="5">
        <v>1450</v>
      </c>
      <c r="B1511" s="138">
        <f>'Expenditures 15-22'!K280</f>
        <v>4440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694462</v>
      </c>
      <c r="C1517" s="2" t="s">
        <v>573</v>
      </c>
      <c r="D1517" s="2" t="str">
        <f t="shared" si="22"/>
        <v>Error?</v>
      </c>
    </row>
    <row r="1518" spans="1:4">
      <c r="A1518" s="5">
        <v>1457</v>
      </c>
      <c r="B1518" s="138">
        <f>'Expenditures 15-22'!K296</f>
        <v>40610</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712298</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712298</v>
      </c>
      <c r="C1535" s="2" t="s">
        <v>573</v>
      </c>
      <c r="D1535" s="2" t="str">
        <f t="shared" ref="D1535:D1598" si="23">IF(ISBLANK(B1535),"OK",IF(A1535-B1535=0,"OK","Error?"))</f>
        <v>Error?</v>
      </c>
    </row>
    <row r="1536" spans="1:4">
      <c r="A1536" s="5">
        <v>1475</v>
      </c>
      <c r="B1536" s="138">
        <f>'Expenditures 15-22'!E312</f>
        <v>712298</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7930478</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7930478</v>
      </c>
      <c r="C1547" s="2" t="s">
        <v>573</v>
      </c>
      <c r="D1547" s="2" t="str">
        <f t="shared" si="23"/>
        <v>Error?</v>
      </c>
    </row>
    <row r="1548" spans="1:4">
      <c r="A1548" s="5">
        <v>1487</v>
      </c>
      <c r="B1548" s="138">
        <f>'Expenditures 15-22'!G312</f>
        <v>7930478</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8642776</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8642776</v>
      </c>
      <c r="C1559" s="2" t="s">
        <v>573</v>
      </c>
      <c r="D1559" s="2" t="str">
        <f t="shared" si="23"/>
        <v>Error?</v>
      </c>
    </row>
    <row r="1560" spans="1:4">
      <c r="A1560" s="5">
        <v>1499</v>
      </c>
      <c r="B1560" s="138">
        <f>'Expenditures 15-22'!K312</f>
        <v>8642776</v>
      </c>
      <c r="C1560" s="2" t="s">
        <v>573</v>
      </c>
      <c r="D1560" s="2" t="str">
        <f t="shared" si="23"/>
        <v>Error?</v>
      </c>
    </row>
    <row r="1561" spans="1:4">
      <c r="A1561" s="5">
        <v>1500</v>
      </c>
      <c r="B1561" s="138">
        <f>'Expenditures 15-22'!K313</f>
        <v>-7688041</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890128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571563</v>
      </c>
      <c r="C1630" s="2" t="s">
        <v>573</v>
      </c>
      <c r="D1630" s="2" t="str">
        <f t="shared" si="24"/>
        <v>Error?</v>
      </c>
    </row>
    <row r="1631" spans="1:4">
      <c r="A1631" s="5">
        <v>1570</v>
      </c>
      <c r="B1631" s="138">
        <f>'Acct Summary 7-8'!D79</f>
        <v>4675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-1551</v>
      </c>
      <c r="C1644" s="2" t="s">
        <v>573</v>
      </c>
      <c r="D1644" s="2" t="str">
        <f t="shared" si="24"/>
        <v>Error?</v>
      </c>
    </row>
    <row r="1645" spans="1:4">
      <c r="A1645" s="5">
        <v>1584</v>
      </c>
      <c r="B1645" s="138">
        <f>'Acct Summary 7-8'!E79</f>
        <v>1088181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1506372</v>
      </c>
      <c r="C1658" s="2" t="s">
        <v>573</v>
      </c>
      <c r="D1658" s="2" t="str">
        <f t="shared" si="24"/>
        <v>Error?</v>
      </c>
    </row>
    <row r="1659" spans="1:4">
      <c r="A1659" s="5">
        <v>1598</v>
      </c>
      <c r="B1659" s="138">
        <f>'Acct Summary 7-8'!F79</f>
        <v>-108919</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-179077</v>
      </c>
      <c r="C1672" s="2" t="s">
        <v>573</v>
      </c>
      <c r="D1672" s="2" t="str">
        <f t="shared" si="25"/>
        <v>Error?</v>
      </c>
    </row>
    <row r="1673" spans="1:4">
      <c r="A1673" s="5">
        <v>1612</v>
      </c>
      <c r="B1673" s="138">
        <f>'Acct Summary 7-8'!G79</f>
        <v>476721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517331</v>
      </c>
      <c r="C1686" s="2" t="s">
        <v>573</v>
      </c>
      <c r="D1686" s="2" t="str">
        <f t="shared" si="25"/>
        <v>Error?</v>
      </c>
    </row>
    <row r="1687" spans="1:4">
      <c r="A1687" s="5">
        <v>1626</v>
      </c>
      <c r="B1687" s="138">
        <f>'Acct Summary 7-8'!H79</f>
        <v>8776098</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5439716</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10615512</v>
      </c>
      <c r="C1744" s="2" t="s">
        <v>573</v>
      </c>
      <c r="D1744" s="2" t="str">
        <f t="shared" si="26"/>
        <v>Error?</v>
      </c>
    </row>
    <row r="1745" spans="1:5">
      <c r="A1745" s="5">
        <v>1684</v>
      </c>
      <c r="B1745" s="138">
        <f>'Tax Sched 23'!B5</f>
        <v>1797856</v>
      </c>
      <c r="C1745" s="2" t="s">
        <v>573</v>
      </c>
      <c r="D1745" s="2" t="str">
        <f t="shared" si="26"/>
        <v>Error?</v>
      </c>
    </row>
    <row r="1746" spans="1:5">
      <c r="A1746" s="5">
        <v>1685</v>
      </c>
      <c r="B1746" s="138">
        <f>'Tax Sched 23'!B6</f>
        <v>2026976</v>
      </c>
      <c r="C1746" s="2" t="s">
        <v>573</v>
      </c>
      <c r="D1746" s="2" t="str">
        <f t="shared" si="26"/>
        <v>Error?</v>
      </c>
    </row>
    <row r="1747" spans="1:5">
      <c r="A1747" s="5">
        <v>1686</v>
      </c>
      <c r="B1747" s="138">
        <f>'Tax Sched 23'!B7</f>
        <v>719141</v>
      </c>
      <c r="C1747" s="2" t="s">
        <v>573</v>
      </c>
      <c r="D1747" s="2" t="str">
        <f t="shared" si="26"/>
        <v>Error?</v>
      </c>
    </row>
    <row r="1748" spans="1:5">
      <c r="A1748" s="5">
        <v>1687</v>
      </c>
      <c r="B1748" s="138">
        <f>'Tax Sched 23'!B8</f>
        <v>297171</v>
      </c>
      <c r="C1748" s="2" t="s">
        <v>573</v>
      </c>
      <c r="D1748" s="2" t="str">
        <f t="shared" si="26"/>
        <v>Error?</v>
      </c>
    </row>
    <row r="1749" spans="1:5">
      <c r="A1749" s="5">
        <v>1688</v>
      </c>
      <c r="B1749" s="138">
        <f>'Tax Sched 23'!B10</f>
        <v>179788</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1187576</v>
      </c>
      <c r="C1752" s="2" t="s">
        <v>573</v>
      </c>
      <c r="D1752" s="2" t="str">
        <f t="shared" si="26"/>
        <v>Error?</v>
      </c>
    </row>
    <row r="1753" spans="1:5">
      <c r="A1753" s="5">
        <v>1692</v>
      </c>
      <c r="B1753" s="138">
        <f>'Tax Sched 23'!B12</f>
        <v>179788</v>
      </c>
      <c r="C1753" s="2" t="s">
        <v>573</v>
      </c>
      <c r="D1753" s="2" t="str">
        <f t="shared" si="26"/>
        <v>Error?</v>
      </c>
    </row>
    <row r="1754" spans="1:5">
      <c r="A1754" s="5">
        <v>1693</v>
      </c>
      <c r="B1754" s="138">
        <f>'Tax Sched 23'!B14</f>
        <v>143945</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17651872</v>
      </c>
      <c r="C1759" s="2" t="s">
        <v>573</v>
      </c>
      <c r="D1759" s="2" t="str">
        <f t="shared" si="26"/>
        <v>Error?</v>
      </c>
    </row>
    <row r="1760" spans="1:5">
      <c r="A1760" s="5">
        <v>1699</v>
      </c>
      <c r="B1760" s="138">
        <f>'Tax Sched 23'!D4</f>
        <v>10092597</v>
      </c>
      <c r="C1760" s="2" t="s">
        <v>573</v>
      </c>
      <c r="D1760" s="2" t="str">
        <f t="shared" si="26"/>
        <v>Error?</v>
      </c>
    </row>
    <row r="1761" spans="1:5">
      <c r="A1761" s="5">
        <v>1700</v>
      </c>
      <c r="B1761" s="138">
        <f>'Tax Sched 23'!D5</f>
        <v>1707794</v>
      </c>
      <c r="C1761" s="2" t="s">
        <v>573</v>
      </c>
      <c r="D1761" s="2" t="str">
        <f t="shared" si="26"/>
        <v>Error?</v>
      </c>
    </row>
    <row r="1762" spans="1:5" s="8" customFormat="1">
      <c r="A1762" s="5">
        <v>1701</v>
      </c>
      <c r="B1762" s="138">
        <f>'Tax Sched 23'!D6</f>
        <v>1927211</v>
      </c>
      <c r="C1762" s="2" t="s">
        <v>573</v>
      </c>
      <c r="D1762" s="2" t="str">
        <f t="shared" si="26"/>
        <v>Error?</v>
      </c>
      <c r="E1762" s="9"/>
    </row>
    <row r="1763" spans="1:5">
      <c r="A1763" s="5">
        <v>1702</v>
      </c>
      <c r="B1763" s="138">
        <f>'Tax Sched 23'!D7</f>
        <v>683116</v>
      </c>
      <c r="C1763" s="2" t="s">
        <v>573</v>
      </c>
      <c r="D1763" s="2" t="str">
        <f t="shared" si="26"/>
        <v>Error?</v>
      </c>
    </row>
    <row r="1764" spans="1:5">
      <c r="A1764" s="5">
        <v>1703</v>
      </c>
      <c r="B1764" s="138">
        <f>'Tax Sched 23'!D8</f>
        <v>282963</v>
      </c>
      <c r="C1764" s="2" t="s">
        <v>573</v>
      </c>
      <c r="D1764" s="2" t="str">
        <f t="shared" si="26"/>
        <v>Error?</v>
      </c>
    </row>
    <row r="1765" spans="1:5">
      <c r="A1765" s="5">
        <v>1704</v>
      </c>
      <c r="B1765" s="138">
        <f>'Tax Sched 23'!D10</f>
        <v>170782</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1125851</v>
      </c>
      <c r="C1768" s="2" t="s">
        <v>573</v>
      </c>
      <c r="D1768" s="2" t="str">
        <f t="shared" si="26"/>
        <v>Error?</v>
      </c>
    </row>
    <row r="1769" spans="1:5">
      <c r="A1769" s="5">
        <v>1708</v>
      </c>
      <c r="B1769" s="138">
        <f>'Tax Sched 23'!D12</f>
        <v>170782</v>
      </c>
      <c r="C1769" s="2" t="s">
        <v>573</v>
      </c>
      <c r="D1769" s="2" t="str">
        <f t="shared" si="26"/>
        <v>Error?</v>
      </c>
    </row>
    <row r="1770" spans="1:5">
      <c r="A1770" s="5">
        <v>1709</v>
      </c>
      <c r="B1770" s="138">
        <f>'Tax Sched 23'!D14</f>
        <v>136740</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16776273</v>
      </c>
      <c r="C1775" s="2" t="s">
        <v>573</v>
      </c>
      <c r="D1775" s="2" t="str">
        <f t="shared" si="26"/>
        <v>Error?</v>
      </c>
    </row>
    <row r="1776" spans="1:5">
      <c r="A1776" s="5">
        <v>1715</v>
      </c>
      <c r="B1776" s="138">
        <f>'Tax Sched 23'!C4</f>
        <v>522915</v>
      </c>
      <c r="D1776" s="2" t="str">
        <f t="shared" si="26"/>
        <v>Error?</v>
      </c>
    </row>
    <row r="1777" spans="1:4">
      <c r="A1777" s="5">
        <v>1716</v>
      </c>
      <c r="B1777" s="138">
        <f>'Tax Sched 23'!C5</f>
        <v>90062</v>
      </c>
      <c r="D1777" s="2" t="str">
        <f t="shared" si="26"/>
        <v>Error?</v>
      </c>
    </row>
    <row r="1778" spans="1:4">
      <c r="A1778" s="5">
        <v>1717</v>
      </c>
      <c r="B1778" s="138">
        <f>'Tax Sched 23'!C6</f>
        <v>99765</v>
      </c>
      <c r="D1778" s="2" t="str">
        <f t="shared" si="26"/>
        <v>Error?</v>
      </c>
    </row>
    <row r="1779" spans="1:4">
      <c r="A1779" s="5">
        <v>1718</v>
      </c>
      <c r="B1779" s="138">
        <f>'Tax Sched 23'!C7</f>
        <v>36025</v>
      </c>
      <c r="D1779" s="2" t="str">
        <f t="shared" si="26"/>
        <v>Error?</v>
      </c>
    </row>
    <row r="1780" spans="1:4">
      <c r="A1780" s="5">
        <v>1719</v>
      </c>
      <c r="B1780" s="138">
        <f>'Tax Sched 23'!C8</f>
        <v>14208</v>
      </c>
      <c r="D1780" s="2" t="str">
        <f t="shared" si="26"/>
        <v>Error?</v>
      </c>
    </row>
    <row r="1781" spans="1:4">
      <c r="A1781" s="5">
        <v>1720</v>
      </c>
      <c r="B1781" s="138">
        <f>'Tax Sched 23'!C10</f>
        <v>9006</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61725</v>
      </c>
      <c r="D1784" s="2" t="str">
        <f t="shared" si="26"/>
        <v>Error?</v>
      </c>
    </row>
    <row r="1785" spans="1:4">
      <c r="A1785" s="5">
        <v>1724</v>
      </c>
      <c r="B1785" s="138">
        <f>'Tax Sched 23'!C12</f>
        <v>9006</v>
      </c>
      <c r="D1785" s="2" t="str">
        <f t="shared" si="26"/>
        <v>Error?</v>
      </c>
    </row>
    <row r="1786" spans="1:4">
      <c r="A1786" s="5">
        <v>1725</v>
      </c>
      <c r="B1786" s="138">
        <f>'Tax Sched 23'!C14</f>
        <v>7205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875599</v>
      </c>
      <c r="C1791" s="2" t="s">
        <v>573</v>
      </c>
      <c r="D1791" s="2" t="str">
        <f t="shared" ref="D1791:D1854" si="27">IF(ISBLANK(B1791),"OK",IF(A1791-B1791=0,"OK","Error?"))</f>
        <v>Error?</v>
      </c>
    </row>
    <row r="1792" spans="1:4">
      <c r="A1792" s="5">
        <v>1731</v>
      </c>
      <c r="B1792" s="138">
        <f>'Tax Sched 23'!F4</f>
        <v>10356024</v>
      </c>
      <c r="C1792" s="2" t="s">
        <v>573</v>
      </c>
      <c r="D1792" s="2" t="str">
        <f t="shared" si="27"/>
        <v>Error?</v>
      </c>
    </row>
    <row r="1793" spans="1:4">
      <c r="A1793" s="5">
        <v>1732</v>
      </c>
      <c r="B1793" s="138">
        <f>'Tax Sched 23'!F5</f>
        <v>1753826</v>
      </c>
      <c r="C1793" s="2" t="s">
        <v>573</v>
      </c>
      <c r="D1793" s="2" t="str">
        <f t="shared" si="27"/>
        <v>Error?</v>
      </c>
    </row>
    <row r="1794" spans="1:4">
      <c r="A1794" s="5">
        <v>1733</v>
      </c>
      <c r="B1794" s="138">
        <f>'Tax Sched 23'!F6</f>
        <v>1907123</v>
      </c>
      <c r="C1794" s="2" t="s">
        <v>573</v>
      </c>
      <c r="D1794" s="2" t="str">
        <f t="shared" si="27"/>
        <v>Error?</v>
      </c>
    </row>
    <row r="1795" spans="1:4">
      <c r="A1795" s="5">
        <v>1734</v>
      </c>
      <c r="B1795" s="138">
        <f>'Tax Sched 23'!F7</f>
        <v>701530</v>
      </c>
      <c r="C1795" s="2" t="s">
        <v>573</v>
      </c>
      <c r="D1795" s="2" t="str">
        <f t="shared" si="27"/>
        <v>Error?</v>
      </c>
    </row>
    <row r="1796" spans="1:4">
      <c r="A1796" s="5">
        <v>1735</v>
      </c>
      <c r="B1796" s="138">
        <f>'Tax Sched 23'!F8</f>
        <v>270120</v>
      </c>
      <c r="C1796" s="2" t="s">
        <v>573</v>
      </c>
      <c r="D1796" s="2" t="str">
        <f t="shared" si="27"/>
        <v>Error?</v>
      </c>
    </row>
    <row r="1797" spans="1:4">
      <c r="A1797" s="5">
        <v>1736</v>
      </c>
      <c r="B1797" s="138">
        <f>'Tax Sched 23'!F10</f>
        <v>175383</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1173680</v>
      </c>
      <c r="C1800" s="2" t="s">
        <v>573</v>
      </c>
      <c r="D1800" s="2" t="str">
        <f t="shared" si="27"/>
        <v>Error?</v>
      </c>
    </row>
    <row r="1801" spans="1:4">
      <c r="A1801" s="5">
        <v>1740</v>
      </c>
      <c r="B1801" s="138">
        <f>'Tax Sched 23'!F12</f>
        <v>175383</v>
      </c>
      <c r="C1801" s="2" t="s">
        <v>573</v>
      </c>
      <c r="D1801" s="2" t="str">
        <f t="shared" si="27"/>
        <v>Error?</v>
      </c>
    </row>
    <row r="1802" spans="1:4">
      <c r="A1802" s="5">
        <v>1741</v>
      </c>
      <c r="B1802" s="138">
        <f>'Tax Sched 23'!F14</f>
        <v>140306</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17145825</v>
      </c>
      <c r="C1807" s="2" t="s">
        <v>573</v>
      </c>
      <c r="D1807" s="2" t="str">
        <f t="shared" si="27"/>
        <v>Error?</v>
      </c>
    </row>
    <row r="1808" spans="1:4">
      <c r="A1808" s="5">
        <v>1747</v>
      </c>
      <c r="B1808" s="138">
        <f>'Tax Sched 23'!E4</f>
        <v>10878939</v>
      </c>
      <c r="D1808" s="2" t="str">
        <f t="shared" si="27"/>
        <v>Error?</v>
      </c>
    </row>
    <row r="1809" spans="1:4">
      <c r="A1809" s="5">
        <v>1748</v>
      </c>
      <c r="B1809" s="138">
        <f>'Tax Sched 23'!E5</f>
        <v>1843888</v>
      </c>
      <c r="D1809" s="2" t="str">
        <f t="shared" si="27"/>
        <v>Error?</v>
      </c>
    </row>
    <row r="1810" spans="1:4">
      <c r="A1810" s="5">
        <v>1749</v>
      </c>
      <c r="B1810" s="138">
        <f>'Tax Sched 23'!E6</f>
        <v>2006888</v>
      </c>
      <c r="D1810" s="2" t="str">
        <f t="shared" si="27"/>
        <v>Error?</v>
      </c>
    </row>
    <row r="1811" spans="1:4">
      <c r="A1811" s="5">
        <v>1750</v>
      </c>
      <c r="B1811" s="138">
        <f>'Tax Sched 23'!E7</f>
        <v>737555</v>
      </c>
      <c r="D1811" s="2" t="str">
        <f t="shared" si="27"/>
        <v>Error?</v>
      </c>
    </row>
    <row r="1812" spans="1:4">
      <c r="A1812" s="5">
        <v>1751</v>
      </c>
      <c r="B1812" s="138">
        <f>'Tax Sched 23'!E8</f>
        <v>284328</v>
      </c>
      <c r="D1812" s="2" t="str">
        <f t="shared" si="27"/>
        <v>Error?</v>
      </c>
    </row>
    <row r="1813" spans="1:4">
      <c r="A1813" s="5">
        <v>1752</v>
      </c>
      <c r="B1813" s="138">
        <f>'Tax Sched 23'!E10</f>
        <v>184389</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1235405</v>
      </c>
      <c r="D1816" s="2" t="str">
        <f t="shared" si="27"/>
        <v>Error?</v>
      </c>
    </row>
    <row r="1817" spans="1:4">
      <c r="A1817" s="5">
        <v>1756</v>
      </c>
      <c r="B1817" s="138">
        <f>'Tax Sched 23'!E12</f>
        <v>184389</v>
      </c>
      <c r="D1817" s="2" t="str">
        <f t="shared" si="27"/>
        <v>Error?</v>
      </c>
    </row>
    <row r="1818" spans="1:4">
      <c r="A1818" s="5">
        <v>1757</v>
      </c>
      <c r="B1818" s="138">
        <f>'Tax Sched 23'!E14</f>
        <v>147511</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18021424</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37115000</v>
      </c>
      <c r="C1939" s="2" t="s">
        <v>573</v>
      </c>
      <c r="D1939" s="2" t="str">
        <f t="shared" si="29"/>
        <v>Error?</v>
      </c>
    </row>
    <row r="1940" spans="1:5">
      <c r="A1940" s="5">
        <v>1879</v>
      </c>
      <c r="B1940" s="138">
        <f>'Short-Term Long-Term Debt 24'!F49</f>
        <v>6675000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143945</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143945</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143945</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1191208</v>
      </c>
      <c r="D2008" s="2" t="str">
        <f t="shared" si="30"/>
        <v>Error?</v>
      </c>
    </row>
    <row r="2009" spans="1:4">
      <c r="A2009" s="5">
        <v>1948</v>
      </c>
      <c r="B2009" s="138">
        <f>'Cap Outlay Deprec 26'!C8</f>
        <v>20332304</v>
      </c>
      <c r="D2009" s="2" t="str">
        <f t="shared" si="30"/>
        <v>Error?</v>
      </c>
    </row>
    <row r="2010" spans="1:4">
      <c r="A2010" s="5">
        <v>1949</v>
      </c>
      <c r="B2010" s="138">
        <f>'Cap Outlay Deprec 26'!C10</f>
        <v>7958717</v>
      </c>
      <c r="D2010" s="2" t="str">
        <f t="shared" si="30"/>
        <v>Error?</v>
      </c>
    </row>
    <row r="2011" spans="1:4">
      <c r="A2011" s="5">
        <v>1950</v>
      </c>
      <c r="B2011" s="138">
        <f>'Cap Outlay Deprec 26'!C12</f>
        <v>2911262</v>
      </c>
      <c r="D2011" s="2" t="str">
        <f t="shared" si="30"/>
        <v>Error?</v>
      </c>
    </row>
    <row r="2012" spans="1:4">
      <c r="A2012" s="5">
        <v>1951</v>
      </c>
      <c r="B2012" s="138">
        <f>'Cap Outlay Deprec 26'!C13</f>
        <v>316922</v>
      </c>
      <c r="D2012" s="2" t="str">
        <f t="shared" si="30"/>
        <v>Error?</v>
      </c>
    </row>
    <row r="2013" spans="1:4">
      <c r="A2013" s="5">
        <v>1952</v>
      </c>
      <c r="B2013" s="138">
        <f>'Cap Outlay Deprec 26'!C16</f>
        <v>42207199</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4410865</v>
      </c>
      <c r="D2015" s="2" t="str">
        <f t="shared" si="30"/>
        <v>Error?</v>
      </c>
    </row>
    <row r="2016" spans="1:4">
      <c r="A2016" s="5">
        <v>1955</v>
      </c>
      <c r="B2016" s="138">
        <f>'Cap Outlay Deprec 26'!D10</f>
        <v>797515</v>
      </c>
      <c r="D2016" s="2" t="str">
        <f t="shared" si="30"/>
        <v>Error?</v>
      </c>
    </row>
    <row r="2017" spans="1:4">
      <c r="A2017" s="5">
        <v>1956</v>
      </c>
      <c r="B2017" s="138">
        <f>'Cap Outlay Deprec 26'!D12</f>
        <v>0</v>
      </c>
      <c r="D2017" s="2" t="str">
        <f t="shared" si="30"/>
        <v>Error?</v>
      </c>
    </row>
    <row r="2018" spans="1:4">
      <c r="A2018" s="5">
        <v>1957</v>
      </c>
      <c r="B2018" s="138">
        <f>'Cap Outlay Deprec 26'!D13</f>
        <v>15256</v>
      </c>
      <c r="D2018" s="2" t="str">
        <f t="shared" si="30"/>
        <v>Error?</v>
      </c>
    </row>
    <row r="2019" spans="1:4">
      <c r="A2019" s="5">
        <v>1958</v>
      </c>
      <c r="B2019" s="138">
        <f>'Cap Outlay Deprec 26'!D16</f>
        <v>18897128</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8312</v>
      </c>
      <c r="D2023" s="2" t="str">
        <f t="shared" si="30"/>
        <v>Error?</v>
      </c>
    </row>
    <row r="2024" spans="1:4">
      <c r="A2024" s="5">
        <v>1963</v>
      </c>
      <c r="B2024" s="138">
        <f>'Cap Outlay Deprec 26'!E13</f>
        <v>0</v>
      </c>
      <c r="D2024" s="2" t="str">
        <f t="shared" si="30"/>
        <v>Error?</v>
      </c>
    </row>
    <row r="2025" spans="1:4">
      <c r="A2025" s="5">
        <v>1964</v>
      </c>
      <c r="B2025" s="138">
        <f>'Cap Outlay Deprec 26'!E16</f>
        <v>8312</v>
      </c>
      <c r="C2025" s="2" t="s">
        <v>573</v>
      </c>
      <c r="D2025" s="2" t="str">
        <f t="shared" si="30"/>
        <v>Error?</v>
      </c>
    </row>
    <row r="2026" spans="1:4">
      <c r="A2026" s="5">
        <v>1965</v>
      </c>
      <c r="B2026" s="138">
        <f>'Cap Outlay Deprec 26'!F5</f>
        <v>1191208</v>
      </c>
      <c r="C2026" s="2" t="s">
        <v>573</v>
      </c>
      <c r="D2026" s="2" t="str">
        <f t="shared" si="30"/>
        <v>Error?</v>
      </c>
    </row>
    <row r="2027" spans="1:4">
      <c r="A2027" s="5">
        <v>1966</v>
      </c>
      <c r="B2027" s="138">
        <f>'Cap Outlay Deprec 26'!F8</f>
        <v>24743169</v>
      </c>
      <c r="C2027" s="2" t="s">
        <v>573</v>
      </c>
      <c r="D2027" s="2" t="str">
        <f t="shared" si="30"/>
        <v>Error?</v>
      </c>
    </row>
    <row r="2028" spans="1:4">
      <c r="A2028" s="5">
        <v>1967</v>
      </c>
      <c r="B2028" s="138">
        <f>'Cap Outlay Deprec 26'!F10</f>
        <v>8756232</v>
      </c>
      <c r="C2028" s="2" t="s">
        <v>573</v>
      </c>
      <c r="D2028" s="2" t="str">
        <f t="shared" si="30"/>
        <v>Error?</v>
      </c>
    </row>
    <row r="2029" spans="1:4">
      <c r="A2029" s="5">
        <v>1968</v>
      </c>
      <c r="B2029" s="138">
        <f>'Cap Outlay Deprec 26'!F12</f>
        <v>2902950</v>
      </c>
      <c r="C2029" s="2" t="s">
        <v>573</v>
      </c>
      <c r="D2029" s="2" t="str">
        <f t="shared" si="30"/>
        <v>Error?</v>
      </c>
    </row>
    <row r="2030" spans="1:4">
      <c r="A2030" s="5">
        <v>1969</v>
      </c>
      <c r="B2030" s="138">
        <f>'Cap Outlay Deprec 26'!F13</f>
        <v>332178</v>
      </c>
      <c r="C2030" s="2" t="s">
        <v>573</v>
      </c>
      <c r="D2030" s="2" t="str">
        <f t="shared" si="30"/>
        <v>Error?</v>
      </c>
    </row>
    <row r="2031" spans="1:4">
      <c r="A2031" s="5">
        <v>1970</v>
      </c>
      <c r="B2031" s="138">
        <f>'Cap Outlay Deprec 26'!F16</f>
        <v>61096015</v>
      </c>
      <c r="C2031" s="2" t="s">
        <v>573</v>
      </c>
      <c r="D2031" s="2" t="str">
        <f t="shared" si="30"/>
        <v>Error?</v>
      </c>
    </row>
    <row r="2032" spans="1:4">
      <c r="A2032" s="10">
        <v>1971</v>
      </c>
      <c r="D2032" s="2" t="str">
        <f t="shared" si="30"/>
        <v>OK</v>
      </c>
    </row>
    <row r="2033" spans="1:4">
      <c r="A2033" s="5">
        <v>1972</v>
      </c>
      <c r="B2033" s="138">
        <f>'Cap Outlay Deprec 26'!H8</f>
        <v>10291802</v>
      </c>
      <c r="D2033" s="2" t="str">
        <f t="shared" si="30"/>
        <v>Error?</v>
      </c>
    </row>
    <row r="2034" spans="1:4">
      <c r="A2034" s="5">
        <v>1973</v>
      </c>
      <c r="B2034" s="138">
        <f>'Cap Outlay Deprec 26'!H10</f>
        <v>3332816</v>
      </c>
      <c r="D2034" s="2" t="str">
        <f t="shared" si="30"/>
        <v>Error?</v>
      </c>
    </row>
    <row r="2035" spans="1:4">
      <c r="A2035" s="5">
        <v>1974</v>
      </c>
      <c r="B2035" s="138">
        <f>'Cap Outlay Deprec 26'!H12</f>
        <v>2372527</v>
      </c>
      <c r="D2035" s="2" t="str">
        <f t="shared" si="30"/>
        <v>Error?</v>
      </c>
    </row>
    <row r="2036" spans="1:4">
      <c r="A2036" s="5">
        <v>1975</v>
      </c>
      <c r="B2036" s="138">
        <f>'Cap Outlay Deprec 26'!H13</f>
        <v>284553</v>
      </c>
      <c r="D2036" s="2" t="str">
        <f t="shared" si="30"/>
        <v>Error?</v>
      </c>
    </row>
    <row r="2037" spans="1:4">
      <c r="A2037" s="5">
        <v>1976</v>
      </c>
      <c r="B2037" s="138">
        <f>'Cap Outlay Deprec 26'!H16</f>
        <v>16281698</v>
      </c>
      <c r="C2037" s="2" t="s">
        <v>573</v>
      </c>
      <c r="D2037" s="2" t="str">
        <f t="shared" si="30"/>
        <v>Error?</v>
      </c>
    </row>
    <row r="2038" spans="1:4">
      <c r="A2038" s="10">
        <v>1977</v>
      </c>
      <c r="D2038" s="2" t="str">
        <f t="shared" si="30"/>
        <v>OK</v>
      </c>
    </row>
    <row r="2039" spans="1:4">
      <c r="A2039" s="5">
        <v>1978</v>
      </c>
      <c r="B2039" s="138">
        <f>'Cap Outlay Deprec 26'!I8</f>
        <v>446382</v>
      </c>
      <c r="D2039" s="2" t="str">
        <f t="shared" si="30"/>
        <v>Error?</v>
      </c>
    </row>
    <row r="2040" spans="1:4">
      <c r="A2040" s="5">
        <v>1979</v>
      </c>
      <c r="B2040" s="138">
        <f>'Cap Outlay Deprec 26'!I10</f>
        <v>352190</v>
      </c>
      <c r="D2040" s="2" t="str">
        <f t="shared" si="30"/>
        <v>Error?</v>
      </c>
    </row>
    <row r="2041" spans="1:4">
      <c r="A2041" s="5">
        <v>1980</v>
      </c>
      <c r="B2041" s="138">
        <f>'Cap Outlay Deprec 26'!I12</f>
        <v>85715</v>
      </c>
      <c r="D2041" s="2" t="str">
        <f t="shared" si="30"/>
        <v>Error?</v>
      </c>
    </row>
    <row r="2042" spans="1:4">
      <c r="A2042" s="5">
        <v>1981</v>
      </c>
      <c r="B2042" s="138">
        <f>'Cap Outlay Deprec 26'!I13</f>
        <v>19119</v>
      </c>
      <c r="D2042" s="2" t="str">
        <f t="shared" si="30"/>
        <v>Error?</v>
      </c>
    </row>
    <row r="2043" spans="1:4">
      <c r="A2043" s="5">
        <v>1982</v>
      </c>
      <c r="B2043" s="138">
        <f>'Cap Outlay Deprec 26'!I16</f>
        <v>903406</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8312</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8312</v>
      </c>
      <c r="C2049" s="2" t="s">
        <v>573</v>
      </c>
      <c r="D2049" s="2" t="str">
        <f t="shared" si="31"/>
        <v>Error?</v>
      </c>
    </row>
    <row r="2050" spans="1:4">
      <c r="A2050" s="10">
        <v>1989</v>
      </c>
      <c r="D2050" s="2" t="str">
        <f t="shared" si="31"/>
        <v>OK</v>
      </c>
    </row>
    <row r="2051" spans="1:4">
      <c r="A2051" s="5">
        <v>1990</v>
      </c>
      <c r="B2051" s="138">
        <f>'Cap Outlay Deprec 26'!K8</f>
        <v>10738184</v>
      </c>
      <c r="C2051" s="2" t="s">
        <v>573</v>
      </c>
      <c r="D2051" s="2" t="str">
        <f t="shared" si="31"/>
        <v>Error?</v>
      </c>
    </row>
    <row r="2052" spans="1:4">
      <c r="A2052" s="5">
        <v>1991</v>
      </c>
      <c r="B2052" s="138">
        <f>'Cap Outlay Deprec 26'!K10</f>
        <v>3685006</v>
      </c>
      <c r="C2052" s="2" t="s">
        <v>573</v>
      </c>
      <c r="D2052" s="2" t="str">
        <f t="shared" si="31"/>
        <v>Error?</v>
      </c>
    </row>
    <row r="2053" spans="1:4">
      <c r="A2053" s="5">
        <v>1992</v>
      </c>
      <c r="B2053" s="138">
        <f>'Cap Outlay Deprec 26'!K12</f>
        <v>2449930</v>
      </c>
      <c r="C2053" s="2" t="s">
        <v>573</v>
      </c>
      <c r="D2053" s="2" t="str">
        <f t="shared" si="31"/>
        <v>Error?</v>
      </c>
    </row>
    <row r="2054" spans="1:4">
      <c r="A2054" s="5">
        <v>1993</v>
      </c>
      <c r="B2054" s="138">
        <f>'Cap Outlay Deprec 26'!K13</f>
        <v>303672</v>
      </c>
      <c r="C2054" s="2" t="s">
        <v>573</v>
      </c>
      <c r="D2054" s="2" t="str">
        <f t="shared" si="31"/>
        <v>Error?</v>
      </c>
    </row>
    <row r="2055" spans="1:4">
      <c r="A2055" s="5">
        <v>1994</v>
      </c>
      <c r="B2055" s="138">
        <f>'Cap Outlay Deprec 26'!K16</f>
        <v>17176792</v>
      </c>
      <c r="C2055" s="2" t="s">
        <v>573</v>
      </c>
      <c r="D2055" s="2" t="str">
        <f t="shared" si="31"/>
        <v>Error?</v>
      </c>
    </row>
    <row r="2056" spans="1:4">
      <c r="A2056" s="5">
        <v>1995</v>
      </c>
      <c r="B2056" s="138">
        <f>'Cap Outlay Deprec 26'!L5</f>
        <v>1191208</v>
      </c>
      <c r="C2056" s="2" t="s">
        <v>573</v>
      </c>
      <c r="D2056" s="2" t="str">
        <f t="shared" si="31"/>
        <v>Error?</v>
      </c>
    </row>
    <row r="2057" spans="1:4">
      <c r="A2057" s="5">
        <v>1996</v>
      </c>
      <c r="B2057" s="138">
        <f>'Cap Outlay Deprec 26'!L8</f>
        <v>14004985</v>
      </c>
      <c r="C2057" s="2" t="s">
        <v>573</v>
      </c>
      <c r="D2057" s="2" t="str">
        <f t="shared" si="31"/>
        <v>Error?</v>
      </c>
    </row>
    <row r="2058" spans="1:4">
      <c r="A2058" s="5">
        <v>1997</v>
      </c>
      <c r="B2058" s="138">
        <f>'Cap Outlay Deprec 26'!L10</f>
        <v>5071226</v>
      </c>
      <c r="C2058" s="2" t="s">
        <v>573</v>
      </c>
      <c r="D2058" s="2" t="str">
        <f t="shared" si="31"/>
        <v>Error?</v>
      </c>
    </row>
    <row r="2059" spans="1:4">
      <c r="A2059" s="5">
        <v>1998</v>
      </c>
      <c r="B2059" s="138">
        <f>'Cap Outlay Deprec 26'!L12</f>
        <v>453020</v>
      </c>
      <c r="C2059" s="2" t="s">
        <v>573</v>
      </c>
      <c r="D2059" s="2" t="str">
        <f t="shared" si="31"/>
        <v>Error?</v>
      </c>
    </row>
    <row r="2060" spans="1:4">
      <c r="A2060" s="5">
        <v>1999</v>
      </c>
      <c r="B2060" s="138">
        <f>'Cap Outlay Deprec 26'!L13</f>
        <v>28506</v>
      </c>
      <c r="C2060" s="2" t="s">
        <v>573</v>
      </c>
      <c r="D2060" s="2" t="str">
        <f t="shared" si="31"/>
        <v>Error?</v>
      </c>
    </row>
    <row r="2061" spans="1:4">
      <c r="A2061" s="5">
        <v>2000</v>
      </c>
      <c r="B2061" s="138">
        <f>'Cap Outlay Deprec 26'!L16</f>
        <v>43919223</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1143645</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1143645</v>
      </c>
      <c r="C2088" s="2" t="s">
        <v>573</v>
      </c>
      <c r="D2088" s="2" t="str">
        <f t="shared" si="31"/>
        <v>Error?</v>
      </c>
    </row>
    <row r="2089" spans="1:4">
      <c r="A2089" s="5">
        <v>2028</v>
      </c>
      <c r="B2089" s="138">
        <f>'Expenditures 15-22'!K92</f>
        <v>930416</v>
      </c>
      <c r="C2089" s="2" t="s">
        <v>573</v>
      </c>
      <c r="D2089" s="2" t="str">
        <f t="shared" si="31"/>
        <v>Error?</v>
      </c>
    </row>
    <row r="2090" spans="1:4">
      <c r="A2090" s="10">
        <v>2029</v>
      </c>
      <c r="D2090" s="2" t="str">
        <f t="shared" si="31"/>
        <v>OK</v>
      </c>
    </row>
    <row r="2091" spans="1:4">
      <c r="A2091" s="5">
        <v>2030</v>
      </c>
      <c r="B2091" s="138">
        <f>'Expenditures 15-22'!H137</f>
        <v>24144</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24144</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47531</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781912</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4863716</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13439250</v>
      </c>
      <c r="C2551" s="2" t="s">
        <v>573</v>
      </c>
      <c r="D2551" s="2" t="str">
        <f t="shared" si="38"/>
        <v>Error?</v>
      </c>
    </row>
    <row r="2552" spans="1:4">
      <c r="A2552" s="10">
        <v>2491</v>
      </c>
      <c r="D2552" s="2" t="str">
        <f t="shared" si="38"/>
        <v>OK</v>
      </c>
    </row>
    <row r="2553" spans="1:4">
      <c r="A2553" s="5">
        <v>2492</v>
      </c>
      <c r="B2553" s="138">
        <f>'Acct Summary 7-8'!C6</f>
        <v>6223426</v>
      </c>
      <c r="C2553" s="2" t="s">
        <v>573</v>
      </c>
      <c r="D2553" s="2" t="str">
        <f t="shared" si="38"/>
        <v>Error?</v>
      </c>
    </row>
    <row r="2554" spans="1:4">
      <c r="A2554" s="5">
        <v>2493</v>
      </c>
      <c r="B2554" s="138">
        <f>'Acct Summary 7-8'!C7</f>
        <v>1679619</v>
      </c>
      <c r="C2554" s="2" t="s">
        <v>573</v>
      </c>
      <c r="D2554" s="2" t="str">
        <f t="shared" si="38"/>
        <v>Error?</v>
      </c>
    </row>
    <row r="2555" spans="1:4">
      <c r="A2555" s="5">
        <v>2494</v>
      </c>
      <c r="B2555" s="138">
        <f>'Acct Summary 7-8'!C8</f>
        <v>21342295</v>
      </c>
      <c r="C2555" s="2" t="s">
        <v>573</v>
      </c>
      <c r="D2555" s="2" t="str">
        <f t="shared" si="38"/>
        <v>Error?</v>
      </c>
    </row>
    <row r="2556" spans="1:4">
      <c r="A2556" s="5">
        <v>2495</v>
      </c>
      <c r="B2556" s="138">
        <f>'Acct Summary 7-8'!C12</f>
        <v>14895841</v>
      </c>
      <c r="C2556" s="2" t="s">
        <v>573</v>
      </c>
      <c r="D2556" s="2" t="str">
        <f t="shared" si="38"/>
        <v>Error?</v>
      </c>
    </row>
    <row r="2557" spans="1:4">
      <c r="A2557" s="5">
        <v>2496</v>
      </c>
      <c r="B2557" s="138">
        <f>'Acct Summary 7-8'!C13</f>
        <v>4687182</v>
      </c>
      <c r="C2557" s="2" t="s">
        <v>573</v>
      </c>
      <c r="D2557" s="2" t="str">
        <f t="shared" si="38"/>
        <v>Error?</v>
      </c>
    </row>
    <row r="2558" spans="1:4">
      <c r="A2558" s="5">
        <v>2497</v>
      </c>
      <c r="B2558" s="138">
        <f>'Acct Summary 7-8'!C14</f>
        <v>51307</v>
      </c>
      <c r="C2558" s="2" t="s">
        <v>573</v>
      </c>
      <c r="D2558" s="2" t="str">
        <f t="shared" si="38"/>
        <v>Error?</v>
      </c>
    </row>
    <row r="2559" spans="1:4">
      <c r="A2559" s="5">
        <v>2498</v>
      </c>
      <c r="B2559" s="138">
        <f>'Acct Summary 7-8'!C15</f>
        <v>2074061</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21708391</v>
      </c>
      <c r="C2561" s="2" t="s">
        <v>573</v>
      </c>
      <c r="D2561" s="2" t="str">
        <f t="shared" si="39"/>
        <v>Error?</v>
      </c>
    </row>
    <row r="2562" spans="1:4">
      <c r="A2562" s="5">
        <v>2501</v>
      </c>
      <c r="B2562" s="138">
        <f>'Acct Summary 7-8'!C20</f>
        <v>-366096</v>
      </c>
      <c r="C2562" s="2" t="s">
        <v>573</v>
      </c>
      <c r="D2562" s="2" t="str">
        <f t="shared" si="39"/>
        <v>Error?</v>
      </c>
    </row>
    <row r="2563" spans="1:4">
      <c r="A2563" s="5">
        <v>2502</v>
      </c>
      <c r="B2563" s="138">
        <f>'Acct Summary 7-8'!C80</f>
        <v>0</v>
      </c>
      <c r="D2563" s="2" t="str">
        <f t="shared" si="39"/>
        <v>Error?</v>
      </c>
    </row>
    <row r="2564" spans="1:4">
      <c r="A2564" s="5">
        <v>2503</v>
      </c>
      <c r="B2564" s="138">
        <f>'Acct Summary 7-8'!D4</f>
        <v>2132779</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2132779</v>
      </c>
      <c r="C2568" s="2" t="s">
        <v>573</v>
      </c>
      <c r="D2568" s="2" t="str">
        <f t="shared" si="39"/>
        <v>Error?</v>
      </c>
    </row>
    <row r="2569" spans="1:4">
      <c r="A2569" s="5">
        <v>2508</v>
      </c>
      <c r="B2569" s="138">
        <f>'Acct Summary 7-8'!D13</f>
        <v>2114861</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24144</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2139005</v>
      </c>
      <c r="C2573" s="2" t="s">
        <v>573</v>
      </c>
      <c r="D2573" s="2" t="str">
        <f t="shared" si="39"/>
        <v>Error?</v>
      </c>
    </row>
    <row r="2574" spans="1:4">
      <c r="A2574" s="5">
        <v>2513</v>
      </c>
      <c r="B2574" s="138">
        <f>'Acct Summary 7-8'!D20</f>
        <v>-6226</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725959</v>
      </c>
      <c r="C2591" s="2" t="s">
        <v>573</v>
      </c>
      <c r="D2591" s="2" t="str">
        <f t="shared" si="39"/>
        <v>Error?</v>
      </c>
    </row>
    <row r="2592" spans="1:4">
      <c r="A2592" s="10">
        <v>2531</v>
      </c>
      <c r="D2592" s="2" t="str">
        <f t="shared" si="39"/>
        <v>OK</v>
      </c>
    </row>
    <row r="2593" spans="1:4">
      <c r="A2593" s="5">
        <v>2532</v>
      </c>
      <c r="B2593" s="138">
        <f>'Acct Summary 7-8'!F6</f>
        <v>1467270</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2193229</v>
      </c>
      <c r="C2595" s="2" t="s">
        <v>573</v>
      </c>
      <c r="D2595" s="2" t="str">
        <f t="shared" si="39"/>
        <v>Error?</v>
      </c>
    </row>
    <row r="2596" spans="1:4">
      <c r="A2596" s="5">
        <v>2535</v>
      </c>
      <c r="B2596" s="138">
        <f>'Acct Summary 7-8'!F13</f>
        <v>2263387</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2263387</v>
      </c>
      <c r="C2600" s="2" t="s">
        <v>573</v>
      </c>
      <c r="D2600" s="2" t="str">
        <f t="shared" si="39"/>
        <v>Error?</v>
      </c>
    </row>
    <row r="2601" spans="1:4">
      <c r="A2601" s="5">
        <v>2540</v>
      </c>
      <c r="B2601" s="138">
        <f>'Acct Summary 7-8'!F20</f>
        <v>-70158</v>
      </c>
      <c r="C2601" s="2" t="s">
        <v>573</v>
      </c>
      <c r="D2601" s="2" t="str">
        <f t="shared" si="39"/>
        <v>Error?</v>
      </c>
    </row>
    <row r="2602" spans="1:4">
      <c r="A2602" s="5">
        <v>2541</v>
      </c>
      <c r="B2602" s="138">
        <f>'Acct Summary 7-8'!F80</f>
        <v>0</v>
      </c>
      <c r="D2602" s="2" t="str">
        <f t="shared" si="39"/>
        <v>Error?</v>
      </c>
    </row>
    <row r="2603" spans="1:4">
      <c r="A2603" s="5">
        <v>2542</v>
      </c>
      <c r="B2603" s="138">
        <f>'Acct Summary 7-8'!G4</f>
        <v>735072</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735072</v>
      </c>
      <c r="C2606" s="2" t="s">
        <v>573</v>
      </c>
      <c r="D2606" s="2" t="str">
        <f t="shared" si="39"/>
        <v>Error?</v>
      </c>
    </row>
    <row r="2607" spans="1:4">
      <c r="A2607" s="5">
        <v>2546</v>
      </c>
      <c r="B2607" s="138">
        <f>'Acct Summary 7-8'!G12</f>
        <v>322425</v>
      </c>
      <c r="C2607" s="2" t="s">
        <v>573</v>
      </c>
      <c r="D2607" s="2" t="str">
        <f t="shared" si="39"/>
        <v>Error?</v>
      </c>
    </row>
    <row r="2608" spans="1:4">
      <c r="A2608" s="5">
        <v>2547</v>
      </c>
      <c r="B2608" s="138">
        <f>'Acct Summary 7-8'!G13</f>
        <v>367597</v>
      </c>
      <c r="C2608" s="2" t="s">
        <v>573</v>
      </c>
      <c r="D2608" s="2" t="str">
        <f t="shared" si="39"/>
        <v>Error?</v>
      </c>
    </row>
    <row r="2609" spans="1:4">
      <c r="A2609" s="5">
        <v>2548</v>
      </c>
      <c r="B2609" s="138">
        <f>'Acct Summary 7-8'!G14</f>
        <v>4440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694462</v>
      </c>
      <c r="C2612" s="2" t="s">
        <v>573</v>
      </c>
      <c r="D2612" s="2" t="str">
        <f t="shared" si="39"/>
        <v>Error?</v>
      </c>
    </row>
    <row r="2613" spans="1:4">
      <c r="A2613" s="5">
        <v>2552</v>
      </c>
      <c r="B2613" s="138">
        <f>'Acct Summary 7-8'!G20</f>
        <v>40610</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2653345</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2653345</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2303657</v>
      </c>
      <c r="C2634" s="2" t="s">
        <v>573</v>
      </c>
      <c r="D2634" s="2" t="str">
        <f t="shared" si="40"/>
        <v>Error?</v>
      </c>
    </row>
    <row r="2635" spans="1:4">
      <c r="A2635" s="5">
        <v>2574</v>
      </c>
      <c r="B2635" s="138">
        <f>'Acct Summary 7-8'!E17</f>
        <v>2303657</v>
      </c>
      <c r="C2635" s="2" t="s">
        <v>573</v>
      </c>
      <c r="D2635" s="2" t="str">
        <f t="shared" si="40"/>
        <v>Error?</v>
      </c>
    </row>
    <row r="2636" spans="1:4">
      <c r="A2636" s="5">
        <v>2575</v>
      </c>
      <c r="B2636" s="138">
        <f>'Acct Summary 7-8'!E20</f>
        <v>349688</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954735</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954735</v>
      </c>
      <c r="C2658" s="2" t="s">
        <v>573</v>
      </c>
      <c r="D2658" s="2" t="str">
        <f t="shared" si="40"/>
        <v>Error?</v>
      </c>
    </row>
    <row r="2659" spans="1:4">
      <c r="A2659" s="5">
        <v>2598</v>
      </c>
      <c r="B2659" s="138">
        <f>'Acct Summary 7-8'!H13</f>
        <v>8642776</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8642776</v>
      </c>
      <c r="C2661" s="2" t="s">
        <v>573</v>
      </c>
      <c r="D2661" s="2" t="str">
        <f t="shared" si="40"/>
        <v>Error?</v>
      </c>
    </row>
    <row r="2662" spans="1:4">
      <c r="A2662" s="5">
        <v>2601</v>
      </c>
      <c r="B2662" s="138">
        <f>'Acct Summary 7-8'!H20</f>
        <v>-7688041</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1319527</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1319527</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23170278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175383</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2490549</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3468310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380015</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184389</v>
      </c>
      <c r="D2908" s="2" t="str">
        <f t="shared" si="44"/>
        <v>Error?</v>
      </c>
    </row>
    <row r="2909" spans="1:4">
      <c r="A2909" s="10">
        <v>2848</v>
      </c>
      <c r="D2909" s="2" t="str">
        <f t="shared" si="44"/>
        <v>OK</v>
      </c>
    </row>
    <row r="2910" spans="1:4">
      <c r="A2910" s="5">
        <v>2849</v>
      </c>
      <c r="B2910" s="138">
        <f>'Assets-Liab 5-6'!I34</f>
        <v>184389</v>
      </c>
      <c r="C2910" s="2" t="s">
        <v>573</v>
      </c>
      <c r="D2910" s="2" t="str">
        <f t="shared" si="44"/>
        <v>Error?</v>
      </c>
    </row>
    <row r="2911" spans="1:4">
      <c r="A2911" s="5">
        <v>2850</v>
      </c>
      <c r="B2911" s="138">
        <f>'Assets-Liab 5-6'!I38</f>
        <v>0</v>
      </c>
      <c r="D2911" s="2" t="str">
        <f t="shared" si="44"/>
        <v>Error?</v>
      </c>
    </row>
    <row r="2912" spans="1:4">
      <c r="A2912" s="5">
        <v>2851</v>
      </c>
      <c r="B2912" s="138">
        <f>'Assets-Liab 5-6'!I39</f>
        <v>3283921</v>
      </c>
      <c r="D2912" s="2" t="str">
        <f t="shared" si="44"/>
        <v>Error?</v>
      </c>
    </row>
    <row r="2913" spans="1:4">
      <c r="A2913" s="5">
        <v>2852</v>
      </c>
      <c r="B2913" s="138">
        <f>'Assets-Liab 5-6'!I41</f>
        <v>3468310</v>
      </c>
      <c r="C2913" s="2" t="s">
        <v>573</v>
      </c>
      <c r="D2913" s="2" t="str">
        <f t="shared" si="44"/>
        <v>Error?</v>
      </c>
    </row>
    <row r="2914" spans="1:4">
      <c r="A2914" s="5">
        <v>2853</v>
      </c>
      <c r="B2914" s="138">
        <f>'Assets-Liab 5-6'!L33</f>
        <v>380015</v>
      </c>
      <c r="D2914" s="2" t="str">
        <f t="shared" si="44"/>
        <v>Error?</v>
      </c>
    </row>
    <row r="2915" spans="1:4">
      <c r="A2915" s="10">
        <v>2854</v>
      </c>
      <c r="D2915" s="2" t="str">
        <f t="shared" si="44"/>
        <v>OK</v>
      </c>
    </row>
    <row r="2916" spans="1:4">
      <c r="A2916" s="5">
        <v>2855</v>
      </c>
      <c r="B2916" s="138">
        <f>'Assets-Liab 5-6'!L34</f>
        <v>380015</v>
      </c>
      <c r="C2916" s="2" t="s">
        <v>573</v>
      </c>
      <c r="D2916" s="2" t="str">
        <f t="shared" si="44"/>
        <v>Error?</v>
      </c>
    </row>
    <row r="2917" spans="1:4">
      <c r="A2917" s="5">
        <v>2856</v>
      </c>
      <c r="B2917" s="138">
        <f>'Assets-Liab 5-6'!L41</f>
        <v>380015</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1108176</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35469</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1108176</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35469</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24144</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24144</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235467</v>
      </c>
      <c r="D3055" s="2" t="str">
        <f t="shared" si="46"/>
        <v>Error?</v>
      </c>
    </row>
    <row r="3056" spans="1:4">
      <c r="A3056" s="5">
        <v>2995</v>
      </c>
      <c r="B3056" s="138">
        <f>'Expenditures 15-22'!D10</f>
        <v>148370</v>
      </c>
      <c r="D3056" s="2" t="str">
        <f t="shared" si="46"/>
        <v>Error?</v>
      </c>
    </row>
    <row r="3057" spans="1:4">
      <c r="A3057" s="5">
        <v>2996</v>
      </c>
      <c r="B3057" s="138">
        <f>'Expenditures 15-22'!E10</f>
        <v>0</v>
      </c>
      <c r="D3057" s="2" t="str">
        <f t="shared" si="46"/>
        <v>Error?</v>
      </c>
    </row>
    <row r="3058" spans="1:4">
      <c r="A3058" s="5">
        <v>2997</v>
      </c>
      <c r="B3058" s="138">
        <f>'Expenditures 15-22'!F10</f>
        <v>16665</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400502</v>
      </c>
      <c r="C3062" s="2" t="s">
        <v>573</v>
      </c>
      <c r="D3062" s="2" t="str">
        <f t="shared" si="46"/>
        <v>Error?</v>
      </c>
    </row>
    <row r="3063" spans="1:4">
      <c r="A3063" s="10">
        <v>3002</v>
      </c>
      <c r="D3063" s="2" t="str">
        <f t="shared" si="46"/>
        <v>OK</v>
      </c>
    </row>
    <row r="3064" spans="1:4">
      <c r="A3064" s="5">
        <v>3003</v>
      </c>
      <c r="B3064" s="138">
        <f>'Expenditures 15-22'!D219</f>
        <v>12415</v>
      </c>
      <c r="D3064" s="2" t="str">
        <f t="shared" si="46"/>
        <v>Error?</v>
      </c>
    </row>
    <row r="3065" spans="1:4">
      <c r="A3065" s="5">
        <v>3004</v>
      </c>
      <c r="B3065" s="138">
        <f>'Expenditures 15-22'!K219</f>
        <v>12415</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68503</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225684</v>
      </c>
      <c r="C3225" s="2" t="s">
        <v>573</v>
      </c>
      <c r="D3225" s="2" t="str">
        <f t="shared" si="49"/>
        <v>Error?</v>
      </c>
    </row>
    <row r="3226" spans="1:4">
      <c r="A3226" s="5">
        <v>3165</v>
      </c>
      <c r="B3226" s="138">
        <f>'Acct Summary 7-8'!I8</f>
        <v>225684</v>
      </c>
      <c r="C3226" s="2" t="s">
        <v>573</v>
      </c>
      <c r="D3226" s="2" t="str">
        <f t="shared" si="49"/>
        <v>Error?</v>
      </c>
    </row>
    <row r="3227" spans="1:4">
      <c r="A3227" s="5">
        <v>3166</v>
      </c>
      <c r="B3227" s="138">
        <f>'Acct Summary 7-8'!I20</f>
        <v>225684</v>
      </c>
      <c r="C3227" s="2" t="s">
        <v>573</v>
      </c>
      <c r="D3227" s="2" t="str">
        <f t="shared" si="49"/>
        <v>Error?</v>
      </c>
    </row>
    <row r="3228" spans="1:4">
      <c r="A3228" s="5">
        <v>3167</v>
      </c>
      <c r="B3228" s="138">
        <f>'Acct Summary 7-8'!C43</f>
        <v>0</v>
      </c>
      <c r="D3228" s="2" t="str">
        <f t="shared" si="49"/>
        <v>Error?</v>
      </c>
    </row>
    <row r="3229" spans="1:4">
      <c r="A3229" s="5">
        <v>3168</v>
      </c>
      <c r="B3229" s="138">
        <f>'Acct Summary 7-8'!C44</f>
        <v>47531</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47531</v>
      </c>
      <c r="C3232" s="2" t="s">
        <v>573</v>
      </c>
      <c r="D3232" s="2" t="str">
        <f t="shared" si="49"/>
        <v>Error?</v>
      </c>
    </row>
    <row r="3233" spans="1:4">
      <c r="A3233" s="5">
        <v>3172</v>
      </c>
      <c r="B3233" s="138">
        <f>'Acct Summary 7-8'!C78</f>
        <v>-318565</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-6226</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-70158</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40610</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68503</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68503</v>
      </c>
      <c r="C3277" s="2" t="s">
        <v>573</v>
      </c>
      <c r="D3277" s="2" t="str">
        <f t="shared" si="50"/>
        <v>Error?</v>
      </c>
    </row>
    <row r="3278" spans="1:4">
      <c r="A3278" s="5">
        <v>3217</v>
      </c>
      <c r="B3278" s="138">
        <f>'Acct Summary 7-8'!E78</f>
        <v>418191</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4440168</v>
      </c>
      <c r="C3296" s="2" t="s">
        <v>573</v>
      </c>
      <c r="D3296" s="2" t="str">
        <f t="shared" si="50"/>
        <v>Error?</v>
      </c>
    </row>
    <row r="3297" spans="1:4">
      <c r="A3297" s="5">
        <v>3236</v>
      </c>
      <c r="B3297" s="138">
        <f>'Acct Summary 7-8'!H75</f>
        <v>88509</v>
      </c>
      <c r="D3297" s="2" t="str">
        <f t="shared" si="50"/>
        <v>Error?</v>
      </c>
    </row>
    <row r="3298" spans="1:4">
      <c r="A3298" s="5">
        <v>3237</v>
      </c>
      <c r="B3298" s="138">
        <f>'Acct Summary 7-8'!H76</f>
        <v>88509</v>
      </c>
      <c r="C3298" s="2" t="s">
        <v>573</v>
      </c>
      <c r="D3298" s="2" t="str">
        <f t="shared" si="50"/>
        <v>Error?</v>
      </c>
    </row>
    <row r="3299" spans="1:4">
      <c r="A3299" s="5">
        <v>3238</v>
      </c>
      <c r="B3299" s="138">
        <f>'Acct Summary 7-8'!H77</f>
        <v>4351659</v>
      </c>
      <c r="C3299" s="2" t="s">
        <v>573</v>
      </c>
      <c r="D3299" s="2" t="str">
        <f t="shared" si="50"/>
        <v>Error?</v>
      </c>
    </row>
    <row r="3300" spans="1:4">
      <c r="A3300" s="5">
        <v>3239</v>
      </c>
      <c r="B3300" s="138">
        <f>'Acct Summary 7-8'!H78</f>
        <v>-3336382</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47531</v>
      </c>
      <c r="C3318" s="2" t="s">
        <v>573</v>
      </c>
      <c r="D3318" s="2" t="str">
        <f t="shared" si="50"/>
        <v>Error?</v>
      </c>
    </row>
    <row r="3319" spans="1:4">
      <c r="A3319" s="5">
        <v>3258</v>
      </c>
      <c r="B3319" s="138">
        <f>'Acct Summary 7-8'!I77</f>
        <v>-47531</v>
      </c>
      <c r="C3319" s="2" t="s">
        <v>573</v>
      </c>
      <c r="D3319" s="2" t="str">
        <f t="shared" si="50"/>
        <v>Error?</v>
      </c>
    </row>
    <row r="3320" spans="1:4">
      <c r="A3320" s="5">
        <v>3259</v>
      </c>
      <c r="B3320" s="138">
        <f>'Acct Summary 7-8'!I78</f>
        <v>178153</v>
      </c>
      <c r="C3320" s="2" t="s">
        <v>573</v>
      </c>
      <c r="D3320" s="2" t="str">
        <f t="shared" si="50"/>
        <v>Error?</v>
      </c>
    </row>
    <row r="3321" spans="1:4">
      <c r="A3321" s="5">
        <v>3260</v>
      </c>
      <c r="B3321" s="138">
        <f>'Acct Summary 7-8'!I79</f>
        <v>3105768</v>
      </c>
      <c r="D3321" s="2" t="str">
        <f t="shared" si="50"/>
        <v>Error?</v>
      </c>
    </row>
    <row r="3322" spans="1:4">
      <c r="A3322" s="5">
        <v>3261</v>
      </c>
      <c r="B3322" s="138">
        <f>'Acct Summary 7-8'!I80</f>
        <v>0</v>
      </c>
      <c r="D3322" s="2" t="str">
        <f t="shared" si="50"/>
        <v>Error?</v>
      </c>
    </row>
    <row r="3323" spans="1:4">
      <c r="A3323" s="5">
        <v>3262</v>
      </c>
      <c r="B3323" s="138">
        <f>'Acct Summary 7-8'!I81</f>
        <v>3283921</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1791087</v>
      </c>
      <c r="D3366" s="2" t="str">
        <f t="shared" si="51"/>
        <v>Error?</v>
      </c>
    </row>
    <row r="3367" spans="1:4">
      <c r="A3367" s="5">
        <v>3306</v>
      </c>
      <c r="B3367" s="138">
        <f>'Expenditures 15-22'!C19</f>
        <v>0</v>
      </c>
      <c r="D3367" s="2" t="str">
        <f t="shared" si="51"/>
        <v>Error?</v>
      </c>
    </row>
    <row r="3368" spans="1:4">
      <c r="A3368" s="5">
        <v>3307</v>
      </c>
      <c r="B3368" s="138">
        <f>'Expenditures 15-22'!D8</f>
        <v>1064819</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429</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2856335</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145109</v>
      </c>
      <c r="D3387" s="2" t="str">
        <f t="shared" si="51"/>
        <v>Error?</v>
      </c>
    </row>
    <row r="3388" spans="1:4">
      <c r="A3388" s="5">
        <v>3327</v>
      </c>
      <c r="B3388" s="138">
        <f>'Expenditures 15-22'!D217</f>
        <v>131574</v>
      </c>
      <c r="D3388" s="2" t="str">
        <f t="shared" si="51"/>
        <v>Error?</v>
      </c>
    </row>
    <row r="3389" spans="1:4">
      <c r="A3389" s="5">
        <v>3328</v>
      </c>
      <c r="B3389" s="138">
        <f>'Expenditures 15-22'!D228</f>
        <v>0</v>
      </c>
      <c r="D3389" s="2" t="str">
        <f t="shared" si="51"/>
        <v>Error?</v>
      </c>
    </row>
    <row r="3390" spans="1:4">
      <c r="A3390" s="5">
        <v>3329</v>
      </c>
      <c r="B3390" s="138">
        <f>'Expenditures 15-22'!K215</f>
        <v>145109</v>
      </c>
      <c r="C3390" s="2" t="s">
        <v>573</v>
      </c>
      <c r="D3390" s="2" t="str">
        <f t="shared" si="51"/>
        <v>Error?</v>
      </c>
    </row>
    <row r="3391" spans="1:4">
      <c r="A3391" s="5">
        <v>3330</v>
      </c>
      <c r="B3391" s="138">
        <f>'Expenditures 15-22'!K217</f>
        <v>131574</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274063</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446708</v>
      </c>
      <c r="D3417" s="2" t="str">
        <f t="shared" si="52"/>
        <v>Error?</v>
      </c>
    </row>
    <row r="3418" spans="1:4">
      <c r="A3418" s="10">
        <v>3357</v>
      </c>
      <c r="D3418" s="2" t="str">
        <f t="shared" si="52"/>
        <v>OK</v>
      </c>
    </row>
    <row r="3419" spans="1:4">
      <c r="A3419" s="5">
        <v>3358</v>
      </c>
      <c r="B3419" s="138">
        <f>'Assets-Liab 5-6'!F4</f>
        <v>218996</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59106</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1139690</v>
      </c>
      <c r="D3425" s="2" t="str">
        <f t="shared" si="52"/>
        <v>Error?</v>
      </c>
    </row>
    <row r="3426" spans="1:4">
      <c r="A3426" s="10">
        <v>3365</v>
      </c>
      <c r="D3426" s="2" t="str">
        <f t="shared" si="52"/>
        <v>OK</v>
      </c>
    </row>
    <row r="3427" spans="1:4">
      <c r="A3427" s="5">
        <v>3366</v>
      </c>
      <c r="B3427" s="138">
        <f>'Assets-Liab 5-6'!I4</f>
        <v>130959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380015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324195</v>
      </c>
      <c r="C3446" s="2" t="s">
        <v>573</v>
      </c>
      <c r="D3446" s="2" t="str">
        <f t="shared" si="52"/>
        <v>Error?</v>
      </c>
    </row>
    <row r="3447" spans="1:4">
      <c r="A3447" s="5">
        <v>3386</v>
      </c>
      <c r="B3447" s="138">
        <f>'Tax Sched 23'!D16</f>
        <v>307519</v>
      </c>
      <c r="C3447" s="2" t="s">
        <v>573</v>
      </c>
      <c r="D3447" s="2" t="str">
        <f t="shared" si="52"/>
        <v>Error?</v>
      </c>
    </row>
    <row r="3448" spans="1:4">
      <c r="A3448" s="5">
        <v>3387</v>
      </c>
      <c r="B3448" s="138">
        <f>'Tax Sched 23'!C16</f>
        <v>16676</v>
      </c>
      <c r="D3448" s="2" t="str">
        <f t="shared" si="52"/>
        <v>Error?</v>
      </c>
    </row>
    <row r="3449" spans="1:4">
      <c r="A3449" s="5">
        <v>3388</v>
      </c>
      <c r="B3449" s="138">
        <f>'Tax Sched 23'!F16</f>
        <v>317067</v>
      </c>
      <c r="C3449" s="2" t="s">
        <v>573</v>
      </c>
      <c r="D3449" s="2" t="str">
        <f t="shared" si="52"/>
        <v>Error?</v>
      </c>
    </row>
    <row r="3450" spans="1:4">
      <c r="A3450" s="5">
        <v>3389</v>
      </c>
      <c r="B3450" s="138">
        <f>'Tax Sched 23'!E16</f>
        <v>333743</v>
      </c>
      <c r="D3450" s="2" t="str">
        <f t="shared" si="52"/>
        <v>Error?</v>
      </c>
    </row>
    <row r="3451" spans="1:4">
      <c r="A3451" s="5">
        <v>3390</v>
      </c>
      <c r="B3451" s="138">
        <f>'Cap Outlay Deprec 26'!C15</f>
        <v>9496786</v>
      </c>
      <c r="D3451" s="2" t="str">
        <f t="shared" si="52"/>
        <v>Error?</v>
      </c>
    </row>
    <row r="3452" spans="1:4">
      <c r="A3452" s="5">
        <v>3391</v>
      </c>
      <c r="B3452" s="138">
        <f>'Cap Outlay Deprec 26'!D15</f>
        <v>13673492</v>
      </c>
      <c r="D3452" s="2" t="str">
        <f t="shared" si="52"/>
        <v>Error?</v>
      </c>
    </row>
    <row r="3453" spans="1:4">
      <c r="A3453" s="5">
        <v>3392</v>
      </c>
      <c r="B3453" s="138">
        <f>'Cap Outlay Deprec 26'!E15</f>
        <v>0</v>
      </c>
      <c r="D3453" s="2" t="str">
        <f t="shared" si="52"/>
        <v>Error?</v>
      </c>
    </row>
    <row r="3454" spans="1:4">
      <c r="A3454" s="5">
        <v>3393</v>
      </c>
      <c r="B3454" s="138">
        <f>'Cap Outlay Deprec 26'!F15</f>
        <v>23170278</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23170278</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335593</v>
      </c>
      <c r="D3546" s="2" t="str">
        <f t="shared" si="54"/>
        <v>Error?</v>
      </c>
    </row>
    <row r="3547" spans="1:4">
      <c r="A3547" s="10">
        <v>3486</v>
      </c>
      <c r="D3547" s="2" t="str">
        <f t="shared" si="54"/>
        <v>OK</v>
      </c>
    </row>
    <row r="3548" spans="1:4">
      <c r="A3548" s="5">
        <v>3487</v>
      </c>
      <c r="B3548" s="138">
        <f>'Assets-Liab 5-6'!K6</f>
        <v>175383</v>
      </c>
      <c r="D3548" s="2" t="str">
        <f t="shared" si="54"/>
        <v>Error?</v>
      </c>
    </row>
    <row r="3549" spans="1:4">
      <c r="A3549" s="5">
        <v>3488</v>
      </c>
      <c r="B3549" s="138">
        <f>'Assets-Liab 5-6'!K10</f>
        <v>0</v>
      </c>
      <c r="D3549" s="2" t="str">
        <f t="shared" si="54"/>
        <v>Error?</v>
      </c>
    </row>
    <row r="3550" spans="1:4">
      <c r="A3550" s="5">
        <v>3489</v>
      </c>
      <c r="B3550" s="138">
        <f>'Assets-Liab 5-6'!K5</f>
        <v>4407761</v>
      </c>
      <c r="D3550" s="2" t="str">
        <f t="shared" si="54"/>
        <v>Error?</v>
      </c>
    </row>
    <row r="3551" spans="1:4">
      <c r="A3551" s="5">
        <v>3490</v>
      </c>
      <c r="B3551" s="138">
        <f>'Assets-Liab 5-6'!K12</f>
        <v>0</v>
      </c>
      <c r="D3551" s="2" t="str">
        <f t="shared" si="54"/>
        <v>Error?</v>
      </c>
    </row>
    <row r="3552" spans="1:4">
      <c r="A3552" s="5">
        <v>3491</v>
      </c>
      <c r="B3552" s="138">
        <f>'Assets-Liab 5-6'!K13</f>
        <v>4921932</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184389</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2594056</v>
      </c>
      <c r="C3565" s="2" t="s">
        <v>573</v>
      </c>
      <c r="D3565" s="2" t="str">
        <f t="shared" si="54"/>
        <v>Error?</v>
      </c>
    </row>
    <row r="3566" spans="1:4">
      <c r="A3566" s="5">
        <v>3505</v>
      </c>
      <c r="B3566" s="138">
        <f>'Assets-Liab 5-6'!K38</f>
        <v>1108941</v>
      </c>
      <c r="D3566" s="2" t="str">
        <f t="shared" si="54"/>
        <v>Error?</v>
      </c>
    </row>
    <row r="3567" spans="1:4">
      <c r="A3567" s="5">
        <v>3506</v>
      </c>
      <c r="B3567" s="138">
        <f>'Assets-Liab 5-6'!K39</f>
        <v>1218935</v>
      </c>
      <c r="D3567" s="2" t="str">
        <f t="shared" si="54"/>
        <v>Error?</v>
      </c>
    </row>
    <row r="3568" spans="1:4">
      <c r="A3568" s="5">
        <v>3507</v>
      </c>
      <c r="B3568" s="138">
        <f>'Assets-Liab 5-6'!K41</f>
        <v>4921932</v>
      </c>
      <c r="C3568" s="2" t="s">
        <v>573</v>
      </c>
      <c r="D3568" s="2" t="str">
        <f t="shared" si="54"/>
        <v>Error?</v>
      </c>
    </row>
    <row r="3569" spans="1:4">
      <c r="A3569" s="5">
        <v>3508</v>
      </c>
      <c r="B3569" s="138">
        <f>'Acct Summary 7-8'!K4</f>
        <v>342762</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342762</v>
      </c>
      <c r="C3571" s="2" t="s">
        <v>573</v>
      </c>
      <c r="D3571" s="2" t="str">
        <f t="shared" si="54"/>
        <v>Error?</v>
      </c>
    </row>
    <row r="3572" spans="1:4">
      <c r="A3572" s="5">
        <v>3511</v>
      </c>
      <c r="B3572" s="138">
        <f>'Acct Summary 7-8'!K13</f>
        <v>12938571</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50919</v>
      </c>
      <c r="C3574" s="2" t="s">
        <v>573</v>
      </c>
      <c r="D3574" s="2" t="str">
        <f t="shared" si="54"/>
        <v>Error?</v>
      </c>
    </row>
    <row r="3575" spans="1:4">
      <c r="A3575" s="5">
        <v>3514</v>
      </c>
      <c r="B3575" s="138">
        <f>'Acct Summary 7-8'!K17</f>
        <v>12989490</v>
      </c>
      <c r="C3575" s="2" t="s">
        <v>573</v>
      </c>
      <c r="D3575" s="2" t="str">
        <f t="shared" si="54"/>
        <v>Error?</v>
      </c>
    </row>
    <row r="3576" spans="1:4">
      <c r="A3576" s="5">
        <v>3515</v>
      </c>
      <c r="B3576" s="138">
        <f>'Acct Summary 7-8'!K20</f>
        <v>-12646728</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2391497</v>
      </c>
      <c r="D3579" s="2" t="str">
        <f t="shared" si="54"/>
        <v>Error?</v>
      </c>
    </row>
    <row r="3580" spans="1:4">
      <c r="A3580" s="5">
        <v>3519</v>
      </c>
      <c r="B3580" s="138">
        <f>'Acct Summary 7-8'!K34</f>
        <v>146914</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2538411</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2538411</v>
      </c>
      <c r="C3587" s="2" t="s">
        <v>573</v>
      </c>
      <c r="D3587" s="2" t="str">
        <f t="shared" si="55"/>
        <v>Error?</v>
      </c>
    </row>
    <row r="3588" spans="1:4">
      <c r="A3588" s="5">
        <v>3527</v>
      </c>
      <c r="B3588" s="138">
        <f>'Acct Summary 7-8'!K78</f>
        <v>-10108317</v>
      </c>
      <c r="C3588" s="2" t="s">
        <v>573</v>
      </c>
      <c r="D3588" s="2" t="str">
        <f t="shared" si="55"/>
        <v>Error?</v>
      </c>
    </row>
    <row r="3589" spans="1:4">
      <c r="A3589" s="5">
        <v>3528</v>
      </c>
      <c r="B3589" s="138">
        <f>'Acct Summary 7-8'!K79</f>
        <v>12436193</v>
      </c>
      <c r="D3589" s="2" t="str">
        <f t="shared" si="55"/>
        <v>Error?</v>
      </c>
    </row>
    <row r="3590" spans="1:4">
      <c r="A3590" s="5">
        <v>3529</v>
      </c>
      <c r="B3590" s="138">
        <f>'Acct Summary 7-8'!K80</f>
        <v>0</v>
      </c>
      <c r="D3590" s="2" t="str">
        <f t="shared" si="55"/>
        <v>Error?</v>
      </c>
    </row>
    <row r="3591" spans="1:4">
      <c r="A3591" s="5">
        <v>3530</v>
      </c>
      <c r="B3591" s="138">
        <f>'Acct Summary 7-8'!K81</f>
        <v>2327876</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1560729</v>
      </c>
      <c r="D3631" s="2" t="str">
        <f t="shared" si="55"/>
        <v>Error?</v>
      </c>
    </row>
    <row r="3632" spans="1:4">
      <c r="A3632" s="5">
        <v>3571</v>
      </c>
      <c r="B3632" s="138">
        <f>'Expenditures 15-22'!E349</f>
        <v>0</v>
      </c>
      <c r="D3632" s="2" t="str">
        <f t="shared" si="55"/>
        <v>Error?</v>
      </c>
    </row>
    <row r="3633" spans="1:4">
      <c r="A3633" s="5">
        <v>3572</v>
      </c>
      <c r="B3633" s="138">
        <f>'Expenditures 15-22'!E350</f>
        <v>1560729</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1560729</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11377842</v>
      </c>
      <c r="D3645" s="2" t="str">
        <f t="shared" si="55"/>
        <v>Error?</v>
      </c>
    </row>
    <row r="3646" spans="1:4">
      <c r="A3646" s="5">
        <v>3585</v>
      </c>
      <c r="B3646" s="138">
        <f>'Expenditures 15-22'!G349</f>
        <v>0</v>
      </c>
      <c r="D3646" s="2" t="str">
        <f t="shared" si="55"/>
        <v>Error?</v>
      </c>
    </row>
    <row r="3647" spans="1:4">
      <c r="A3647" s="5">
        <v>3586</v>
      </c>
      <c r="B3647" s="138">
        <f>'Expenditures 15-22'!G350</f>
        <v>11377842</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11377842</v>
      </c>
      <c r="C3649" s="2" t="s">
        <v>573</v>
      </c>
      <c r="D3649" s="2" t="str">
        <f t="shared" si="56"/>
        <v>Error?</v>
      </c>
    </row>
    <row r="3650" spans="1:4">
      <c r="A3650" s="5">
        <v>3589</v>
      </c>
      <c r="B3650" s="138">
        <f>'Expenditures 15-22'!G367</f>
        <v>11377842</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50919</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12938571</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12938571</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12938571</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12989490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-12646728</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179924</v>
      </c>
      <c r="C3725" s="2" t="s">
        <v>573</v>
      </c>
      <c r="D3725" s="2" t="str">
        <f t="shared" si="57"/>
        <v>Error?</v>
      </c>
    </row>
    <row r="3726" spans="1:4">
      <c r="A3726" s="5">
        <v>3665</v>
      </c>
      <c r="B3726" s="138">
        <f>'Tax Sched 23'!D13</f>
        <v>170918</v>
      </c>
      <c r="C3726" s="2" t="s">
        <v>573</v>
      </c>
      <c r="D3726" s="2" t="str">
        <f t="shared" si="57"/>
        <v>Error?</v>
      </c>
    </row>
    <row r="3727" spans="1:4">
      <c r="A3727" s="5">
        <v>3666</v>
      </c>
      <c r="B3727" s="138">
        <f>'Tax Sched 23'!C13</f>
        <v>9006</v>
      </c>
      <c r="D3727" s="2" t="str">
        <f t="shared" si="57"/>
        <v>Error?</v>
      </c>
    </row>
    <row r="3728" spans="1:4">
      <c r="A3728" s="5">
        <v>3667</v>
      </c>
      <c r="B3728" s="138">
        <f>'Tax Sched 23'!F13</f>
        <v>175383</v>
      </c>
      <c r="C3728" s="2" t="s">
        <v>573</v>
      </c>
      <c r="D3728" s="2" t="str">
        <f t="shared" si="57"/>
        <v>Error?</v>
      </c>
    </row>
    <row r="3729" spans="1:4">
      <c r="A3729" s="5">
        <v>3668</v>
      </c>
      <c r="B3729" s="138">
        <f>'Tax Sched 23'!E13</f>
        <v>184389</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8868468</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30210763</v>
      </c>
      <c r="C4122" s="2" t="s">
        <v>573</v>
      </c>
      <c r="D4122" s="2" t="str">
        <f t="shared" si="63"/>
        <v>Error?</v>
      </c>
    </row>
    <row r="4123" spans="1:4">
      <c r="A4123" s="5">
        <v>4062</v>
      </c>
      <c r="B4123" s="138">
        <f>'Acct Summary 7-8'!D10</f>
        <v>2132779</v>
      </c>
      <c r="C4123" s="2" t="s">
        <v>573</v>
      </c>
      <c r="D4123" s="2" t="str">
        <f t="shared" si="63"/>
        <v>Error?</v>
      </c>
    </row>
    <row r="4124" spans="1:4">
      <c r="A4124" s="5">
        <v>4063</v>
      </c>
      <c r="B4124" s="138">
        <f>'Acct Summary 7-8'!E10</f>
        <v>2653345</v>
      </c>
      <c r="C4124" s="2" t="s">
        <v>573</v>
      </c>
      <c r="D4124" s="2" t="str">
        <f t="shared" si="63"/>
        <v>Error?</v>
      </c>
    </row>
    <row r="4125" spans="1:4">
      <c r="A4125" s="5">
        <v>4064</v>
      </c>
      <c r="B4125" s="138">
        <f>'Acct Summary 7-8'!F10</f>
        <v>2193229</v>
      </c>
      <c r="C4125" s="2" t="s">
        <v>573</v>
      </c>
      <c r="D4125" s="2" t="str">
        <f t="shared" si="63"/>
        <v>Error?</v>
      </c>
    </row>
    <row r="4126" spans="1:4">
      <c r="A4126" s="5">
        <v>4065</v>
      </c>
      <c r="B4126" s="138">
        <f>'Acct Summary 7-8'!G10</f>
        <v>735072</v>
      </c>
      <c r="C4126" s="2" t="s">
        <v>573</v>
      </c>
      <c r="D4126" s="2" t="str">
        <f t="shared" si="63"/>
        <v>Error?</v>
      </c>
    </row>
    <row r="4127" spans="1:4">
      <c r="A4127" s="5">
        <v>4066</v>
      </c>
      <c r="B4127" s="138">
        <f>'Acct Summary 7-8'!H10</f>
        <v>954735</v>
      </c>
      <c r="C4127" s="2" t="s">
        <v>573</v>
      </c>
      <c r="D4127" s="2" t="str">
        <f t="shared" si="63"/>
        <v>Error?</v>
      </c>
    </row>
    <row r="4128" spans="1:4">
      <c r="A4128" s="5">
        <v>4067</v>
      </c>
      <c r="B4128" s="138">
        <f>'Acct Summary 7-8'!I10</f>
        <v>225684</v>
      </c>
      <c r="C4128" s="2" t="s">
        <v>573</v>
      </c>
      <c r="D4128" s="2" t="str">
        <f t="shared" si="63"/>
        <v>Error?</v>
      </c>
    </row>
    <row r="4129" spans="1:4">
      <c r="A4129" s="10">
        <v>4068</v>
      </c>
      <c r="C4129" s="2" t="s">
        <v>573</v>
      </c>
      <c r="D4129" s="2" t="str">
        <f t="shared" si="63"/>
        <v>OK</v>
      </c>
    </row>
    <row r="4130" spans="1:4">
      <c r="A4130" s="5">
        <v>4069</v>
      </c>
      <c r="B4130" s="138">
        <f>'Acct Summary 7-8'!K10</f>
        <v>342762</v>
      </c>
      <c r="C4130" s="2" t="s">
        <v>573</v>
      </c>
      <c r="D4130" s="2" t="str">
        <f t="shared" si="63"/>
        <v>Error?</v>
      </c>
    </row>
    <row r="4131" spans="1:4">
      <c r="A4131" s="5">
        <v>4070</v>
      </c>
      <c r="B4131" s="138">
        <f>'Acct Summary 7-8'!C18</f>
        <v>8868468</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30576859</v>
      </c>
      <c r="C4136" s="2" t="s">
        <v>573</v>
      </c>
      <c r="D4136" s="2" t="str">
        <f t="shared" si="63"/>
        <v>Error?</v>
      </c>
    </row>
    <row r="4137" spans="1:4">
      <c r="A4137" s="5">
        <v>4076</v>
      </c>
      <c r="B4137" s="138">
        <f>'Acct Summary 7-8'!D19</f>
        <v>2139005</v>
      </c>
      <c r="C4137" s="2" t="s">
        <v>573</v>
      </c>
      <c r="D4137" s="2" t="str">
        <f t="shared" si="63"/>
        <v>Error?</v>
      </c>
    </row>
    <row r="4138" spans="1:4">
      <c r="A4138" s="5">
        <v>4077</v>
      </c>
      <c r="B4138" s="138">
        <f>'Acct Summary 7-8'!E19</f>
        <v>2303657</v>
      </c>
      <c r="C4138" s="2" t="s">
        <v>573</v>
      </c>
      <c r="D4138" s="2" t="str">
        <f t="shared" si="63"/>
        <v>Error?</v>
      </c>
    </row>
    <row r="4139" spans="1:4">
      <c r="A4139" s="5">
        <v>4078</v>
      </c>
      <c r="B4139" s="138">
        <f>'Acct Summary 7-8'!F19</f>
        <v>2263387</v>
      </c>
      <c r="C4139" s="2" t="s">
        <v>573</v>
      </c>
      <c r="D4139" s="2" t="str">
        <f t="shared" si="63"/>
        <v>Error?</v>
      </c>
    </row>
    <row r="4140" spans="1:4">
      <c r="A4140" s="5">
        <v>4079</v>
      </c>
      <c r="B4140" s="138">
        <f>'Acct Summary 7-8'!G19</f>
        <v>694462</v>
      </c>
      <c r="C4140" s="2" t="s">
        <v>573</v>
      </c>
      <c r="D4140" s="2" t="str">
        <f t="shared" si="63"/>
        <v>Error?</v>
      </c>
    </row>
    <row r="4141" spans="1:4">
      <c r="A4141" s="5">
        <v>4080</v>
      </c>
      <c r="B4141" s="138">
        <f>'Acct Summary 7-8'!H19</f>
        <v>8642776</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12989490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42810000</v>
      </c>
      <c r="C4171" s="2" t="s">
        <v>573</v>
      </c>
      <c r="D4171" s="2" t="str">
        <f t="shared" si="64"/>
        <v>Error?</v>
      </c>
    </row>
    <row r="4172" spans="1:4">
      <c r="A4172" s="5">
        <v>4111</v>
      </c>
      <c r="B4172" s="138">
        <f>'Short-Term Long-Term Debt 24'!J49</f>
        <v>42085540</v>
      </c>
      <c r="C4172" s="2" t="s">
        <v>573</v>
      </c>
      <c r="D4172" s="2" t="str">
        <f t="shared" si="64"/>
        <v>Error?</v>
      </c>
    </row>
    <row r="4173" spans="1:4">
      <c r="A4173" s="5">
        <v>4112</v>
      </c>
      <c r="B4173" s="138">
        <f>'Short-Term Long-Term Debt 24'!H49</f>
        <v>980000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1900</v>
      </c>
    </row>
    <row r="4236" spans="1:5">
      <c r="A4236" s="10">
        <v>4175</v>
      </c>
      <c r="D4236" s="2" t="str">
        <f t="shared" si="65"/>
        <v>OK</v>
      </c>
      <c r="E4236" s="4" t="s">
        <v>1900</v>
      </c>
    </row>
    <row r="4237" spans="1:5">
      <c r="A4237" s="10">
        <v>4176</v>
      </c>
      <c r="D4237" s="2" t="str">
        <f t="shared" si="65"/>
        <v>OK</v>
      </c>
      <c r="E4237" s="4" t="s">
        <v>1900</v>
      </c>
    </row>
    <row r="4238" spans="1:5">
      <c r="A4238" s="10">
        <v>4177</v>
      </c>
      <c r="D4238" s="2" t="str">
        <f t="shared" si="65"/>
        <v>OK</v>
      </c>
      <c r="E4238" s="4" t="s">
        <v>1900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2950</v>
      </c>
      <c r="C4265" s="2" t="s">
        <v>573</v>
      </c>
      <c r="D4265" s="2" t="str">
        <f t="shared" si="65"/>
        <v>Error?</v>
      </c>
      <c r="E4265" s="128"/>
    </row>
    <row r="4266" spans="1:5">
      <c r="A4266" s="12">
        <v>4205</v>
      </c>
      <c r="B4266" s="138">
        <f>('FP Info 3'!F10)*100000</f>
        <v>500</v>
      </c>
      <c r="C4266" s="2" t="s">
        <v>573</v>
      </c>
      <c r="D4266" s="2" t="str">
        <f t="shared" si="65"/>
        <v>Error?</v>
      </c>
      <c r="E4266" s="128"/>
    </row>
    <row r="4267" spans="1:5">
      <c r="A4267" s="12">
        <v>4206</v>
      </c>
      <c r="B4267" s="138">
        <f>('FP Info 3'!H10)*100000</f>
        <v>200</v>
      </c>
      <c r="C4267" s="2" t="s">
        <v>573</v>
      </c>
      <c r="D4267" s="2" t="str">
        <f t="shared" si="65"/>
        <v>Error?</v>
      </c>
      <c r="E4267" s="128"/>
    </row>
    <row r="4268" spans="1:5">
      <c r="A4268" s="12">
        <v>4207</v>
      </c>
      <c r="B4268" s="138">
        <f>('FP Info 3'!J10)*100000</f>
        <v>3649.9999999999995</v>
      </c>
      <c r="C4268" s="2" t="s">
        <v>573</v>
      </c>
      <c r="D4268" s="2" t="str">
        <f t="shared" si="65"/>
        <v>Error?</v>
      </c>
    </row>
    <row r="4269" spans="1:5">
      <c r="A4269" s="12">
        <v>4208</v>
      </c>
      <c r="B4269" s="138">
        <f>'FP Info 3'!J16</f>
        <v>3674856</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114109</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46930</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171772</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1900</v>
      </c>
    </row>
    <row r="4400" spans="1:5">
      <c r="A4400" s="10">
        <v>4339</v>
      </c>
      <c r="D4400" s="2" t="str">
        <f t="shared" si="67"/>
        <v>OK</v>
      </c>
      <c r="E4400" s="4" t="s">
        <v>1900</v>
      </c>
    </row>
    <row r="4401" spans="1:5">
      <c r="A4401" s="10">
        <v>4340</v>
      </c>
      <c r="D4401" s="2" t="str">
        <f t="shared" si="67"/>
        <v>OK</v>
      </c>
      <c r="E4401" s="4" t="s">
        <v>1900</v>
      </c>
    </row>
    <row r="4402" spans="1:5">
      <c r="A4402" s="10">
        <v>4341</v>
      </c>
      <c r="D4402" s="2" t="str">
        <f t="shared" si="67"/>
        <v>OK</v>
      </c>
      <c r="E4402" s="4" t="s">
        <v>1900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26227</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93421</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0</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368777593</v>
      </c>
      <c r="D4995" s="2" t="str">
        <f t="shared" si="77"/>
        <v>Error?</v>
      </c>
    </row>
    <row r="4996" spans="1:4">
      <c r="A4996" s="12">
        <v>4935</v>
      </c>
      <c r="B4996" s="138">
        <f>'FP Info 3'!H31</f>
        <v>50891307.834000006</v>
      </c>
      <c r="D4996" s="2" t="str">
        <f t="shared" si="77"/>
        <v>Error?</v>
      </c>
    </row>
    <row r="4997" spans="1:4">
      <c r="A4997" s="12">
        <v>4936</v>
      </c>
      <c r="B4997" s="138">
        <f>'FP Info 3'!H37</f>
        <v>42810000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179924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10615512</v>
      </c>
      <c r="D5061" s="2" t="str">
        <f t="shared" si="78"/>
        <v>Error?</v>
      </c>
    </row>
    <row r="5062" spans="1:4">
      <c r="A5062" s="10">
        <v>5001</v>
      </c>
      <c r="D5062" s="2" t="str">
        <f t="shared" si="78"/>
        <v>OK</v>
      </c>
    </row>
    <row r="5063" spans="1:4">
      <c r="A5063" s="5">
        <v>5002</v>
      </c>
      <c r="B5063" s="138">
        <f>'Revenues 9-14'!C7</f>
        <v>143945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10939381</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1720662</v>
      </c>
      <c r="D5069" s="2" t="str">
        <f t="shared" si="78"/>
        <v>Error?</v>
      </c>
    </row>
    <row r="5070" spans="1:4">
      <c r="A5070" s="5">
        <v>5009</v>
      </c>
      <c r="B5070" s="138">
        <f>'Revenues 9-14'!C17</f>
        <v>0</v>
      </c>
      <c r="D5070" s="2" t="str">
        <f t="shared" si="78"/>
        <v>Error?</v>
      </c>
    </row>
    <row r="5071" spans="1:4">
      <c r="A5071" s="5">
        <v>5010</v>
      </c>
      <c r="B5071" s="138">
        <f>'Revenues 9-14'!C18</f>
        <v>1720662</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573</v>
      </c>
      <c r="D5087" s="2" t="str">
        <f t="shared" si="78"/>
        <v>Error?</v>
      </c>
    </row>
    <row r="5088" spans="1:4">
      <c r="A5088" s="5">
        <v>5027</v>
      </c>
      <c r="B5088" s="138">
        <f>'Revenues 9-14'!C65</f>
        <v>97019</v>
      </c>
      <c r="D5088" s="2" t="str">
        <f t="shared" si="78"/>
        <v>Error?</v>
      </c>
    </row>
    <row r="5089" spans="1:4">
      <c r="A5089" s="5">
        <v>5028</v>
      </c>
      <c r="B5089" s="138">
        <f>'Revenues 9-14'!C66</f>
        <v>0</v>
      </c>
      <c r="D5089" s="2" t="str">
        <f t="shared" si="78"/>
        <v>Error?</v>
      </c>
    </row>
    <row r="5090" spans="1:4">
      <c r="A5090" s="5">
        <v>5029</v>
      </c>
      <c r="B5090" s="138">
        <f>'Revenues 9-14'!C67</f>
        <v>97019</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14991</v>
      </c>
      <c r="D5095" s="2" t="str">
        <f t="shared" si="78"/>
        <v>Error?</v>
      </c>
    </row>
    <row r="5096" spans="1:4">
      <c r="A5096" s="5">
        <v>5035</v>
      </c>
      <c r="B5096" s="138">
        <f>'Revenues 9-14'!C75</f>
        <v>229079</v>
      </c>
      <c r="C5096" s="2" t="s">
        <v>573</v>
      </c>
      <c r="D5096" s="2" t="str">
        <f t="shared" si="78"/>
        <v>Error?</v>
      </c>
    </row>
    <row r="5097" spans="1:4">
      <c r="A5097" s="5">
        <v>5036</v>
      </c>
      <c r="B5097" s="138">
        <f>'Revenues 9-14'!C77</f>
        <v>61498</v>
      </c>
      <c r="D5097" s="2" t="str">
        <f t="shared" si="78"/>
        <v>Error?</v>
      </c>
    </row>
    <row r="5098" spans="1:4">
      <c r="A5098" s="5">
        <v>5037</v>
      </c>
      <c r="B5098" s="138">
        <f>'Revenues 9-14'!C78</f>
        <v>0</v>
      </c>
      <c r="D5098" s="2" t="str">
        <f t="shared" si="78"/>
        <v>Error?</v>
      </c>
    </row>
    <row r="5099" spans="1:4">
      <c r="A5099" s="5">
        <v>5038</v>
      </c>
      <c r="B5099" s="138">
        <f>'Revenues 9-14'!C79</f>
        <v>62720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124218</v>
      </c>
      <c r="C5102" s="2" t="s">
        <v>573</v>
      </c>
      <c r="D5102" s="2" t="str">
        <f t="shared" si="78"/>
        <v>Error?</v>
      </c>
    </row>
    <row r="5103" spans="1:4">
      <c r="A5103" s="5">
        <v>5042</v>
      </c>
      <c r="B5103" s="138">
        <f>'Revenues 9-14'!C84</f>
        <v>139673</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139673</v>
      </c>
      <c r="C5112" s="2" t="s">
        <v>573</v>
      </c>
      <c r="D5112" s="2" t="str">
        <f t="shared" si="78"/>
        <v>Error?</v>
      </c>
    </row>
    <row r="5113" spans="1:4">
      <c r="A5113" s="5">
        <v>5052</v>
      </c>
      <c r="B5113" s="138">
        <f>'Revenues 9-14'!C95</f>
        <v>0</v>
      </c>
      <c r="D5113" s="2" t="str">
        <f t="shared" si="78"/>
        <v>Error?</v>
      </c>
    </row>
    <row r="5114" spans="1:4">
      <c r="A5114" s="5">
        <v>5053</v>
      </c>
      <c r="B5114" s="138">
        <f>'Revenues 9-14'!C96</f>
        <v>39738</v>
      </c>
      <c r="D5114" s="2" t="str">
        <f t="shared" si="78"/>
        <v>Error?</v>
      </c>
    </row>
    <row r="5115" spans="1:4">
      <c r="A5115" s="5">
        <v>5054</v>
      </c>
      <c r="B5115" s="138">
        <f>'Revenues 9-14'!C98</f>
        <v>27546</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108311</v>
      </c>
      <c r="D5119" s="2" t="str">
        <f t="shared" ref="D5119:D5182" si="79">IF(ISBLANK(B5119),"OK",IF(A5119-B5119=0,"OK","Error?"))</f>
        <v>Error?</v>
      </c>
    </row>
    <row r="5120" spans="1:4">
      <c r="A5120" s="5">
        <v>5059</v>
      </c>
      <c r="B5120" s="138">
        <f>'Revenues 9-14'!C108</f>
        <v>189218</v>
      </c>
      <c r="C5120" s="2" t="s">
        <v>573</v>
      </c>
      <c r="D5120" s="2" t="str">
        <f t="shared" si="79"/>
        <v>Error?</v>
      </c>
    </row>
    <row r="5121" spans="1:4">
      <c r="A5121" s="5">
        <v>5060</v>
      </c>
      <c r="B5121" s="138">
        <f>'Revenues 9-14'!C109</f>
        <v>13439250</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5679916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5679916</v>
      </c>
      <c r="C5132" s="2" t="s">
        <v>573</v>
      </c>
      <c r="D5132" s="2" t="str">
        <f t="shared" si="79"/>
        <v>Error?</v>
      </c>
    </row>
    <row r="5133" spans="1:4">
      <c r="A5133" s="5">
        <v>5072</v>
      </c>
      <c r="B5133" s="138">
        <f>'Revenues 9-14'!C125</f>
        <v>208297</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24950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233247</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13293</v>
      </c>
      <c r="D5167" s="2" t="str">
        <f t="shared" si="79"/>
        <v>Error?</v>
      </c>
    </row>
    <row r="5168" spans="1:4">
      <c r="A5168" s="5">
        <v>5107</v>
      </c>
      <c r="B5168" s="138">
        <f>'Revenues 9-14'!C148</f>
        <v>26853</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270117</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1900</v>
      </c>
    </row>
    <row r="5200" spans="1:5">
      <c r="A5200" s="10">
        <v>5139</v>
      </c>
      <c r="D5200" s="2" t="str">
        <f t="shared" si="80"/>
        <v>OK</v>
      </c>
      <c r="E5200" s="4" t="s">
        <v>1900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543510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6223426</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570692</v>
      </c>
      <c r="D5239" s="2" t="str">
        <f t="shared" si="80"/>
        <v>Error?</v>
      </c>
    </row>
    <row r="5240" spans="1:4">
      <c r="A5240" s="5">
        <v>5179</v>
      </c>
      <c r="B5240" s="138">
        <f>'Revenues 9-14'!C192</f>
        <v>0</v>
      </c>
      <c r="D5240" s="2" t="str">
        <f t="shared" si="80"/>
        <v>Error?</v>
      </c>
    </row>
    <row r="5241" spans="1:4">
      <c r="A5241" s="5">
        <v>5180</v>
      </c>
      <c r="B5241" s="138">
        <f>'Revenues 9-14'!C193</f>
        <v>155866</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726558</v>
      </c>
      <c r="C5246" s="2" t="s">
        <v>573</v>
      </c>
      <c r="D5246" s="2" t="str">
        <f t="shared" si="80"/>
        <v>Error?</v>
      </c>
    </row>
    <row r="5247" spans="1:4">
      <c r="A5247" s="5">
        <v>5186</v>
      </c>
      <c r="B5247" s="138">
        <f>'Revenues 9-14'!C200</f>
        <v>455196</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1900</v>
      </c>
    </row>
    <row r="5255" spans="1:5">
      <c r="A5255" s="5">
        <v>5194</v>
      </c>
      <c r="B5255" s="138">
        <f>'Revenues 9-14'!C202</f>
        <v>0</v>
      </c>
      <c r="D5255" s="2" t="str">
        <f t="shared" si="81"/>
        <v>Error?</v>
      </c>
    </row>
    <row r="5256" spans="1:5">
      <c r="A5256" s="5">
        <v>5195</v>
      </c>
      <c r="B5256" s="138">
        <f>'Revenues 9-14'!C206</f>
        <v>26227</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569305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0</v>
      </c>
      <c r="D5278" s="2" t="str">
        <f t="shared" si="81"/>
        <v>Error?</v>
      </c>
    </row>
    <row r="5279" spans="1:4">
      <c r="A5279" s="5">
        <v>5218</v>
      </c>
      <c r="B5279" s="138">
        <f>'Revenues 9-14'!C214</f>
        <v>45406</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45406</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1900</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1679619</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1679619</v>
      </c>
      <c r="C5326" s="2" t="s">
        <v>573</v>
      </c>
      <c r="D5326" s="2" t="str">
        <f t="shared" si="82"/>
        <v>Error?</v>
      </c>
    </row>
    <row r="5327" spans="1:5">
      <c r="A5327" s="5">
        <v>5266</v>
      </c>
      <c r="B5327" s="138">
        <f>'Revenues 9-14'!C268</f>
        <v>21342295</v>
      </c>
      <c r="C5327" s="2" t="s">
        <v>573</v>
      </c>
      <c r="D5327" s="2" t="str">
        <f t="shared" si="82"/>
        <v>Error?</v>
      </c>
    </row>
    <row r="5328" spans="1:5">
      <c r="A5328" s="5">
        <v>5267</v>
      </c>
      <c r="B5328" s="138">
        <f>'Revenues 9-14'!D5</f>
        <v>1797856</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1797856</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120000</v>
      </c>
      <c r="D5337" s="2" t="str">
        <f t="shared" si="82"/>
        <v>Error?</v>
      </c>
    </row>
    <row r="5338" spans="1:4">
      <c r="A5338" s="5">
        <v>5277</v>
      </c>
      <c r="B5338" s="138">
        <f>'Revenues 9-14'!D17</f>
        <v>0</v>
      </c>
      <c r="D5338" s="2" t="str">
        <f t="shared" si="82"/>
        <v>Error?</v>
      </c>
    </row>
    <row r="5339" spans="1:4">
      <c r="A5339" s="5">
        <v>5278</v>
      </c>
      <c r="B5339" s="138">
        <f>'Revenues 9-14'!D18</f>
        <v>120000</v>
      </c>
      <c r="C5339" s="2" t="s">
        <v>573</v>
      </c>
      <c r="D5339" s="2" t="str">
        <f t="shared" si="82"/>
        <v>Error?</v>
      </c>
    </row>
    <row r="5340" spans="1:4">
      <c r="A5340" s="5">
        <v>5279</v>
      </c>
      <c r="B5340" s="138">
        <f>'Revenues 9-14'!D65</f>
        <v>9845</v>
      </c>
      <c r="D5340" s="2" t="str">
        <f t="shared" si="82"/>
        <v>Error?</v>
      </c>
    </row>
    <row r="5341" spans="1:4">
      <c r="A5341" s="5">
        <v>5280</v>
      </c>
      <c r="B5341" s="138">
        <f>'Revenues 9-14'!D66</f>
        <v>0</v>
      </c>
      <c r="D5341" s="2" t="str">
        <f t="shared" si="82"/>
        <v>Error?</v>
      </c>
    </row>
    <row r="5342" spans="1:4">
      <c r="A5342" s="5">
        <v>5281</v>
      </c>
      <c r="B5342" s="138">
        <f>'Revenues 9-14'!D67</f>
        <v>9845</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104439</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100639</v>
      </c>
      <c r="D5354" s="2" t="str">
        <f t="shared" si="82"/>
        <v>Error?</v>
      </c>
    </row>
    <row r="5355" spans="1:4">
      <c r="A5355" s="5">
        <v>5294</v>
      </c>
      <c r="B5355" s="138">
        <f>'Revenues 9-14'!D108</f>
        <v>205078</v>
      </c>
      <c r="C5355" s="2" t="s">
        <v>573</v>
      </c>
      <c r="D5355" s="2" t="str">
        <f t="shared" si="82"/>
        <v>Error?</v>
      </c>
    </row>
    <row r="5356" spans="1:4">
      <c r="A5356" s="5">
        <v>5295</v>
      </c>
      <c r="B5356" s="138">
        <f>'Revenues 9-14'!D109</f>
        <v>2132779</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1900</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2132779</v>
      </c>
      <c r="C5508" s="2" t="s">
        <v>573</v>
      </c>
      <c r="D5508" s="2" t="str">
        <f t="shared" si="85"/>
        <v>Error?</v>
      </c>
    </row>
    <row r="5509" spans="1:4">
      <c r="A5509" s="5">
        <v>5448</v>
      </c>
      <c r="B5509" s="138">
        <f>'Revenues 9-14'!E5</f>
        <v>2026976</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2026976</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24457</v>
      </c>
      <c r="D5519" s="2" t="str">
        <f t="shared" si="85"/>
        <v>Error?</v>
      </c>
    </row>
    <row r="5520" spans="1:4">
      <c r="A5520" s="5">
        <v>5459</v>
      </c>
      <c r="B5520" s="138">
        <f>'Revenues 9-14'!E66</f>
        <v>0</v>
      </c>
      <c r="D5520" s="2" t="str">
        <f t="shared" si="85"/>
        <v>Error?</v>
      </c>
    </row>
    <row r="5521" spans="1:4">
      <c r="A5521" s="5">
        <v>5460</v>
      </c>
      <c r="B5521" s="138">
        <f>'Revenues 9-14'!E67</f>
        <v>24457</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601912</v>
      </c>
      <c r="C5526" s="2" t="s">
        <v>573</v>
      </c>
      <c r="D5526" s="2" t="str">
        <f t="shared" si="85"/>
        <v>Error?</v>
      </c>
    </row>
    <row r="5527" spans="1:4">
      <c r="A5527" s="5">
        <v>5466</v>
      </c>
      <c r="B5527" s="138">
        <f>'Revenues 9-14'!E109</f>
        <v>2653345</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2653345</v>
      </c>
      <c r="C5552" s="2" t="s">
        <v>573</v>
      </c>
      <c r="D5552" s="2" t="str">
        <f t="shared" si="85"/>
        <v>Error?</v>
      </c>
    </row>
    <row r="5553" spans="1:4">
      <c r="A5553" s="5">
        <v>5492</v>
      </c>
      <c r="B5553" s="138">
        <f>'Revenues 9-14'!F5</f>
        <v>719141</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719141</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6818</v>
      </c>
      <c r="D5580" s="2" t="str">
        <f t="shared" si="86"/>
        <v>Error?</v>
      </c>
    </row>
    <row r="5581" spans="1:4">
      <c r="A5581" s="5">
        <v>5520</v>
      </c>
      <c r="B5581" s="138">
        <f>'Revenues 9-14'!F66</f>
        <v>0</v>
      </c>
      <c r="D5581" s="2" t="str">
        <f t="shared" si="86"/>
        <v>Error?</v>
      </c>
    </row>
    <row r="5582" spans="1:4">
      <c r="A5582" s="5">
        <v>5521</v>
      </c>
      <c r="B5582" s="138">
        <f>'Revenues 9-14'!F67</f>
        <v>6818</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725959</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416036</v>
      </c>
      <c r="D5615" s="2" t="str">
        <f t="shared" si="86"/>
        <v>Error?</v>
      </c>
    </row>
    <row r="5616" spans="1:4">
      <c r="A5616" s="10">
        <v>5555</v>
      </c>
      <c r="D5616" s="2" t="str">
        <f t="shared" si="86"/>
        <v>OK</v>
      </c>
    </row>
    <row r="5617" spans="1:5">
      <c r="A5617" s="5">
        <v>5556</v>
      </c>
      <c r="B5617" s="138">
        <f>'Revenues 9-14'!F153</f>
        <v>1051234</v>
      </c>
      <c r="D5617" s="2" t="str">
        <f t="shared" si="86"/>
        <v>Error?</v>
      </c>
    </row>
    <row r="5618" spans="1:5">
      <c r="A5618" s="5">
        <v>5557</v>
      </c>
      <c r="B5618" s="138">
        <f>'Revenues 9-14'!F155</f>
        <v>1467270</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1900</v>
      </c>
    </row>
    <row r="5631" spans="1:5">
      <c r="A5631" s="10">
        <v>5570</v>
      </c>
      <c r="D5631" s="2" t="str">
        <f t="shared" ref="D5631:D5694" si="87">IF(ISBLANK(B5631),"OK",IF(A5631-B5631=0,"OK","Error?"))</f>
        <v>OK</v>
      </c>
      <c r="E5631" s="4" t="s">
        <v>1900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1467270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1467270</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1900</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1900</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2193229</v>
      </c>
      <c r="C5720" s="2" t="s">
        <v>573</v>
      </c>
      <c r="D5720" s="2" t="str">
        <f t="shared" si="88"/>
        <v>Error?</v>
      </c>
    </row>
    <row r="5721" spans="1:4">
      <c r="A5721" s="5">
        <v>5660</v>
      </c>
      <c r="B5721" s="138">
        <f>'Revenues 9-14'!G5</f>
        <v>297171</v>
      </c>
      <c r="D5721" s="2" t="str">
        <f t="shared" si="88"/>
        <v>Error?</v>
      </c>
    </row>
    <row r="5722" spans="1:4">
      <c r="A5722" s="5">
        <v>5661</v>
      </c>
      <c r="B5722" s="138">
        <f>'Revenues 9-14'!G7</f>
        <v>0</v>
      </c>
      <c r="D5722" s="2" t="str">
        <f t="shared" si="88"/>
        <v>Error?</v>
      </c>
    </row>
    <row r="5723" spans="1:4">
      <c r="A5723" s="5">
        <v>5662</v>
      </c>
      <c r="B5723" s="138">
        <f>'Revenues 9-14'!G8</f>
        <v>324195</v>
      </c>
      <c r="D5723" s="2" t="str">
        <f t="shared" si="88"/>
        <v>Error?</v>
      </c>
    </row>
    <row r="5724" spans="1:4">
      <c r="A5724" s="5">
        <v>5663</v>
      </c>
      <c r="B5724" s="138">
        <f>'Revenues 9-14'!G11</f>
        <v>0</v>
      </c>
      <c r="D5724" s="2" t="str">
        <f t="shared" si="88"/>
        <v>Error?</v>
      </c>
    </row>
    <row r="5725" spans="1:4">
      <c r="A5725" s="5">
        <v>5664</v>
      </c>
      <c r="B5725" s="138">
        <f>'Revenues 9-14'!G12</f>
        <v>621366</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100362</v>
      </c>
      <c r="D5728" s="2" t="str">
        <f t="shared" si="88"/>
        <v>Error?</v>
      </c>
    </row>
    <row r="5729" spans="1:4">
      <c r="A5729" s="5">
        <v>5668</v>
      </c>
      <c r="B5729" s="138">
        <f>'Revenues 9-14'!G17</f>
        <v>0</v>
      </c>
      <c r="D5729" s="2" t="str">
        <f t="shared" si="88"/>
        <v>Error?</v>
      </c>
    </row>
    <row r="5730" spans="1:4">
      <c r="A5730" s="5">
        <v>5669</v>
      </c>
      <c r="B5730" s="138">
        <f>'Revenues 9-14'!G18</f>
        <v>100362</v>
      </c>
      <c r="C5730" s="2" t="s">
        <v>573</v>
      </c>
      <c r="D5730" s="2" t="str">
        <f t="shared" si="88"/>
        <v>Error?</v>
      </c>
    </row>
    <row r="5731" spans="1:4">
      <c r="A5731" s="5">
        <v>5670</v>
      </c>
      <c r="B5731" s="138">
        <f>'Revenues 9-14'!G65</f>
        <v>13344</v>
      </c>
      <c r="D5731" s="2" t="str">
        <f t="shared" si="88"/>
        <v>Error?</v>
      </c>
    </row>
    <row r="5732" spans="1:4">
      <c r="A5732" s="5">
        <v>5671</v>
      </c>
      <c r="B5732" s="138">
        <f>'Revenues 9-14'!G66</f>
        <v>0</v>
      </c>
      <c r="D5732" s="2" t="str">
        <f t="shared" si="88"/>
        <v>Error?</v>
      </c>
    </row>
    <row r="5733" spans="1:4">
      <c r="A5733" s="5">
        <v>5672</v>
      </c>
      <c r="B5733" s="138">
        <f>'Revenues 9-14'!G67</f>
        <v>13344</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1900</v>
      </c>
    </row>
    <row r="5768" spans="1:5">
      <c r="A5768" s="10">
        <v>5707</v>
      </c>
      <c r="D5768" s="2" t="str">
        <f t="shared" si="89"/>
        <v>OK</v>
      </c>
      <c r="E5768" s="4" t="s">
        <v>1900</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1900</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1900</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735072</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101917</v>
      </c>
      <c r="D5879" s="2" t="str">
        <f t="shared" si="90"/>
        <v>Error?</v>
      </c>
    </row>
    <row r="5880" spans="1:4">
      <c r="A5880" s="5">
        <v>5819</v>
      </c>
      <c r="B5880" s="138">
        <f>'Revenues 9-14'!H66</f>
        <v>0</v>
      </c>
      <c r="D5880" s="2" t="str">
        <f t="shared" si="90"/>
        <v>Error?</v>
      </c>
    </row>
    <row r="5881" spans="1:4">
      <c r="A5881" s="5">
        <v>5820</v>
      </c>
      <c r="B5881" s="138">
        <f>'Revenues 9-14'!H67</f>
        <v>101917</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83558</v>
      </c>
      <c r="D5885" s="2" t="str">
        <f t="shared" si="90"/>
        <v>Error?</v>
      </c>
    </row>
    <row r="5886" spans="1:4">
      <c r="A5886" s="5">
        <v>5825</v>
      </c>
      <c r="B5886" s="138">
        <f>'Revenues 9-14'!H108</f>
        <v>852818</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954735</v>
      </c>
      <c r="C5915" s="2" t="s">
        <v>573</v>
      </c>
      <c r="D5915" s="2" t="str">
        <f t="shared" si="91"/>
        <v>Error?</v>
      </c>
    </row>
    <row r="5916" spans="1:4">
      <c r="A5916" s="5">
        <v>5855</v>
      </c>
      <c r="B5916" s="138">
        <f>'Revenues 9-14'!I5</f>
        <v>179788</v>
      </c>
      <c r="D5916" s="2" t="str">
        <f t="shared" si="91"/>
        <v>Error?</v>
      </c>
    </row>
    <row r="5917" spans="1:4">
      <c r="A5917" s="5">
        <v>5856</v>
      </c>
      <c r="B5917" s="138">
        <f>'Revenues 9-14'!I11</f>
        <v>0</v>
      </c>
      <c r="D5917" s="2" t="str">
        <f t="shared" si="91"/>
        <v>Error?</v>
      </c>
    </row>
    <row r="5918" spans="1:4">
      <c r="A5918" s="5">
        <v>5857</v>
      </c>
      <c r="B5918" s="138">
        <f>'Revenues 9-14'!I12</f>
        <v>179788</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45896</v>
      </c>
      <c r="D5924" s="2" t="str">
        <f t="shared" si="91"/>
        <v>Error?</v>
      </c>
    </row>
    <row r="5925" spans="1:4">
      <c r="A5925" s="5">
        <v>5864</v>
      </c>
      <c r="B5925" s="138">
        <f>'Revenues 9-14'!I66</f>
        <v>0</v>
      </c>
      <c r="D5925" s="2" t="str">
        <f t="shared" si="91"/>
        <v>Error?</v>
      </c>
    </row>
    <row r="5926" spans="1:4">
      <c r="A5926" s="5">
        <v>5865</v>
      </c>
      <c r="B5926" s="138">
        <f>'Revenues 9-14'!I67</f>
        <v>45896</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225684</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179788</v>
      </c>
      <c r="D5985" s="2" t="str">
        <f t="shared" si="92"/>
        <v>Error?</v>
      </c>
    </row>
    <row r="5986" spans="1:4">
      <c r="A5986" s="5">
        <v>5925</v>
      </c>
      <c r="B5986" s="138">
        <f>'Revenues 9-14'!K11</f>
        <v>0</v>
      </c>
      <c r="D5986" s="2" t="str">
        <f t="shared" si="92"/>
        <v>Error?</v>
      </c>
    </row>
    <row r="5987" spans="1:4">
      <c r="A5987" s="5">
        <v>5926</v>
      </c>
      <c r="B5987" s="138">
        <f>'Revenues 9-14'!K12</f>
        <v>179788</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162974</v>
      </c>
      <c r="D5993" s="2" t="str">
        <f t="shared" si="92"/>
        <v>Error?</v>
      </c>
    </row>
    <row r="5994" spans="1:4">
      <c r="A5994" s="5">
        <v>5933</v>
      </c>
      <c r="B5994" s="138">
        <f>'Revenues 9-14'!K66</f>
        <v>0</v>
      </c>
      <c r="D5994" s="2" t="str">
        <f t="shared" si="92"/>
        <v>Error?</v>
      </c>
    </row>
    <row r="5995" spans="1:4">
      <c r="A5995" s="5">
        <v>5934</v>
      </c>
      <c r="B5995" s="138">
        <f>'Revenues 9-14'!K67</f>
        <v>162974</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342762</v>
      </c>
      <c r="C6023" s="2" t="s">
        <v>573</v>
      </c>
      <c r="D6023" s="2" t="str">
        <f t="shared" si="93"/>
        <v>Error?</v>
      </c>
    </row>
    <row r="6024" spans="1:5">
      <c r="A6024" s="5">
        <v>5963</v>
      </c>
      <c r="B6024" s="138">
        <f>'Revenues 9-14'!G109</f>
        <v>735072</v>
      </c>
      <c r="C6024" s="2" t="s">
        <v>573</v>
      </c>
      <c r="D6024" s="2" t="str">
        <f t="shared" si="93"/>
        <v>Error?</v>
      </c>
    </row>
    <row r="6025" spans="1:5">
      <c r="A6025" s="5">
        <v>5964</v>
      </c>
      <c r="B6025" s="138">
        <f>'Revenues 9-14'!H109</f>
        <v>954735</v>
      </c>
      <c r="C6025" s="2" t="s">
        <v>573</v>
      </c>
      <c r="D6025" s="2" t="str">
        <f t="shared" si="93"/>
        <v>Error?</v>
      </c>
    </row>
    <row r="6026" spans="1:5">
      <c r="A6026" s="5">
        <v>5965</v>
      </c>
      <c r="B6026" s="138">
        <f>'Revenues 9-14'!I109</f>
        <v>225684</v>
      </c>
      <c r="C6026" s="2" t="s">
        <v>573</v>
      </c>
      <c r="D6026" s="2" t="str">
        <f t="shared" si="93"/>
        <v>Error?</v>
      </c>
    </row>
    <row r="6027" spans="1:5">
      <c r="A6027" s="10">
        <v>5966</v>
      </c>
      <c r="C6027" s="2" t="s">
        <v>573</v>
      </c>
      <c r="D6027" s="2" t="str">
        <f t="shared" si="93"/>
        <v>OK</v>
      </c>
    </row>
    <row r="6028" spans="1:5">
      <c r="A6028" s="5">
        <v>5967</v>
      </c>
      <c r="B6028" s="138">
        <f>'Revenues 9-14'!K109</f>
        <v>342762</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214088</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73597</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2467</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669614</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428436</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363658</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449643</v>
      </c>
      <c r="D6099" s="2" t="str">
        <f t="shared" si="94"/>
        <v>Error?</v>
      </c>
      <c r="E6099" s="2" t="s">
        <v>190</v>
      </c>
    </row>
    <row r="6100" spans="1:5">
      <c r="A6100">
        <v>6039</v>
      </c>
      <c r="B6100" s="138">
        <f>'Assets-Liab 5-6'!D9</f>
        <v>120000</v>
      </c>
      <c r="D6100" s="2" t="str">
        <f t="shared" si="94"/>
        <v>Error?</v>
      </c>
      <c r="E6100" s="2" t="s">
        <v>190</v>
      </c>
    </row>
    <row r="6101" spans="1:5">
      <c r="A6101">
        <v>6040</v>
      </c>
      <c r="B6101" s="138">
        <f>'Assets-Liab 5-6'!E9</f>
        <v>180709</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400</v>
      </c>
      <c r="D6103" s="2" t="str">
        <f t="shared" si="94"/>
        <v>Error?</v>
      </c>
      <c r="E6103" s="2" t="s">
        <v>190</v>
      </c>
    </row>
    <row r="6104" spans="1:5">
      <c r="A6104">
        <v>6043</v>
      </c>
      <c r="B6104" s="138">
        <f>'Assets-Liab 5-6'!H9</f>
        <v>271471</v>
      </c>
      <c r="D6104" s="2" t="str">
        <f t="shared" si="94"/>
        <v>Error?</v>
      </c>
      <c r="E6104" s="2" t="s">
        <v>190</v>
      </c>
    </row>
    <row r="6105" spans="1:5">
      <c r="A6105">
        <v>6044</v>
      </c>
      <c r="B6105" s="138">
        <f>'Assets-Liab 5-6'!I9</f>
        <v>1805</v>
      </c>
      <c r="D6105" s="2" t="str">
        <f t="shared" si="94"/>
        <v>Error?</v>
      </c>
      <c r="E6105" s="2" t="s">
        <v>190</v>
      </c>
    </row>
    <row r="6106" spans="1:5">
      <c r="A6106">
        <v>6045</v>
      </c>
      <c r="B6106" s="138">
        <f>'Assets-Liab 5-6'!J9</f>
        <v>190</v>
      </c>
      <c r="D6106" s="2" t="str">
        <f t="shared" si="94"/>
        <v>Error?</v>
      </c>
      <c r="E6106" s="2" t="s">
        <v>190</v>
      </c>
    </row>
    <row r="6107" spans="1:5">
      <c r="A6107">
        <v>6046</v>
      </c>
      <c r="B6107" s="138">
        <f>'Assets-Liab 5-6'!K9</f>
        <v>3195</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1545070</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669614</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228326</v>
      </c>
      <c r="D6142" s="2" t="str">
        <f t="shared" si="94"/>
        <v>Error?</v>
      </c>
      <c r="E6142" s="2" t="s">
        <v>190</v>
      </c>
    </row>
    <row r="6143" spans="1:5">
      <c r="A6143">
        <v>6082</v>
      </c>
      <c r="B6143" s="138">
        <f>'Assets-Liab 5-6'!D27</f>
        <v>31489</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56092</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1689273</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43500</v>
      </c>
      <c r="D6149" s="2" t="str">
        <f t="shared" si="95"/>
        <v>Error?</v>
      </c>
      <c r="E6149" s="2" t="s">
        <v>190</v>
      </c>
    </row>
    <row r="6150" spans="1:5">
      <c r="A6150">
        <v>6089</v>
      </c>
      <c r="B6150" s="138">
        <f>'Assets-Liab 5-6'!K27</f>
        <v>2409667</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2692690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61140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43023</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1235405</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1321928</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223142</v>
      </c>
      <c r="D6215" s="2" t="str">
        <f t="shared" si="96"/>
        <v>Error?</v>
      </c>
      <c r="E6215" s="2" t="s">
        <v>190</v>
      </c>
    </row>
    <row r="6216" spans="1:5">
      <c r="A6216">
        <v>6155</v>
      </c>
      <c r="B6216" s="138">
        <f>'Assets-Liab 5-6'!J41</f>
        <v>1545070</v>
      </c>
      <c r="D6216" s="2" t="str">
        <f t="shared" si="96"/>
        <v>Error?</v>
      </c>
      <c r="E6216" s="2" t="s">
        <v>190</v>
      </c>
    </row>
    <row r="6217" spans="1:5">
      <c r="A6217">
        <v>6156</v>
      </c>
      <c r="B6217" s="138">
        <f>'Assets-Liab 5-6'!J4</f>
        <v>371200</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1173680</v>
      </c>
      <c r="D6219" s="2" t="str">
        <f t="shared" si="96"/>
        <v>Error?</v>
      </c>
      <c r="E6219" s="2" t="s">
        <v>190</v>
      </c>
    </row>
    <row r="6220" spans="1:5">
      <c r="A6220">
        <v>6159</v>
      </c>
      <c r="B6220" s="138">
        <f>'Acct Summary 7-8'!J4</f>
        <v>1194587</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1194587</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1194587</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1142858</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1142858</v>
      </c>
      <c r="D6229" s="2" t="str">
        <f t="shared" si="96"/>
        <v>Error?</v>
      </c>
      <c r="E6229" s="2" t="s">
        <v>190</v>
      </c>
    </row>
    <row r="6230" spans="1:5">
      <c r="A6230">
        <v>6169</v>
      </c>
      <c r="B6230" s="138">
        <f>'Acct Summary 7-8'!J20</f>
        <v>51729</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51729</v>
      </c>
      <c r="D6263" s="2" t="str">
        <f t="shared" si="96"/>
        <v>Error?</v>
      </c>
      <c r="E6263" s="2" t="s">
        <v>190</v>
      </c>
    </row>
    <row r="6264" spans="1:5">
      <c r="A6264">
        <v>6203</v>
      </c>
      <c r="B6264" s="138">
        <f>'Acct Summary 7-8'!J79</f>
        <v>171413</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223142</v>
      </c>
      <c r="D6266" s="2" t="str">
        <f t="shared" si="96"/>
        <v>Error?</v>
      </c>
      <c r="E6266" s="2" t="s">
        <v>190</v>
      </c>
    </row>
    <row r="6267" spans="1:5">
      <c r="A6267">
        <v>6206</v>
      </c>
      <c r="B6267" s="138">
        <f>'Acct Summary 7-8'!C82</f>
        <v>-318565</v>
      </c>
      <c r="D6267" s="2" t="str">
        <f t="shared" si="96"/>
        <v>Error?</v>
      </c>
      <c r="E6267" s="2" t="s">
        <v>190</v>
      </c>
    </row>
    <row r="6268" spans="1:5">
      <c r="A6268">
        <v>6207</v>
      </c>
      <c r="B6268" s="138">
        <f>'Acct Summary 7-8'!D82</f>
        <v>-6226</v>
      </c>
      <c r="D6268" s="2" t="str">
        <f t="shared" si="96"/>
        <v>Error?</v>
      </c>
      <c r="E6268" s="2" t="s">
        <v>190</v>
      </c>
    </row>
    <row r="6269" spans="1:5">
      <c r="A6269">
        <v>6208</v>
      </c>
      <c r="B6269" s="138">
        <f>'Acct Summary 7-8'!E82</f>
        <v>418191</v>
      </c>
      <c r="D6269" s="2" t="str">
        <f t="shared" si="96"/>
        <v>Error?</v>
      </c>
      <c r="E6269" s="2" t="s">
        <v>190</v>
      </c>
    </row>
    <row r="6270" spans="1:5">
      <c r="A6270">
        <v>6209</v>
      </c>
      <c r="B6270" s="138">
        <f>'Acct Summary 7-8'!F82</f>
        <v>-70158</v>
      </c>
      <c r="D6270" s="2" t="str">
        <f t="shared" si="96"/>
        <v>Error?</v>
      </c>
      <c r="E6270" s="2" t="s">
        <v>190</v>
      </c>
    </row>
    <row r="6271" spans="1:5">
      <c r="A6271">
        <v>6210</v>
      </c>
      <c r="B6271" s="138">
        <f>'Acct Summary 7-8'!G82</f>
        <v>40610</v>
      </c>
      <c r="D6271" s="2" t="str">
        <f t="shared" ref="D6271:D6334" si="97">IF(ISBLANK(B6271),"OK",IF(A6271-B6271=0,"OK","Error?"))</f>
        <v>Error?</v>
      </c>
      <c r="E6271" s="2" t="s">
        <v>190</v>
      </c>
    </row>
    <row r="6272" spans="1:5">
      <c r="A6272">
        <v>6211</v>
      </c>
      <c r="B6272" s="138">
        <f>'Acct Summary 7-8'!H82</f>
        <v>-3336382</v>
      </c>
      <c r="D6272" s="2" t="str">
        <f t="shared" si="97"/>
        <v>Error?</v>
      </c>
      <c r="E6272" s="2" t="s">
        <v>190</v>
      </c>
    </row>
    <row r="6273" spans="1:5">
      <c r="A6273">
        <v>6212</v>
      </c>
      <c r="B6273" s="138">
        <f>'Acct Summary 7-8'!I82</f>
        <v>178153</v>
      </c>
      <c r="D6273" s="2" t="str">
        <f t="shared" si="97"/>
        <v>Error?</v>
      </c>
      <c r="E6273" s="2" t="s">
        <v>190</v>
      </c>
    </row>
    <row r="6274" spans="1:5">
      <c r="A6274">
        <v>6213</v>
      </c>
      <c r="B6274" s="138">
        <f>'Acct Summary 7-8'!J82</f>
        <v>51729</v>
      </c>
      <c r="D6274" s="2" t="str">
        <f t="shared" si="97"/>
        <v>Error?</v>
      </c>
      <c r="E6274" s="2" t="s">
        <v>190</v>
      </c>
    </row>
    <row r="6275" spans="1:5">
      <c r="A6275">
        <v>6214</v>
      </c>
      <c r="B6275" s="138">
        <f>'Acct Summary 7-8'!K82</f>
        <v>-10108317</v>
      </c>
      <c r="D6275" s="2" t="str">
        <f t="shared" si="97"/>
        <v>Error?</v>
      </c>
      <c r="E6275" s="2" t="s">
        <v>190</v>
      </c>
    </row>
    <row r="6276" spans="1:5">
      <c r="A6276">
        <v>6215</v>
      </c>
      <c r="B6276" s="138">
        <f>'Acct Summary 7-8'!C83</f>
        <v>-0.55735763161716201</v>
      </c>
      <c r="D6276" s="2" t="str">
        <f t="shared" si="97"/>
        <v>Error?</v>
      </c>
      <c r="E6276" s="2" t="s">
        <v>190</v>
      </c>
    </row>
    <row r="6277" spans="1:5">
      <c r="A6277">
        <v>6216</v>
      </c>
      <c r="B6277" s="138">
        <f>'Acct Summary 7-8'!D83</f>
        <v>4.0141843971631204</v>
      </c>
      <c r="D6277" s="2" t="str">
        <f t="shared" si="97"/>
        <v>Error?</v>
      </c>
      <c r="E6277" s="2" t="s">
        <v>190</v>
      </c>
    </row>
    <row r="6278" spans="1:5">
      <c r="A6278">
        <v>6217</v>
      </c>
      <c r="B6278" s="138">
        <f>'Acct Summary 7-8'!E83</f>
        <v>0.27761469278504913</v>
      </c>
      <c r="D6278" s="2" t="str">
        <f t="shared" si="97"/>
        <v>Error?</v>
      </c>
      <c r="E6278" s="2" t="s">
        <v>190</v>
      </c>
    </row>
    <row r="6279" spans="1:5">
      <c r="A6279">
        <v>6218</v>
      </c>
      <c r="B6279" s="138">
        <f>'Acct Summary 7-8'!F83</f>
        <v>0.39177560490738622</v>
      </c>
      <c r="D6279" s="2" t="str">
        <f t="shared" si="97"/>
        <v>Error?</v>
      </c>
      <c r="E6279" s="2" t="s">
        <v>190</v>
      </c>
    </row>
    <row r="6280" spans="1:5">
      <c r="A6280">
        <v>6219</v>
      </c>
      <c r="B6280" s="138">
        <f>'Acct Summary 7-8'!G83</f>
        <v>7.8499065395269185E-2</v>
      </c>
      <c r="D6280" s="2" t="str">
        <f t="shared" si="97"/>
        <v>Error?</v>
      </c>
      <c r="E6280" s="2" t="s">
        <v>190</v>
      </c>
    </row>
    <row r="6281" spans="1:5">
      <c r="A6281">
        <v>6220</v>
      </c>
      <c r="B6281" s="138">
        <f>'Acct Summary 7-8'!H83</f>
        <v>-0.61333753453305284</v>
      </c>
      <c r="D6281" s="2" t="str">
        <f t="shared" si="97"/>
        <v>Error?</v>
      </c>
      <c r="E6281" s="2" t="s">
        <v>190</v>
      </c>
    </row>
    <row r="6282" spans="1:5">
      <c r="A6282">
        <v>6221</v>
      </c>
      <c r="B6282" s="138">
        <f>'Acct Summary 7-8'!I83</f>
        <v>5.4250087014882514E-2</v>
      </c>
      <c r="D6282" s="2" t="str">
        <f t="shared" si="97"/>
        <v>Error?</v>
      </c>
      <c r="E6282" s="2" t="s">
        <v>190</v>
      </c>
    </row>
    <row r="6283" spans="1:5">
      <c r="A6283">
        <v>6222</v>
      </c>
      <c r="B6283" s="138">
        <f>'Acct Summary 7-8'!J83</f>
        <v>0.23182099291034408</v>
      </c>
      <c r="D6283" s="2" t="str">
        <f t="shared" si="97"/>
        <v>Error?</v>
      </c>
      <c r="E6283" s="2" t="s">
        <v>190</v>
      </c>
    </row>
    <row r="6284" spans="1:5">
      <c r="A6284">
        <v>6223</v>
      </c>
      <c r="B6284" s="138">
        <f>'Acct Summary 7-8'!K83</f>
        <v>-4.3422918574700713</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1187576</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1187576</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7011</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7011</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13623</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1194587</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1899</v>
      </c>
    </row>
    <row r="6383" spans="1:6">
      <c r="A6383" s="129">
        <v>6322</v>
      </c>
      <c r="D6383" s="2" t="str">
        <f t="shared" si="98"/>
        <v>OK</v>
      </c>
      <c r="E6383" s="2" t="s">
        <v>190</v>
      </c>
      <c r="F6383" s="1" t="s">
        <v>1899</v>
      </c>
    </row>
    <row r="6384" spans="1:6">
      <c r="A6384" s="129">
        <v>6323</v>
      </c>
      <c r="D6384" s="2" t="str">
        <f t="shared" si="98"/>
        <v>OK</v>
      </c>
      <c r="E6384" s="2" t="s">
        <v>190</v>
      </c>
      <c r="F6384" s="1" t="s">
        <v>1899</v>
      </c>
    </row>
    <row r="6385" spans="1:6">
      <c r="A6385" s="129">
        <v>6324</v>
      </c>
      <c r="D6385" s="2" t="str">
        <f t="shared" si="98"/>
        <v>OK</v>
      </c>
      <c r="E6385" s="2" t="s">
        <v>190</v>
      </c>
      <c r="F6385" s="1" t="s">
        <v>1899</v>
      </c>
    </row>
    <row r="6386" spans="1:6">
      <c r="A6386" s="129">
        <v>6325</v>
      </c>
      <c r="D6386" s="2" t="str">
        <f t="shared" si="98"/>
        <v>OK</v>
      </c>
      <c r="E6386" s="2" t="s">
        <v>190</v>
      </c>
      <c r="F6386" s="1" t="s">
        <v>1899</v>
      </c>
    </row>
    <row r="6387" spans="1:6">
      <c r="A6387" s="129">
        <v>6326</v>
      </c>
      <c r="D6387" s="2" t="str">
        <f t="shared" si="98"/>
        <v>OK</v>
      </c>
      <c r="E6387" s="2" t="s">
        <v>190</v>
      </c>
      <c r="F6387" s="1" t="s">
        <v>1899</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1899</v>
      </c>
    </row>
    <row r="6411" spans="1:6">
      <c r="A6411" s="129">
        <v>6350</v>
      </c>
      <c r="D6411" s="2" t="str">
        <f t="shared" si="99"/>
        <v>OK</v>
      </c>
      <c r="E6411" s="2" t="s">
        <v>190</v>
      </c>
      <c r="F6411" s="1" t="s">
        <v>1899</v>
      </c>
    </row>
    <row r="6412" spans="1:6">
      <c r="A6412" s="129">
        <v>6351</v>
      </c>
      <c r="D6412" s="2" t="str">
        <f t="shared" si="99"/>
        <v>OK</v>
      </c>
      <c r="E6412" s="2" t="s">
        <v>190</v>
      </c>
      <c r="F6412" s="1" t="s">
        <v>1899</v>
      </c>
    </row>
    <row r="6413" spans="1:6">
      <c r="A6413" s="129">
        <v>6352</v>
      </c>
      <c r="D6413" s="2" t="str">
        <f t="shared" si="99"/>
        <v>OK</v>
      </c>
      <c r="E6413" s="2" t="s">
        <v>190</v>
      </c>
      <c r="F6413" s="1" t="s">
        <v>1899</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123361</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1899</v>
      </c>
    </row>
    <row r="6842" spans="1:5">
      <c r="A6842" s="129">
        <v>6781</v>
      </c>
      <c r="D6842" s="2" t="str">
        <f t="shared" si="105"/>
        <v>OK</v>
      </c>
      <c r="E6842" s="1" t="s">
        <v>1899</v>
      </c>
    </row>
    <row r="6843" spans="1:5">
      <c r="A6843" s="129">
        <v>6782</v>
      </c>
      <c r="D6843" s="2" t="str">
        <f t="shared" si="105"/>
        <v>OK</v>
      </c>
      <c r="E6843" s="1" t="s">
        <v>1899</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199084</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843692</v>
      </c>
      <c r="D6983" s="2" t="str">
        <f t="shared" si="108"/>
        <v>Error?</v>
      </c>
    </row>
    <row r="6984" spans="1:4">
      <c r="A6984">
        <v>6923</v>
      </c>
      <c r="B6984" s="138">
        <f>'Expenditures 15-22'!K86</f>
        <v>843692</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86724</v>
      </c>
      <c r="D6987" s="2" t="str">
        <f t="shared" si="108"/>
        <v>Error?</v>
      </c>
    </row>
    <row r="6988" spans="1:4">
      <c r="A6988">
        <v>6927</v>
      </c>
      <c r="B6988" s="138">
        <f>'Expenditures 15-22'!K88</f>
        <v>86724</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930416</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1142858</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1194587</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7094</v>
      </c>
      <c r="D7073" s="2" t="str">
        <f t="shared" si="109"/>
        <v>Error?</v>
      </c>
    </row>
    <row r="7074" spans="1:4">
      <c r="A7074">
        <v>7013</v>
      </c>
      <c r="B7074" s="138">
        <f>'Expenditures 15-22'!K216</f>
        <v>7094</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44386</v>
      </c>
      <c r="D7091" s="2" t="str">
        <f t="shared" si="109"/>
        <v>Error?</v>
      </c>
    </row>
    <row r="7092" spans="1:4">
      <c r="A7092">
        <v>7031</v>
      </c>
      <c r="B7092" s="138">
        <f>'Expenditures 15-22'!K253</f>
        <v>44386</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313419</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313419</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478079</v>
      </c>
      <c r="D7172" s="2" t="str">
        <f t="shared" si="111"/>
        <v>Error?</v>
      </c>
    </row>
    <row r="7173" spans="1:4">
      <c r="A7173">
        <v>7112</v>
      </c>
      <c r="B7173" s="138">
        <f>'Expenditures 15-22'!D325</f>
        <v>9826</v>
      </c>
      <c r="D7173" s="2" t="str">
        <f t="shared" si="111"/>
        <v>Error?</v>
      </c>
    </row>
    <row r="7174" spans="1:4">
      <c r="A7174">
        <v>7113</v>
      </c>
      <c r="B7174" s="138">
        <f>'Expenditures 15-22'!E325</f>
        <v>269345</v>
      </c>
      <c r="D7174" s="2" t="str">
        <f t="shared" si="111"/>
        <v>Error?</v>
      </c>
    </row>
    <row r="7175" spans="1:4">
      <c r="A7175">
        <v>7114</v>
      </c>
      <c r="B7175" s="138">
        <f>'Expenditures 15-22'!F325</f>
        <v>125</v>
      </c>
      <c r="D7175" s="2" t="str">
        <f t="shared" si="111"/>
        <v>Error?</v>
      </c>
    </row>
    <row r="7176" spans="1:4">
      <c r="A7176">
        <v>7115</v>
      </c>
      <c r="B7176" s="138">
        <f>'Expenditures 15-22'!G325</f>
        <v>0</v>
      </c>
      <c r="D7176" s="2" t="str">
        <f t="shared" si="111"/>
        <v>Error?</v>
      </c>
    </row>
    <row r="7177" spans="1:4">
      <c r="A7177">
        <v>7116</v>
      </c>
      <c r="B7177" s="138">
        <f>'Expenditures 15-22'!H325</f>
        <v>72064</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829439</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478079</v>
      </c>
      <c r="D7199" s="2" t="str">
        <f t="shared" si="111"/>
        <v>Error?</v>
      </c>
    </row>
    <row r="7200" spans="1:4">
      <c r="A7200">
        <v>7139</v>
      </c>
      <c r="B7200" s="138">
        <f>'Expenditures 15-22'!D330</f>
        <v>9826</v>
      </c>
      <c r="D7200" s="2" t="str">
        <f t="shared" si="111"/>
        <v>Error?</v>
      </c>
    </row>
    <row r="7201" spans="1:4">
      <c r="A7201">
        <v>7140</v>
      </c>
      <c r="B7201" s="138">
        <f>'Expenditures 15-22'!E330</f>
        <v>582764</v>
      </c>
      <c r="D7201" s="2" t="str">
        <f t="shared" si="111"/>
        <v>Error?</v>
      </c>
    </row>
    <row r="7202" spans="1:4">
      <c r="A7202">
        <v>7141</v>
      </c>
      <c r="B7202" s="138">
        <f>'Expenditures 15-22'!F330</f>
        <v>125</v>
      </c>
      <c r="D7202" s="2" t="str">
        <f t="shared" si="111"/>
        <v>Error?</v>
      </c>
    </row>
    <row r="7203" spans="1:4">
      <c r="A7203">
        <v>7142</v>
      </c>
      <c r="B7203" s="138">
        <f>'Expenditures 15-22'!G330</f>
        <v>0</v>
      </c>
      <c r="D7203" s="2" t="str">
        <f t="shared" si="111"/>
        <v>Error?</v>
      </c>
    </row>
    <row r="7204" spans="1:4">
      <c r="A7204">
        <v>7143</v>
      </c>
      <c r="B7204" s="138">
        <f>'Expenditures 15-22'!H330</f>
        <v>72064</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1142858</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478079</v>
      </c>
      <c r="D7216" s="2" t="str">
        <f t="shared" si="111"/>
        <v>Error?</v>
      </c>
    </row>
    <row r="7217" spans="1:4">
      <c r="A7217">
        <v>7156</v>
      </c>
      <c r="B7217" s="138">
        <f>'Expenditures 15-22'!D342</f>
        <v>9826</v>
      </c>
      <c r="D7217" s="2" t="str">
        <f t="shared" si="111"/>
        <v>Error?</v>
      </c>
    </row>
    <row r="7218" spans="1:4">
      <c r="A7218">
        <v>7157</v>
      </c>
      <c r="B7218" s="138">
        <f>'Expenditures 15-22'!E342</f>
        <v>582764</v>
      </c>
      <c r="D7218" s="2" t="str">
        <f t="shared" si="111"/>
        <v>Error?</v>
      </c>
    </row>
    <row r="7219" spans="1:4">
      <c r="A7219">
        <v>7158</v>
      </c>
      <c r="B7219" s="138">
        <f>'Expenditures 15-22'!F342</f>
        <v>125</v>
      </c>
      <c r="D7219" s="2" t="str">
        <f t="shared" si="111"/>
        <v>Error?</v>
      </c>
    </row>
    <row r="7220" spans="1:4">
      <c r="A7220">
        <v>7159</v>
      </c>
      <c r="B7220" s="138">
        <f>'Expenditures 15-22'!G342</f>
        <v>0</v>
      </c>
      <c r="D7220" s="2" t="str">
        <f t="shared" si="111"/>
        <v>Error?</v>
      </c>
    </row>
    <row r="7221" spans="1:4">
      <c r="A7221">
        <v>7160</v>
      </c>
      <c r="B7221" s="138">
        <f>'Expenditures 15-22'!H342</f>
        <v>72064</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1142858</v>
      </c>
      <c r="D7224" s="2" t="str">
        <f t="shared" si="111"/>
        <v>Error?</v>
      </c>
    </row>
    <row r="7225" spans="1:4">
      <c r="A7225">
        <v>7164</v>
      </c>
      <c r="B7225" s="138">
        <f>'Expenditures 15-22'!K343</f>
        <v>51729</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50919</v>
      </c>
      <c r="D7240" s="2" t="str">
        <f t="shared" si="112"/>
        <v>Error?</v>
      </c>
    </row>
    <row r="7241" spans="1:4">
      <c r="A7241">
        <v>7180</v>
      </c>
      <c r="B7241" s="138">
        <f>'Expenditures 15-22'!K363</f>
        <v>50919</v>
      </c>
      <c r="D7241" s="2" t="str">
        <f t="shared" si="112"/>
        <v>Error?</v>
      </c>
    </row>
    <row r="7242" spans="1:4">
      <c r="A7242">
        <v>7181</v>
      </c>
      <c r="B7242" s="138">
        <f>'Expenditures 15-22'!H365</f>
        <v>50919</v>
      </c>
      <c r="D7242" s="2" t="str">
        <f t="shared" si="112"/>
        <v>Error?</v>
      </c>
    </row>
    <row r="7243" spans="1:4">
      <c r="A7243">
        <v>7182</v>
      </c>
      <c r="B7243" s="138">
        <f>'Expenditures 15-22'!K365</f>
        <v>50919</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68891</v>
      </c>
      <c r="D7246" s="2" t="str">
        <f t="shared" si="112"/>
        <v>Error?</v>
      </c>
    </row>
    <row r="7247" spans="1:4">
      <c r="A7247">
        <f t="shared" si="113"/>
        <v>7186</v>
      </c>
      <c r="B7247" s="138">
        <f>'Expenditures 15-22'!E7</f>
        <v>811</v>
      </c>
      <c r="D7247" s="2" t="str">
        <f t="shared" si="112"/>
        <v>Error?</v>
      </c>
    </row>
    <row r="7248" spans="1:4">
      <c r="A7248">
        <f t="shared" si="113"/>
        <v>7187</v>
      </c>
      <c r="B7248" s="138">
        <f>'Expenditures 15-22'!F7</f>
        <v>6021</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1313</v>
      </c>
    </row>
    <row r="7627" spans="1:5">
      <c r="A7627">
        <f t="shared" si="123"/>
        <v>7566</v>
      </c>
      <c r="D7627" s="2" t="str">
        <f t="shared" si="124"/>
        <v>OK</v>
      </c>
      <c r="E7627" s="4" t="s">
        <v>1313</v>
      </c>
    </row>
    <row r="7628" spans="1:5">
      <c r="A7628">
        <f t="shared" si="123"/>
        <v>7567</v>
      </c>
      <c r="D7628" s="2" t="str">
        <f t="shared" si="124"/>
        <v>OK</v>
      </c>
      <c r="E7628" s="2" t="s">
        <v>19</v>
      </c>
    </row>
    <row r="7629" spans="1:5">
      <c r="A7629">
        <f t="shared" si="123"/>
        <v>7568</v>
      </c>
      <c r="D7629" s="2" t="str">
        <f t="shared" si="124"/>
        <v>OK</v>
      </c>
      <c r="E7629" s="4" t="s">
        <v>1313</v>
      </c>
    </row>
    <row r="7630" spans="1:5">
      <c r="A7630">
        <f t="shared" ref="A7630:A7650" si="125">A7629+1</f>
        <v>7569</v>
      </c>
      <c r="D7630" s="2" t="str">
        <f t="shared" si="124"/>
        <v>OK</v>
      </c>
      <c r="E7630" s="4" t="s">
        <v>1313</v>
      </c>
    </row>
    <row r="7631" spans="1:5">
      <c r="A7631">
        <f t="shared" si="125"/>
        <v>7570</v>
      </c>
      <c r="B7631" s="138">
        <f>'Cap Outlay Deprec 26'!I18</f>
        <v>903406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1313</v>
      </c>
    </row>
    <row r="7634" spans="1:6">
      <c r="A7634">
        <f t="shared" si="125"/>
        <v>7573</v>
      </c>
      <c r="D7634" s="2" t="str">
        <f t="shared" si="124"/>
        <v>OK</v>
      </c>
      <c r="E7634" s="4" t="s">
        <v>1313</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1329700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1371172</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1371172</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143945</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601912</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769260</v>
      </c>
      <c r="D7731" s="2" t="str">
        <f t="shared" si="126"/>
        <v>Error?</v>
      </c>
      <c r="E7731" s="2" t="s">
        <v>827</v>
      </c>
    </row>
    <row r="7732" spans="1:6">
      <c r="A7732">
        <v>7671</v>
      </c>
      <c r="B7732" s="138">
        <f>'Rest Tax Levies-Tort Im 25'!J24</f>
        <v>2700872</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2700872</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1313</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1312</v>
      </c>
    </row>
    <row r="7749" spans="1:6">
      <c r="A7749">
        <v>7688</v>
      </c>
      <c r="B7749" s="138">
        <f>'Acct Summary 7-8'!D25</f>
        <v>0</v>
      </c>
      <c r="D7749" s="2" t="str">
        <f t="shared" si="127"/>
        <v>Error?</v>
      </c>
      <c r="E7749" s="4" t="s">
        <v>1312</v>
      </c>
    </row>
    <row r="7750" spans="1:6">
      <c r="A7750">
        <v>7689</v>
      </c>
      <c r="B7750" s="138">
        <f>'Acct Summary 7-8'!E25</f>
        <v>0</v>
      </c>
      <c r="D7750" s="2" t="str">
        <f t="shared" si="127"/>
        <v>Error?</v>
      </c>
      <c r="E7750" s="4" t="s">
        <v>1312</v>
      </c>
    </row>
    <row r="7751" spans="1:6">
      <c r="A7751">
        <v>7690</v>
      </c>
      <c r="B7751" s="138">
        <f>'Acct Summary 7-8'!F25</f>
        <v>0</v>
      </c>
      <c r="D7751" s="2" t="str">
        <f t="shared" si="127"/>
        <v>Error?</v>
      </c>
      <c r="E7751" s="4" t="s">
        <v>1312</v>
      </c>
    </row>
    <row r="7752" spans="1:6">
      <c r="A7752">
        <v>7691</v>
      </c>
      <c r="B7752" s="138">
        <f>'Acct Summary 7-8'!G25</f>
        <v>0</v>
      </c>
      <c r="D7752" s="2" t="str">
        <f t="shared" si="127"/>
        <v>Error?</v>
      </c>
      <c r="E7752" s="4" t="s">
        <v>1312</v>
      </c>
    </row>
    <row r="7753" spans="1:6">
      <c r="A7753">
        <v>7692</v>
      </c>
      <c r="B7753" s="138">
        <f>'Acct Summary 7-8'!H25</f>
        <v>0</v>
      </c>
      <c r="D7753" s="2" t="str">
        <f t="shared" si="127"/>
        <v>Error?</v>
      </c>
      <c r="E7753" s="4" t="s">
        <v>1312</v>
      </c>
    </row>
    <row r="7754" spans="1:6">
      <c r="A7754">
        <v>7693</v>
      </c>
      <c r="B7754" s="138">
        <f>'Acct Summary 7-8'!J25</f>
        <v>0</v>
      </c>
      <c r="D7754" s="2" t="str">
        <f t="shared" si="127"/>
        <v>Error?</v>
      </c>
      <c r="E7754" s="4" t="s">
        <v>1312</v>
      </c>
    </row>
    <row r="7755" spans="1:6">
      <c r="A7755">
        <v>7694</v>
      </c>
      <c r="B7755" s="138">
        <f>'Acct Summary 7-8'!K25</f>
        <v>0</v>
      </c>
      <c r="D7755" s="2" t="str">
        <f t="shared" si="127"/>
        <v>Error?</v>
      </c>
      <c r="E7755" s="4" t="s">
        <v>1312</v>
      </c>
    </row>
    <row r="7756" spans="1:6">
      <c r="A7756">
        <v>7695</v>
      </c>
      <c r="B7756" s="138">
        <f>'Aud Quest 2'!E85</f>
        <v>0</v>
      </c>
      <c r="D7756" s="2" t="str">
        <f t="shared" si="127"/>
        <v>Error?</v>
      </c>
      <c r="E7756" s="4" t="s">
        <v>1312</v>
      </c>
      <c r="F7756" t="s">
        <v>1424</v>
      </c>
    </row>
    <row r="7757" spans="1:6">
      <c r="A7757">
        <v>7696</v>
      </c>
      <c r="B7757" s="138">
        <f>'Aud Quest 2'!E87</f>
        <v>0</v>
      </c>
      <c r="D7757" s="2" t="str">
        <f t="shared" si="127"/>
        <v>Error?</v>
      </c>
      <c r="E7757" s="4" t="s">
        <v>1312</v>
      </c>
      <c r="F7757" t="s">
        <v>1424</v>
      </c>
    </row>
    <row r="7758" spans="1:6">
      <c r="A7758">
        <v>7697</v>
      </c>
      <c r="B7758" s="138">
        <f>'Aud Quest 2'!J85</f>
        <v>0</v>
      </c>
      <c r="D7758" s="2" t="str">
        <f t="shared" si="127"/>
        <v>Error?</v>
      </c>
      <c r="E7758" s="4" t="s">
        <v>1312</v>
      </c>
    </row>
    <row r="7759" spans="1:6">
      <c r="A7759">
        <v>7698</v>
      </c>
      <c r="B7759" s="138">
        <f>'Aud Quest 2'!J88</f>
        <v>415318</v>
      </c>
      <c r="D7759" s="2" t="str">
        <f t="shared" si="127"/>
        <v>Error?</v>
      </c>
      <c r="E7759" s="4" t="s">
        <v>1312</v>
      </c>
    </row>
    <row r="7760" spans="1:6">
      <c r="A7760">
        <v>7699</v>
      </c>
      <c r="B7760" s="138">
        <f>'Aud Quest 2'!J90</f>
        <v>415318</v>
      </c>
      <c r="D7760" s="2" t="str">
        <f t="shared" si="127"/>
        <v>Error?</v>
      </c>
      <c r="E7760" s="4" t="s">
        <v>1312</v>
      </c>
    </row>
    <row r="7761" spans="1:5">
      <c r="A7761">
        <v>7700</v>
      </c>
      <c r="B7761" s="138">
        <f>'Revenues 9-14'!C253</f>
        <v>0</v>
      </c>
      <c r="D7761" s="2" t="str">
        <f t="shared" si="127"/>
        <v>Error?</v>
      </c>
      <c r="E7761" s="4" t="s">
        <v>1401</v>
      </c>
    </row>
    <row r="7762" spans="1:5">
      <c r="A7762">
        <v>7701</v>
      </c>
      <c r="B7762" s="138">
        <f>'Expenditures 15-22'!E6</f>
        <v>0</v>
      </c>
      <c r="D7762" s="2" t="str">
        <f t="shared" si="127"/>
        <v>Error?</v>
      </c>
      <c r="E7762" s="4" t="s">
        <v>1411</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1439</v>
      </c>
    </row>
    <row r="7765" spans="1:5">
      <c r="A7765">
        <v>7704</v>
      </c>
      <c r="B7765" s="138">
        <f>'Revenues 9-14'!C254</f>
        <v>0</v>
      </c>
      <c r="D7765" s="2" t="str">
        <f t="shared" si="127"/>
        <v>Error?</v>
      </c>
      <c r="E7765" s="4" t="s">
        <v>1443</v>
      </c>
    </row>
    <row r="7766" spans="1:5">
      <c r="A7766">
        <v>7705</v>
      </c>
      <c r="B7766" s="138">
        <f>'Revenues 9-14'!D254</f>
        <v>0</v>
      </c>
      <c r="D7766" s="2" t="str">
        <f t="shared" si="127"/>
        <v>Error?</v>
      </c>
      <c r="E7766" s="4" t="s">
        <v>1443</v>
      </c>
    </row>
    <row r="7767" spans="1:5">
      <c r="A7767" s="129">
        <v>7706</v>
      </c>
      <c r="E7767" s="4"/>
    </row>
    <row r="7768" spans="1:5">
      <c r="A7768">
        <v>7707</v>
      </c>
      <c r="B7768" s="138">
        <f>'Revenues 9-14'!F254</f>
        <v>0</v>
      </c>
      <c r="D7768" s="2" t="str">
        <f t="shared" si="127"/>
        <v>Error?</v>
      </c>
      <c r="E7768" s="4" t="s">
        <v>1443</v>
      </c>
    </row>
    <row r="7769" spans="1:5">
      <c r="A7769">
        <v>7708</v>
      </c>
      <c r="B7769" s="138">
        <f>'Revenues 9-14'!G254</f>
        <v>0</v>
      </c>
      <c r="D7769" s="2" t="str">
        <f t="shared" si="127"/>
        <v>Error?</v>
      </c>
      <c r="E7769" s="4" t="s">
        <v>1443</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1444</v>
      </c>
    </row>
    <row r="7773" spans="1:5">
      <c r="A7773">
        <v>7712</v>
      </c>
      <c r="B7773" s="138">
        <f>'Rest Tax Levies-Tort Im 25'!J22</f>
        <v>0</v>
      </c>
      <c r="D7773" s="2" t="str">
        <f t="shared" si="127"/>
        <v>Error?</v>
      </c>
      <c r="E7773" s="4" t="s">
        <v>1532</v>
      </c>
    </row>
    <row r="7774" spans="1:5">
      <c r="A7774">
        <v>7713</v>
      </c>
      <c r="B7774" s="138">
        <f>'Expenditures 15-22'!E133</f>
        <v>0</v>
      </c>
      <c r="D7774" s="2" t="str">
        <f t="shared" si="127"/>
        <v>Error?</v>
      </c>
      <c r="E7774" s="4" t="s">
        <v>1815</v>
      </c>
    </row>
    <row r="7775" spans="1:5">
      <c r="A7775">
        <v>7714</v>
      </c>
      <c r="B7775" s="138">
        <f>'Expenditures 15-22'!H133</f>
        <v>0</v>
      </c>
      <c r="D7775" s="2" t="str">
        <f t="shared" si="127"/>
        <v>Error?</v>
      </c>
      <c r="E7775" s="4" t="s">
        <v>1815</v>
      </c>
    </row>
    <row r="7776" spans="1:5">
      <c r="A7776">
        <v>7715</v>
      </c>
      <c r="B7776" s="138">
        <f>'Expenditures 15-22'!K133</f>
        <v>0</v>
      </c>
      <c r="D7776" s="2" t="str">
        <f t="shared" si="127"/>
        <v>Error?</v>
      </c>
      <c r="E7776" s="4" t="s">
        <v>1815</v>
      </c>
    </row>
    <row r="7777" spans="1:5">
      <c r="A7777">
        <v>7716</v>
      </c>
      <c r="B7777" s="138">
        <f>'Expenditures 15-22'!H157</f>
        <v>0</v>
      </c>
      <c r="D7777" s="2" t="str">
        <f t="shared" si="127"/>
        <v>Error?</v>
      </c>
      <c r="E7777" s="4" t="s">
        <v>1815</v>
      </c>
    </row>
    <row r="7778" spans="1:5">
      <c r="A7778">
        <v>7717</v>
      </c>
      <c r="B7778" s="138">
        <f>'Expenditures 15-22'!K157</f>
        <v>0</v>
      </c>
      <c r="D7778" s="2" t="str">
        <f t="shared" si="127"/>
        <v>Error?</v>
      </c>
      <c r="E7778" s="4" t="s">
        <v>1815</v>
      </c>
    </row>
    <row r="7779" spans="1:5">
      <c r="A7779">
        <v>7718</v>
      </c>
      <c r="B7779" s="138">
        <f>'Expenditures 15-22'!H158</f>
        <v>0</v>
      </c>
      <c r="D7779" s="2" t="str">
        <f t="shared" si="127"/>
        <v>Error?</v>
      </c>
      <c r="E7779" s="4" t="s">
        <v>1815</v>
      </c>
    </row>
    <row r="7780" spans="1:5">
      <c r="A7780">
        <v>7719</v>
      </c>
      <c r="B7780" s="138">
        <f>'Expenditures 15-22'!K158</f>
        <v>0</v>
      </c>
      <c r="D7780" s="2" t="str">
        <f t="shared" si="127"/>
        <v>Error?</v>
      </c>
      <c r="E7780" s="4" t="s">
        <v>1815</v>
      </c>
    </row>
    <row r="7781" spans="1:5">
      <c r="A7781">
        <v>7720</v>
      </c>
      <c r="B7781" s="138">
        <f>'Expenditures 15-22'!H159</f>
        <v>0</v>
      </c>
      <c r="D7781" s="2" t="str">
        <f t="shared" si="127"/>
        <v>Error?</v>
      </c>
      <c r="E7781" s="4" t="s">
        <v>1815</v>
      </c>
    </row>
    <row r="7782" spans="1:5">
      <c r="A7782">
        <v>7721</v>
      </c>
      <c r="B7782" s="138">
        <f>'Expenditures 15-22'!K159</f>
        <v>0</v>
      </c>
      <c r="D7782" s="2" t="str">
        <f t="shared" si="127"/>
        <v>Error?</v>
      </c>
      <c r="E7782" s="4" t="s">
        <v>1815</v>
      </c>
    </row>
    <row r="7783" spans="1:5">
      <c r="A7783">
        <v>7722</v>
      </c>
      <c r="B7783" s="138">
        <f>'Expenditures 15-22'!D282</f>
        <v>0</v>
      </c>
      <c r="D7783" s="2" t="str">
        <f t="shared" si="127"/>
        <v>Error?</v>
      </c>
      <c r="E7783" s="4" t="s">
        <v>1815</v>
      </c>
    </row>
    <row r="7784" spans="1:5">
      <c r="A7784">
        <v>7723</v>
      </c>
      <c r="B7784" s="138">
        <f>'Expenditures 15-22'!K282</f>
        <v>0</v>
      </c>
      <c r="D7784" s="2" t="str">
        <f t="shared" si="127"/>
        <v>Error?</v>
      </c>
      <c r="E7784" s="4" t="s">
        <v>1815</v>
      </c>
    </row>
    <row r="7785" spans="1:5">
      <c r="A7785">
        <v>7724</v>
      </c>
      <c r="B7785" s="138">
        <f>'Expenditures 15-22'!H332</f>
        <v>0</v>
      </c>
      <c r="D7785" s="2" t="str">
        <f t="shared" si="127"/>
        <v>Error?</v>
      </c>
      <c r="E7785" s="4" t="s">
        <v>1815</v>
      </c>
    </row>
    <row r="7786" spans="1:5">
      <c r="A7786">
        <v>7725</v>
      </c>
      <c r="B7786" s="138">
        <f>'Expenditures 15-22'!K332</f>
        <v>0</v>
      </c>
      <c r="D7786" s="2" t="str">
        <f t="shared" si="127"/>
        <v>Error?</v>
      </c>
      <c r="E7786" s="4" t="s">
        <v>1815</v>
      </c>
    </row>
    <row r="7787" spans="1:5">
      <c r="A7787">
        <v>7726</v>
      </c>
      <c r="B7787" s="138">
        <f>'Expenditures 15-22'!H333</f>
        <v>0</v>
      </c>
      <c r="D7787" s="2" t="str">
        <f t="shared" si="127"/>
        <v>Error?</v>
      </c>
      <c r="E7787" s="4" t="s">
        <v>1815</v>
      </c>
    </row>
    <row r="7788" spans="1:5">
      <c r="A7788">
        <v>7727</v>
      </c>
      <c r="B7788" s="138">
        <f>'Expenditures 15-22'!K333</f>
        <v>0</v>
      </c>
      <c r="D7788" s="2" t="str">
        <f t="shared" si="127"/>
        <v>Error?</v>
      </c>
      <c r="E7788" s="4" t="s">
        <v>1815</v>
      </c>
    </row>
    <row r="7789" spans="1:5">
      <c r="A7789">
        <v>7728</v>
      </c>
      <c r="B7789" s="138">
        <f>'Expenditures 15-22'!H334</f>
        <v>0</v>
      </c>
      <c r="D7789" s="2" t="str">
        <f t="shared" si="127"/>
        <v>Error?</v>
      </c>
      <c r="E7789" s="4" t="s">
        <v>1815</v>
      </c>
    </row>
    <row r="7790" spans="1:5">
      <c r="A7790">
        <v>7729</v>
      </c>
      <c r="B7790" s="138">
        <f>'Expenditures 15-22'!K334</f>
        <v>0</v>
      </c>
      <c r="D7790" s="2" t="str">
        <f t="shared" si="127"/>
        <v>Error?</v>
      </c>
      <c r="E7790" s="4" t="s">
        <v>1815</v>
      </c>
    </row>
    <row r="7791" spans="1:5">
      <c r="A7791">
        <v>7730</v>
      </c>
      <c r="B7791" s="138">
        <f>'Expenditures 15-22'!H354</f>
        <v>0</v>
      </c>
      <c r="D7791" s="2" t="str">
        <f t="shared" si="127"/>
        <v>Error?</v>
      </c>
      <c r="E7791" s="4" t="s">
        <v>1815</v>
      </c>
    </row>
    <row r="7792" spans="1:5">
      <c r="A7792">
        <v>7731</v>
      </c>
      <c r="B7792" s="138">
        <f>'Expenditures 15-22'!K354</f>
        <v>0</v>
      </c>
      <c r="D7792" s="2" t="str">
        <f t="shared" si="127"/>
        <v>Error?</v>
      </c>
      <c r="E7792" s="4" t="s">
        <v>1815</v>
      </c>
    </row>
    <row r="7793" spans="1:5">
      <c r="A7793">
        <v>7732</v>
      </c>
      <c r="B7793" s="138">
        <f>'Expenditures 15-22'!H355</f>
        <v>0</v>
      </c>
      <c r="D7793" s="2" t="str">
        <f t="shared" si="127"/>
        <v>Error?</v>
      </c>
      <c r="E7793" s="4" t="s">
        <v>1815</v>
      </c>
    </row>
    <row r="7794" spans="1:5">
      <c r="A7794">
        <v>7733</v>
      </c>
      <c r="B7794" s="138">
        <f>'Expenditures 15-22'!K355</f>
        <v>0</v>
      </c>
      <c r="D7794" s="2" t="str">
        <f t="shared" si="127"/>
        <v>Error?</v>
      </c>
      <c r="E7794" s="4" t="s">
        <v>1815</v>
      </c>
    </row>
    <row r="7795" spans="1:5">
      <c r="A7795">
        <v>7734</v>
      </c>
      <c r="B7795" s="138">
        <f>'Expenditures 15-22'!E138</f>
        <v>0</v>
      </c>
      <c r="D7795" s="2" t="str">
        <f t="shared" si="127"/>
        <v>Error?</v>
      </c>
      <c r="E7795" s="4" t="s">
        <v>1815</v>
      </c>
    </row>
    <row r="7796" spans="1:5">
      <c r="A7796">
        <v>7735</v>
      </c>
      <c r="B7796" s="138">
        <f>'Acct Summary 7-8'!J15</f>
        <v>0</v>
      </c>
      <c r="D7796" s="2" t="str">
        <f t="shared" si="127"/>
        <v>Error?</v>
      </c>
      <c r="E7796" s="4" t="s">
        <v>1815</v>
      </c>
    </row>
    <row r="7797" spans="1:5">
      <c r="A7797">
        <v>7736</v>
      </c>
      <c r="B7797" s="138">
        <f>'Contracts Paid in CY 29'!D141</f>
        <v>0.1</v>
      </c>
      <c r="D7797" s="2" t="str">
        <f t="shared" si="127"/>
        <v>Error?</v>
      </c>
      <c r="E7797" s="4" t="s">
        <v>1864</v>
      </c>
    </row>
    <row r="7798" spans="1:5">
      <c r="A7798">
        <v>7737</v>
      </c>
      <c r="B7798" s="138">
        <f>'Contracts Paid in CY 29'!F141</f>
        <v>0</v>
      </c>
      <c r="D7798" s="2" t="str">
        <f t="shared" si="127"/>
        <v>Error?</v>
      </c>
      <c r="E7798" s="4" t="s">
        <v>1864</v>
      </c>
    </row>
    <row r="7799" spans="1:5">
      <c r="A7799">
        <v>7738</v>
      </c>
      <c r="B7799" s="138">
        <f>'Contracts Paid in CY 29'!G141</f>
        <v>0</v>
      </c>
      <c r="D7799" s="2" t="str">
        <f t="shared" si="127"/>
        <v>Error?</v>
      </c>
      <c r="E7799" s="4" t="s">
        <v>1864</v>
      </c>
    </row>
    <row r="7800" spans="1:5">
      <c r="A7800">
        <v>7739</v>
      </c>
      <c r="D7800" s="2" t="str">
        <f t="shared" si="127"/>
        <v>OK</v>
      </c>
    </row>
    <row r="7801" spans="1:5">
      <c r="A7801">
        <v>7740</v>
      </c>
      <c r="B7801" s="138">
        <f>'Revenues 9-14'!C120</f>
        <v>0</v>
      </c>
      <c r="D7801" s="2" t="str">
        <f t="shared" si="127"/>
        <v>Error?</v>
      </c>
      <c r="E7801" s="4" t="s">
        <v>1901</v>
      </c>
    </row>
    <row r="7802" spans="1:5">
      <c r="A7802">
        <v>7741</v>
      </c>
      <c r="B7802" s="138">
        <f>'Revenues 9-14'!D120</f>
        <v>0</v>
      </c>
      <c r="D7802" s="2" t="str">
        <f t="shared" si="127"/>
        <v>Error?</v>
      </c>
      <c r="E7802" s="4" t="s">
        <v>1901</v>
      </c>
    </row>
    <row r="7803" spans="1:5">
      <c r="A7803">
        <v>7742</v>
      </c>
      <c r="B7803" s="138">
        <f>'Revenues 9-14'!E120</f>
        <v>0</v>
      </c>
      <c r="D7803" s="2" t="str">
        <f t="shared" si="127"/>
        <v>Error?</v>
      </c>
      <c r="E7803" s="4" t="s">
        <v>1901</v>
      </c>
    </row>
    <row r="7804" spans="1:5">
      <c r="A7804">
        <v>7743</v>
      </c>
      <c r="B7804" s="138">
        <f>'Revenues 9-14'!F120</f>
        <v>0</v>
      </c>
      <c r="D7804" s="2" t="str">
        <f t="shared" si="127"/>
        <v>Error?</v>
      </c>
      <c r="E7804" s="4" t="s">
        <v>1901</v>
      </c>
    </row>
    <row r="7805" spans="1:5">
      <c r="A7805">
        <v>7744</v>
      </c>
      <c r="B7805" s="138">
        <f>'Revenues 9-14'!G120</f>
        <v>0</v>
      </c>
      <c r="D7805" s="2" t="str">
        <f t="shared" si="127"/>
        <v>Error?</v>
      </c>
      <c r="E7805" s="4" t="s">
        <v>1901</v>
      </c>
    </row>
    <row r="7806" spans="1:5">
      <c r="A7806">
        <v>7745</v>
      </c>
      <c r="B7806" s="138">
        <f>'Revenues 9-14'!H120</f>
        <v>0</v>
      </c>
      <c r="D7806" s="2" t="str">
        <f t="shared" si="127"/>
        <v>Error?</v>
      </c>
      <c r="E7806" s="4" t="s">
        <v>1901</v>
      </c>
    </row>
    <row r="7807" spans="1:5">
      <c r="A7807">
        <v>7746</v>
      </c>
      <c r="B7807" s="138">
        <f>'Revenues 9-14'!J120</f>
        <v>0</v>
      </c>
      <c r="D7807" s="2" t="str">
        <f t="shared" ref="D7807:D7816" si="128">IF(ISBLANK(B7807),"OK",IF(A7807-B7807=0,"OK","Error?"))</f>
        <v>Error?</v>
      </c>
      <c r="E7807" s="4" t="s">
        <v>1901</v>
      </c>
    </row>
    <row r="7808" spans="1:5">
      <c r="A7808">
        <v>7747</v>
      </c>
      <c r="B7808" s="138">
        <f>'Revenues 9-14'!K120</f>
        <v>0</v>
      </c>
      <c r="D7808" s="2" t="str">
        <f t="shared" si="128"/>
        <v>Error?</v>
      </c>
      <c r="E7808" s="4" t="s">
        <v>1901</v>
      </c>
    </row>
    <row r="7809" spans="1:5">
      <c r="A7809">
        <v>7748</v>
      </c>
      <c r="B7809" s="138">
        <f>'Revenues 9-14'!C261</f>
        <v>0</v>
      </c>
      <c r="D7809" s="2" t="str">
        <f t="shared" si="128"/>
        <v>Error?</v>
      </c>
      <c r="E7809" s="4" t="s">
        <v>1902</v>
      </c>
    </row>
    <row r="7810" spans="1:5">
      <c r="A7810">
        <v>7749</v>
      </c>
      <c r="B7810" s="138">
        <f>'Revenues 9-14'!D261</f>
        <v>0</v>
      </c>
      <c r="D7810" s="2" t="str">
        <f t="shared" si="128"/>
        <v>Error?</v>
      </c>
      <c r="E7810" s="4" t="s">
        <v>1902</v>
      </c>
    </row>
    <row r="7811" spans="1:5">
      <c r="A7811">
        <v>7750</v>
      </c>
      <c r="B7811" s="138">
        <f>'Revenues 9-14'!F261</f>
        <v>0</v>
      </c>
      <c r="D7811" s="2" t="str">
        <f t="shared" si="128"/>
        <v>Error?</v>
      </c>
      <c r="E7811" s="4" t="s">
        <v>1902</v>
      </c>
    </row>
    <row r="7812" spans="1:5">
      <c r="A7812">
        <v>7751</v>
      </c>
      <c r="B7812" s="138">
        <f>'Revenues 9-14'!G261</f>
        <v>0</v>
      </c>
      <c r="D7812" s="2" t="str">
        <f t="shared" si="128"/>
        <v>Error?</v>
      </c>
      <c r="E7812" s="4" t="s">
        <v>1902</v>
      </c>
    </row>
    <row r="7813" spans="1:5">
      <c r="A7813">
        <v>7752</v>
      </c>
      <c r="B7813" s="138">
        <f>'Revenues 9-14'!C262</f>
        <v>0</v>
      </c>
      <c r="D7813" s="2" t="str">
        <f t="shared" si="128"/>
        <v>Error?</v>
      </c>
      <c r="E7813" s="4" t="s">
        <v>1903</v>
      </c>
    </row>
    <row r="7814" spans="1:5">
      <c r="A7814">
        <v>7753</v>
      </c>
      <c r="B7814" s="138">
        <f>'Revenues 9-14'!D262</f>
        <v>0</v>
      </c>
      <c r="D7814" s="2" t="str">
        <f t="shared" si="128"/>
        <v>Error?</v>
      </c>
      <c r="E7814" s="4" t="s">
        <v>1903</v>
      </c>
    </row>
    <row r="7815" spans="1:5">
      <c r="A7815">
        <v>7754</v>
      </c>
      <c r="B7815" s="138">
        <f>'Revenues 9-14'!F262</f>
        <v>0</v>
      </c>
      <c r="D7815" s="2" t="str">
        <f t="shared" si="128"/>
        <v>Error?</v>
      </c>
      <c r="E7815" s="4" t="s">
        <v>1903</v>
      </c>
    </row>
    <row r="7816" spans="1:5">
      <c r="A7816">
        <v>7755</v>
      </c>
      <c r="B7816" s="138">
        <f>'Revenues 9-14'!G262</f>
        <v>0</v>
      </c>
      <c r="D7816" s="2" t="str">
        <f t="shared" si="128"/>
        <v>Error?</v>
      </c>
      <c r="E7816" s="4" t="s">
        <v>1903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3" zoomScale="110" zoomScaleNormal="110" workbookViewId="0">
      <selection activeCell="T15" sqref="T15:AA15"/>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12" t="s">
        <v>1191</v>
      </c>
      <c r="B2" s="2412"/>
      <c r="C2" s="2412"/>
      <c r="D2" s="2412"/>
      <c r="E2" s="2412"/>
      <c r="F2" s="2412"/>
      <c r="G2" s="2412"/>
      <c r="H2" s="2412"/>
      <c r="I2" s="2412"/>
      <c r="J2" s="2412"/>
      <c r="K2" s="2412"/>
      <c r="L2" s="2412"/>
    </row>
    <row r="3" spans="1:29" ht="13.5" customHeight="1">
      <c r="A3" s="2398" t="s">
        <v>1190</v>
      </c>
      <c r="B3" s="2398"/>
      <c r="C3" s="2398"/>
      <c r="D3" s="2398"/>
      <c r="E3" s="2398"/>
      <c r="F3" s="2398"/>
      <c r="G3" s="2398"/>
      <c r="H3" s="2398"/>
      <c r="I3" s="2398"/>
      <c r="J3" s="2398"/>
      <c r="K3" s="2398"/>
      <c r="L3" s="2398"/>
    </row>
    <row r="4" spans="1:29" ht="13.5" customHeight="1">
      <c r="A4" s="2412" t="s">
        <v>1949</v>
      </c>
      <c r="B4" s="2429"/>
      <c r="C4" s="2429"/>
      <c r="D4" s="2429"/>
      <c r="E4" s="2429"/>
      <c r="F4" s="2429"/>
      <c r="G4" s="2429"/>
      <c r="H4" s="2429"/>
      <c r="I4" s="2429"/>
      <c r="J4" s="2429"/>
      <c r="K4" s="2429"/>
      <c r="L4" s="2429"/>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c r="A7" s="2392" t="str">
        <f>COVER!A17</f>
        <v>Dixon USD 170</v>
      </c>
      <c r="B7" s="2393"/>
      <c r="C7" s="2393"/>
      <c r="D7" s="2430"/>
      <c r="E7" s="2431">
        <f>COVER!A13</f>
        <v>47052170022</v>
      </c>
      <c r="F7" s="2432"/>
      <c r="G7" s="2399" t="str">
        <f>COVER!T23</f>
        <v>066-004023</v>
      </c>
      <c r="H7" s="2400"/>
      <c r="I7" s="2400"/>
      <c r="J7" s="2400"/>
      <c r="K7" s="2400"/>
      <c r="L7" s="2401"/>
    </row>
    <row r="8" spans="1:29" ht="13.5" customHeight="1">
      <c r="A8" s="1184" t="s">
        <v>1496</v>
      </c>
      <c r="B8" s="1185"/>
      <c r="C8" s="1186"/>
      <c r="D8" s="1186"/>
      <c r="E8" s="1191"/>
      <c r="F8" s="1190"/>
      <c r="G8" s="1192" t="s">
        <v>1186</v>
      </c>
      <c r="H8" s="1193"/>
      <c r="I8" s="1193"/>
      <c r="J8" s="1193"/>
      <c r="K8" s="1193"/>
      <c r="L8" s="1194"/>
    </row>
    <row r="9" spans="1:29" ht="13.5" customHeight="1">
      <c r="A9" s="2402"/>
      <c r="B9" s="2403"/>
      <c r="C9" s="2403"/>
      <c r="D9" s="2403"/>
      <c r="E9" s="2403"/>
      <c r="F9" s="2404"/>
      <c r="G9" s="2405" t="str">
        <f>COVER!T13</f>
        <v>Wipfli LLP</v>
      </c>
      <c r="H9" s="2406"/>
      <c r="I9" s="2406"/>
      <c r="J9" s="2406"/>
      <c r="K9" s="2406"/>
      <c r="L9" s="2407"/>
    </row>
    <row r="10" spans="1:29" ht="13.5" customHeight="1">
      <c r="A10" s="2389" t="str">
        <f>COVER!A38</f>
        <v>Margo Empen</v>
      </c>
      <c r="B10" s="2390"/>
      <c r="C10" s="2390"/>
      <c r="D10" s="2390"/>
      <c r="E10" s="2390"/>
      <c r="F10" s="2391"/>
      <c r="G10" s="2405" t="str">
        <f>COVER!T17</f>
        <v>403 East 3rd Street</v>
      </c>
      <c r="H10" s="2418"/>
      <c r="I10" s="2418"/>
      <c r="J10" s="2418"/>
      <c r="K10" s="2418"/>
      <c r="L10" s="2419"/>
    </row>
    <row r="11" spans="1:29" ht="13.5" customHeight="1">
      <c r="A11" s="1184" t="s">
        <v>1498</v>
      </c>
      <c r="B11" s="1185"/>
      <c r="C11" s="1186"/>
      <c r="D11" s="1191"/>
      <c r="E11" s="1186"/>
      <c r="F11" s="1190"/>
      <c r="G11" s="2405" t="str">
        <f>COVER!T19</f>
        <v>Sterling</v>
      </c>
      <c r="H11" s="2418"/>
      <c r="I11" s="2418"/>
      <c r="J11" s="2418"/>
      <c r="K11" s="2418"/>
      <c r="L11" s="2419"/>
    </row>
    <row r="12" spans="1:29" ht="13.5" customHeight="1">
      <c r="A12" s="2423" t="s">
        <v>1497</v>
      </c>
      <c r="B12" s="2424"/>
      <c r="C12" s="2424"/>
      <c r="D12" s="2424"/>
      <c r="E12" s="2424"/>
      <c r="F12" s="2425"/>
      <c r="G12" s="2420"/>
      <c r="H12" s="2421"/>
      <c r="I12" s="2421"/>
      <c r="J12" s="2421"/>
      <c r="K12" s="2421"/>
      <c r="L12" s="2422"/>
    </row>
    <row r="13" spans="1:29" ht="13.5" customHeight="1">
      <c r="A13" s="2405"/>
      <c r="B13" s="2418"/>
      <c r="C13" s="2418"/>
      <c r="D13" s="2418"/>
      <c r="E13" s="2418"/>
      <c r="F13" s="2419"/>
      <c r="G13" s="2413" t="s">
        <v>1499</v>
      </c>
      <c r="H13" s="2414"/>
      <c r="I13" s="2426" t="str">
        <f>COVER!T25</f>
        <v>mschueler@wipfli.com</v>
      </c>
      <c r="J13" s="2427"/>
      <c r="K13" s="2427"/>
      <c r="L13" s="2428"/>
    </row>
    <row r="14" spans="1:29" ht="13.5" customHeight="1">
      <c r="A14" s="2405" t="str">
        <f>COVER!A19</f>
        <v>1355 Franklin Grove Road</v>
      </c>
      <c r="B14" s="2418"/>
      <c r="C14" s="2418"/>
      <c r="D14" s="2418"/>
      <c r="E14" s="2418"/>
      <c r="F14" s="2419"/>
      <c r="G14" s="1195" t="s">
        <v>1185</v>
      </c>
      <c r="H14" s="1193"/>
      <c r="I14" s="1193"/>
      <c r="J14" s="1193"/>
      <c r="K14" s="1193"/>
      <c r="L14" s="1194"/>
    </row>
    <row r="15" spans="1:29" ht="13.5" customHeight="1">
      <c r="A15" s="2405" t="str">
        <f>COVER!A21</f>
        <v>Dixon, IL</v>
      </c>
      <c r="B15" s="2418"/>
      <c r="C15" s="2418"/>
      <c r="D15" s="2418"/>
      <c r="E15" s="2418"/>
      <c r="F15" s="2419"/>
      <c r="G15" s="2415" t="str">
        <f>COVER!T15</f>
        <v>Matthew J. Schueler</v>
      </c>
      <c r="H15" s="2416"/>
      <c r="I15" s="2416"/>
      <c r="J15" s="2416"/>
      <c r="K15" s="2416"/>
      <c r="L15" s="2417"/>
    </row>
    <row r="16" spans="1:29" ht="12.2" customHeight="1">
      <c r="A16" s="2395">
        <f>COVER!A25</f>
        <v>61021</v>
      </c>
      <c r="B16" s="2396"/>
      <c r="C16" s="2396"/>
      <c r="D16" s="2396"/>
      <c r="E16" s="2396"/>
      <c r="F16" s="2397"/>
      <c r="G16" s="2408"/>
      <c r="H16" s="2409"/>
      <c r="I16" s="2409"/>
      <c r="J16" s="2409"/>
      <c r="K16" s="2409"/>
      <c r="L16" s="2410"/>
    </row>
    <row r="17" spans="1:13" ht="12.2" customHeight="1">
      <c r="A17" s="2411"/>
      <c r="B17" s="2396"/>
      <c r="C17" s="2396"/>
      <c r="D17" s="2396"/>
      <c r="E17" s="2396"/>
      <c r="F17" s="2397"/>
      <c r="G17" s="1195" t="s">
        <v>1184</v>
      </c>
      <c r="H17" s="1193"/>
      <c r="I17" s="1193"/>
      <c r="J17" s="1193"/>
      <c r="K17" s="1197" t="s">
        <v>1183</v>
      </c>
      <c r="L17" s="1190"/>
      <c r="M17" s="1183"/>
    </row>
    <row r="18" spans="1:13" ht="12.2" customHeight="1">
      <c r="A18" s="2389"/>
      <c r="B18" s="2390"/>
      <c r="C18" s="2390"/>
      <c r="D18" s="2390"/>
      <c r="E18" s="2390"/>
      <c r="F18" s="2391"/>
      <c r="G18" s="2392" t="str">
        <f>COVER!T21</f>
        <v>815-626-1277</v>
      </c>
      <c r="H18" s="2393"/>
      <c r="I18" s="2393"/>
      <c r="J18" s="2393"/>
      <c r="K18" s="2392" t="str">
        <f>COVER!X21</f>
        <v>815-626-9118</v>
      </c>
      <c r="L18" s="2394"/>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1671</v>
      </c>
    </row>
    <row r="22" spans="1:13" ht="12.2" customHeight="1">
      <c r="A22" s="1200"/>
    </row>
    <row r="23" spans="1:13" ht="12.2" customHeight="1">
      <c r="A23" s="1200"/>
      <c r="B23" s="1201" t="s">
        <v>2032</v>
      </c>
      <c r="C23" s="1202" t="s">
        <v>1182</v>
      </c>
    </row>
    <row r="24" spans="1:13" ht="10.35" customHeight="1">
      <c r="A24" s="1200"/>
      <c r="C24" s="1202" t="s">
        <v>1181</v>
      </c>
    </row>
    <row r="25" spans="1:13" ht="9.4" customHeight="1">
      <c r="B25" s="1203" t="s">
        <v>1169</v>
      </c>
      <c r="C25" s="1204"/>
    </row>
    <row r="26" spans="1:13" s="1198" customFormat="1" ht="12.2" customHeight="1">
      <c r="B26" s="1201" t="s">
        <v>2032</v>
      </c>
      <c r="C26" s="1202" t="s">
        <v>1672</v>
      </c>
    </row>
    <row r="27" spans="1:13" s="1198" customFormat="1" ht="9.4" customHeight="1">
      <c r="B27" s="1203"/>
      <c r="C27" s="1202"/>
    </row>
    <row r="28" spans="1:13" s="1198" customFormat="1" ht="12.2" customHeight="1">
      <c r="A28" s="1205"/>
      <c r="B28" s="1201" t="s">
        <v>2032</v>
      </c>
      <c r="C28" s="1202" t="s">
        <v>1673</v>
      </c>
    </row>
    <row r="29" spans="1:13" s="1198" customFormat="1" ht="9.4" customHeight="1">
      <c r="A29" s="1205"/>
      <c r="B29" s="1203"/>
      <c r="C29" s="1202"/>
    </row>
    <row r="30" spans="1:13" s="1198" customFormat="1" ht="12.2" customHeight="1">
      <c r="B30" s="1201" t="s">
        <v>2032</v>
      </c>
      <c r="C30" s="1202" t="s">
        <v>1541</v>
      </c>
      <c r="D30" s="1196"/>
      <c r="E30" s="1196"/>
    </row>
    <row r="31" spans="1:13" s="1198" customFormat="1" ht="9.4" customHeight="1">
      <c r="B31" s="1203"/>
      <c r="C31" s="1202"/>
      <c r="D31" s="1196"/>
      <c r="E31" s="1196"/>
    </row>
    <row r="32" spans="1:13" s="1198" customFormat="1" ht="12.2" customHeight="1">
      <c r="B32" s="1201" t="s">
        <v>2032</v>
      </c>
      <c r="C32" s="1202" t="s">
        <v>1542</v>
      </c>
      <c r="D32" s="1196"/>
      <c r="E32" s="1196"/>
    </row>
    <row r="33" spans="1:8" s="1198" customFormat="1" ht="10.9" customHeight="1">
      <c r="B33" s="1203"/>
      <c r="C33" s="1206" t="s">
        <v>1674</v>
      </c>
      <c r="D33" s="1196"/>
      <c r="E33" s="1196"/>
    </row>
    <row r="34" spans="1:8" ht="9.4" customHeight="1">
      <c r="B34" s="1203"/>
      <c r="C34" s="1206"/>
    </row>
    <row r="35" spans="1:8" s="1198" customFormat="1" ht="13.5" customHeight="1">
      <c r="B35" s="1201" t="s">
        <v>2032</v>
      </c>
      <c r="C35" s="1202" t="s">
        <v>1543</v>
      </c>
    </row>
    <row r="36" spans="1:8" s="1198" customFormat="1" ht="10.9" customHeight="1">
      <c r="B36" s="1203"/>
      <c r="C36" s="1206" t="s">
        <v>1544</v>
      </c>
    </row>
    <row r="37" spans="1:8" ht="9.4" customHeight="1">
      <c r="B37" s="1203"/>
      <c r="C37" s="1206"/>
    </row>
    <row r="38" spans="1:8" s="1198" customFormat="1" ht="12.2" customHeight="1">
      <c r="B38" s="1201" t="s">
        <v>2032</v>
      </c>
      <c r="C38" s="1202" t="s">
        <v>1545</v>
      </c>
    </row>
    <row r="39" spans="1:8" ht="9.4" customHeight="1">
      <c r="B39" s="1203"/>
      <c r="C39" s="1206"/>
    </row>
    <row r="40" spans="1:8" s="1198" customFormat="1" ht="13.5" customHeight="1">
      <c r="B40" s="1201" t="s">
        <v>2032</v>
      </c>
      <c r="C40" s="1202" t="s">
        <v>1546</v>
      </c>
    </row>
    <row r="41" spans="1:8" ht="9.4" customHeight="1">
      <c r="A41" s="1207"/>
      <c r="B41" s="1203"/>
      <c r="C41" s="1206"/>
    </row>
    <row r="42" spans="1:8" s="1198" customFormat="1" ht="13.5" customHeight="1">
      <c r="B42" s="1201" t="s">
        <v>2032</v>
      </c>
      <c r="C42" s="1202" t="s">
        <v>1798</v>
      </c>
      <c r="D42" s="1196"/>
      <c r="E42" s="1196"/>
      <c r="F42" s="1196"/>
      <c r="G42" s="1196"/>
      <c r="H42" s="1196"/>
    </row>
    <row r="43" spans="1:8" s="1198" customFormat="1" ht="13.1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1547</v>
      </c>
      <c r="D46" s="1196"/>
      <c r="E46" s="1196"/>
      <c r="F46" s="1196"/>
      <c r="G46" s="1196"/>
      <c r="H46" s="1196"/>
    </row>
    <row r="47" spans="1:8" ht="9.4" customHeight="1"/>
    <row r="48" spans="1:8" ht="12.2" customHeight="1">
      <c r="B48" s="1869"/>
      <c r="C48" s="1210" t="s">
        <v>1548</v>
      </c>
    </row>
    <row r="49" spans="1:12" ht="9.4"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3.15" customHeight="1"/>
    <row r="59" spans="1:12" ht="36" customHeight="1">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3" zoomScale="125" zoomScaleNormal="125" workbookViewId="0">
      <selection activeCell="D140" sqref="D140"/>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33" t="str">
        <f>'Single Audit Cover'!A7</f>
        <v>Dixon USD 170</v>
      </c>
      <c r="B1" s="2429"/>
      <c r="C1" s="2429"/>
      <c r="D1" s="2429"/>
    </row>
    <row r="2" spans="1:11" s="1212" customFormat="1" ht="12.75">
      <c r="A2" s="2434">
        <f>'Single Audit Cover'!E7</f>
        <v>47052170022</v>
      </c>
      <c r="B2" s="2435"/>
      <c r="C2" s="2435"/>
      <c r="D2" s="2435"/>
    </row>
    <row r="3" spans="1:11" s="1212" customFormat="1" ht="12.75">
      <c r="A3" s="2433" t="s">
        <v>1492</v>
      </c>
      <c r="B3" s="2429"/>
      <c r="C3" s="2429"/>
      <c r="D3" s="2429"/>
    </row>
    <row r="4" spans="1:11" s="1212" customFormat="1" ht="4.5" customHeight="1">
      <c r="A4" s="1213"/>
      <c r="B4" s="1214"/>
      <c r="C4" s="1214"/>
      <c r="D4" s="1214"/>
    </row>
    <row r="5" spans="1:11">
      <c r="B5" s="1216" t="s">
        <v>1493</v>
      </c>
      <c r="C5" s="1217"/>
      <c r="D5" s="1218"/>
    </row>
    <row r="6" spans="1:11">
      <c r="B6" s="1216" t="s">
        <v>1225</v>
      </c>
      <c r="C6" s="1217"/>
      <c r="D6" s="1218"/>
    </row>
    <row r="7" spans="1:11">
      <c r="B7" s="1216" t="s">
        <v>1494</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2032</v>
      </c>
      <c r="C11" s="1223">
        <v>1</v>
      </c>
      <c r="D11" s="1224" t="s">
        <v>1675</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2032</v>
      </c>
      <c r="C13" s="1223">
        <f>C11+1</f>
        <v>2</v>
      </c>
      <c r="D13" s="1227" t="s">
        <v>1676</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2032</v>
      </c>
      <c r="C15" s="1223">
        <f>C13+1</f>
        <v>3</v>
      </c>
      <c r="D15" s="1224" t="s">
        <v>1677</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2032</v>
      </c>
      <c r="C18" s="1223">
        <f>C15+1</f>
        <v>4</v>
      </c>
      <c r="D18" s="1230" t="s">
        <v>1678</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2032</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2032</v>
      </c>
      <c r="C24" s="1223">
        <f>C21+1</f>
        <v>6</v>
      </c>
      <c r="D24" s="1231" t="s">
        <v>1699</v>
      </c>
      <c r="E24" s="1225"/>
      <c r="F24" s="1225"/>
      <c r="G24" s="1225"/>
      <c r="H24" s="1225"/>
      <c r="I24" s="1225"/>
      <c r="J24" s="1225"/>
      <c r="K24" s="1225"/>
    </row>
    <row r="25" spans="1:11">
      <c r="A25" s="1219"/>
      <c r="B25" s="1228"/>
      <c r="D25" s="1227" t="s">
        <v>1679</v>
      </c>
      <c r="E25" s="1225"/>
      <c r="F25" s="1225"/>
      <c r="G25" s="1225"/>
      <c r="H25" s="1225"/>
      <c r="I25" s="1225"/>
      <c r="J25" s="1225"/>
      <c r="K25" s="1225"/>
    </row>
    <row r="26" spans="1:11">
      <c r="A26" s="1219"/>
      <c r="B26" s="1228"/>
      <c r="D26" s="1232" t="s">
        <v>1680</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2032</v>
      </c>
      <c r="C28" s="1229">
        <f>C24+1</f>
        <v>7</v>
      </c>
      <c r="D28" s="1232" t="s">
        <v>1549</v>
      </c>
      <c r="E28" s="1225"/>
      <c r="F28" s="1225"/>
      <c r="G28" s="1225"/>
      <c r="H28" s="1225"/>
      <c r="I28" s="1225"/>
      <c r="J28" s="1225"/>
      <c r="K28" s="1225"/>
    </row>
    <row r="29" spans="1:11" ht="10.5" customHeight="1">
      <c r="A29" s="1219"/>
      <c r="D29" s="1233" t="s">
        <v>1550</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2032</v>
      </c>
      <c r="C33" s="1223">
        <v>8</v>
      </c>
      <c r="D33" s="1234" t="s">
        <v>1218</v>
      </c>
    </row>
    <row r="34" spans="1:5" ht="10.5" customHeight="1">
      <c r="A34" s="1219"/>
      <c r="B34" s="1235"/>
      <c r="C34" s="1223"/>
      <c r="D34" s="1234" t="s">
        <v>1551</v>
      </c>
    </row>
    <row r="35" spans="1:5" ht="3" customHeight="1">
      <c r="A35" s="1219"/>
      <c r="B35" s="1228"/>
      <c r="D35" s="1218"/>
    </row>
    <row r="36" spans="1:5">
      <c r="A36" s="1219"/>
      <c r="B36" s="1222" t="s">
        <v>2032</v>
      </c>
      <c r="C36" s="1223">
        <f>C33+1</f>
        <v>9</v>
      </c>
      <c r="D36" s="1234" t="s">
        <v>1217</v>
      </c>
    </row>
    <row r="37" spans="1:5" ht="10.5" customHeight="1">
      <c r="A37" s="1219"/>
      <c r="B37" s="1228"/>
      <c r="D37" s="1234" t="s">
        <v>1551</v>
      </c>
    </row>
    <row r="38" spans="1:5" ht="3" customHeight="1">
      <c r="A38" s="1219"/>
      <c r="B38" s="1236"/>
      <c r="C38" s="1237"/>
      <c r="D38" s="1218"/>
    </row>
    <row r="39" spans="1:5">
      <c r="A39" s="1219"/>
      <c r="B39" s="1238" t="s">
        <v>2032</v>
      </c>
      <c r="C39" s="1229">
        <f>C36+1</f>
        <v>10</v>
      </c>
      <c r="D39" s="1218" t="s">
        <v>1216</v>
      </c>
    </row>
    <row r="40" spans="1:5" ht="10.5" customHeight="1">
      <c r="A40" s="1219"/>
      <c r="B40" s="1239"/>
      <c r="C40" s="1237"/>
      <c r="D40" s="1218" t="s">
        <v>1552</v>
      </c>
    </row>
    <row r="41" spans="1:5" ht="3" customHeight="1">
      <c r="A41" s="1219"/>
      <c r="B41" s="1236"/>
      <c r="C41" s="1237"/>
      <c r="D41" s="1218"/>
    </row>
    <row r="42" spans="1:5" ht="10.5" customHeight="1">
      <c r="A42" s="1219"/>
      <c r="B42" s="1238" t="s">
        <v>2032</v>
      </c>
      <c r="C42" s="1229">
        <v>11</v>
      </c>
      <c r="D42" s="1240" t="s">
        <v>1553</v>
      </c>
      <c r="E42" s="312"/>
    </row>
    <row r="43" spans="1:5" ht="3" customHeight="1">
      <c r="A43" s="1219"/>
      <c r="B43" s="1236"/>
      <c r="C43" s="1237"/>
      <c r="D43" s="1218"/>
    </row>
    <row r="44" spans="1:5">
      <c r="A44" s="1219"/>
      <c r="B44" s="1222" t="s">
        <v>2032</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2032</v>
      </c>
      <c r="C48" s="1223">
        <f>C44+1</f>
        <v>13</v>
      </c>
      <c r="D48" s="1234" t="s">
        <v>1554</v>
      </c>
    </row>
    <row r="49" spans="1:4" ht="3" customHeight="1">
      <c r="A49" s="1219"/>
      <c r="B49" s="1226"/>
      <c r="C49" s="1223"/>
      <c r="D49" s="1234"/>
    </row>
    <row r="50" spans="1:4">
      <c r="A50" s="1219"/>
      <c r="B50" s="1222" t="s">
        <v>2032</v>
      </c>
      <c r="C50" s="1223">
        <f>C48+1</f>
        <v>14</v>
      </c>
      <c r="D50" s="1234" t="s">
        <v>1212</v>
      </c>
    </row>
    <row r="51" spans="1:4" ht="3" customHeight="1">
      <c r="A51" s="1219"/>
      <c r="B51" s="1226"/>
      <c r="C51" s="1223"/>
      <c r="D51" s="1234"/>
    </row>
    <row r="52" spans="1:4">
      <c r="A52" s="1219"/>
      <c r="B52" s="1222" t="s">
        <v>2032</v>
      </c>
      <c r="C52" s="1223">
        <f>C50+1</f>
        <v>15</v>
      </c>
      <c r="D52" s="1234" t="s">
        <v>1211</v>
      </c>
    </row>
    <row r="53" spans="1:4" ht="3" customHeight="1">
      <c r="A53" s="1219"/>
      <c r="B53" s="1226"/>
      <c r="C53" s="1223"/>
      <c r="D53" s="1234"/>
    </row>
    <row r="54" spans="1:4">
      <c r="A54" s="1219"/>
      <c r="B54" s="1222" t="s">
        <v>2032</v>
      </c>
      <c r="C54" s="1223">
        <f>C52+1</f>
        <v>16</v>
      </c>
      <c r="D54" s="1234" t="s">
        <v>1210</v>
      </c>
    </row>
    <row r="55" spans="1:4" ht="3" customHeight="1">
      <c r="A55" s="1219"/>
      <c r="B55" s="1226"/>
      <c r="C55" s="1223"/>
      <c r="D55" s="1234"/>
    </row>
    <row r="56" spans="1:4">
      <c r="A56" s="1219"/>
      <c r="B56" s="1222" t="s">
        <v>2032</v>
      </c>
      <c r="C56" s="1223">
        <f>C54+1</f>
        <v>17</v>
      </c>
      <c r="D56" s="1218" t="s">
        <v>1681</v>
      </c>
    </row>
    <row r="57" spans="1:4" ht="10.5" customHeight="1">
      <c r="A57" s="1219"/>
      <c r="D57" s="1234" t="s">
        <v>1682</v>
      </c>
    </row>
    <row r="58" spans="1:4">
      <c r="A58" s="1219"/>
      <c r="C58" s="1241" t="s">
        <v>2032</v>
      </c>
      <c r="D58" s="1234" t="s">
        <v>1683</v>
      </c>
    </row>
    <row r="59" spans="1:4" ht="10.5" customHeight="1">
      <c r="A59" s="1219"/>
      <c r="D59" s="1218" t="s">
        <v>1209</v>
      </c>
    </row>
    <row r="60" spans="1:4" ht="10.5" customHeight="1">
      <c r="A60" s="1219"/>
      <c r="D60" s="1242" t="s">
        <v>1572</v>
      </c>
    </row>
    <row r="61" spans="1:4" ht="10.5" customHeight="1">
      <c r="A61" s="1219"/>
      <c r="C61" s="1241" t="s">
        <v>2032</v>
      </c>
      <c r="D61" s="1234" t="s">
        <v>1684</v>
      </c>
    </row>
    <row r="62" spans="1:4" ht="10.5" customHeight="1">
      <c r="A62" s="1219"/>
      <c r="D62" s="1243" t="s">
        <v>1208</v>
      </c>
    </row>
    <row r="63" spans="1:4" ht="10.5" customHeight="1">
      <c r="A63" s="1219"/>
      <c r="D63" s="1218" t="s">
        <v>1555</v>
      </c>
    </row>
    <row r="64" spans="1:4" ht="10.5" customHeight="1">
      <c r="A64" s="1219"/>
      <c r="D64" s="1242" t="s">
        <v>1571</v>
      </c>
    </row>
    <row r="65" spans="1:4">
      <c r="A65" s="1219"/>
      <c r="C65" s="1241" t="s">
        <v>2032</v>
      </c>
      <c r="D65" s="1234" t="s">
        <v>1685</v>
      </c>
    </row>
    <row r="66" spans="1:4" ht="10.5" customHeight="1">
      <c r="A66" s="1219"/>
      <c r="D66" s="1244" t="s">
        <v>1207</v>
      </c>
    </row>
    <row r="67" spans="1:4" ht="10.5" customHeight="1">
      <c r="A67" s="1219"/>
      <c r="D67" s="1218" t="s">
        <v>1556</v>
      </c>
    </row>
    <row r="68" spans="1:4" ht="10.5" customHeight="1">
      <c r="A68" s="1219"/>
      <c r="D68" s="1242" t="s">
        <v>1571</v>
      </c>
    </row>
    <row r="69" spans="1:4" ht="10.5" customHeight="1">
      <c r="A69" s="1219"/>
      <c r="C69" s="1241" t="s">
        <v>2032</v>
      </c>
      <c r="D69" s="1234" t="s">
        <v>1686</v>
      </c>
    </row>
    <row r="70" spans="1:4">
      <c r="A70" s="1219"/>
      <c r="D70" s="1243" t="s">
        <v>1206</v>
      </c>
    </row>
    <row r="71" spans="1:4" ht="3" customHeight="1">
      <c r="A71" s="1219"/>
      <c r="D71" s="1218"/>
    </row>
    <row r="72" spans="1:4">
      <c r="A72" s="1219"/>
      <c r="B72" s="1222" t="s">
        <v>2032</v>
      </c>
      <c r="C72" s="1223">
        <f>C56+1</f>
        <v>18</v>
      </c>
      <c r="D72" s="1244" t="s">
        <v>1687</v>
      </c>
    </row>
    <row r="73" spans="1:4" ht="3" customHeight="1">
      <c r="A73" s="1219"/>
      <c r="B73" s="1226"/>
      <c r="C73" s="1223"/>
      <c r="D73" s="1244"/>
    </row>
    <row r="74" spans="1:4">
      <c r="A74" s="1219"/>
      <c r="B74" s="1222" t="s">
        <v>2032</v>
      </c>
      <c r="C74" s="1223">
        <f>C72+1</f>
        <v>19</v>
      </c>
      <c r="D74" s="1234" t="s">
        <v>1205</v>
      </c>
    </row>
    <row r="75" spans="1:4" ht="3" customHeight="1">
      <c r="A75" s="1219"/>
      <c r="B75" s="1226"/>
      <c r="C75" s="1223"/>
      <c r="D75" s="1234"/>
    </row>
    <row r="76" spans="1:4">
      <c r="A76" s="1219"/>
      <c r="B76" s="1222" t="s">
        <v>2032</v>
      </c>
      <c r="C76" s="1223">
        <f>C74+1</f>
        <v>20</v>
      </c>
      <c r="D76" s="1245" t="s">
        <v>1688</v>
      </c>
    </row>
    <row r="77" spans="1:4" ht="3" customHeight="1">
      <c r="A77" s="1219"/>
      <c r="B77" s="1226"/>
      <c r="C77" s="1223"/>
      <c r="D77" s="1245"/>
    </row>
    <row r="78" spans="1:4">
      <c r="A78" s="1219"/>
      <c r="B78" s="1222" t="s">
        <v>2032</v>
      </c>
      <c r="C78" s="1223">
        <f>C76+1</f>
        <v>21</v>
      </c>
      <c r="D78" s="1218" t="s">
        <v>1689</v>
      </c>
    </row>
    <row r="79" spans="1:4" ht="3" customHeight="1">
      <c r="A79" s="1219"/>
      <c r="B79" s="1226"/>
      <c r="C79" s="1223"/>
      <c r="D79" s="1218"/>
    </row>
    <row r="80" spans="1:4">
      <c r="A80" s="1219"/>
      <c r="B80" s="1222" t="s">
        <v>2032</v>
      </c>
      <c r="C80" s="1223">
        <f>C78+1</f>
        <v>22</v>
      </c>
      <c r="D80" s="1246" t="s">
        <v>1690</v>
      </c>
    </row>
    <row r="81" spans="1:4" ht="3" customHeight="1">
      <c r="A81" s="1219"/>
      <c r="B81" s="1226"/>
      <c r="C81" s="1223"/>
      <c r="D81" s="1246"/>
    </row>
    <row r="82" spans="1:4">
      <c r="A82" s="1219"/>
      <c r="B82" s="1222" t="s">
        <v>2032</v>
      </c>
      <c r="C82" s="1223">
        <f>C80+1</f>
        <v>23</v>
      </c>
      <c r="D82" s="1245" t="s">
        <v>1691</v>
      </c>
    </row>
    <row r="83" spans="1:4" ht="10.5" customHeight="1">
      <c r="A83" s="1219"/>
      <c r="B83" s="1228"/>
      <c r="D83" s="1234" t="s">
        <v>1204</v>
      </c>
    </row>
    <row r="84" spans="1:4" ht="3" customHeight="1">
      <c r="A84" s="1219"/>
      <c r="B84" s="1228"/>
      <c r="D84" s="1234"/>
    </row>
    <row r="85" spans="1:4">
      <c r="A85" s="1219"/>
      <c r="B85" s="1222" t="s">
        <v>2032</v>
      </c>
      <c r="C85" s="1223">
        <f>C82+1</f>
        <v>24</v>
      </c>
      <c r="D85" s="1234" t="s">
        <v>1203</v>
      </c>
    </row>
    <row r="86" spans="1:4" ht="3" customHeight="1">
      <c r="A86" s="1219"/>
      <c r="B86" s="1226"/>
      <c r="C86" s="1223"/>
      <c r="D86" s="1234"/>
    </row>
    <row r="87" spans="1:4">
      <c r="A87" s="1219"/>
      <c r="B87" s="1222" t="s">
        <v>2032</v>
      </c>
      <c r="C87" s="1223">
        <f>C85+1</f>
        <v>25</v>
      </c>
      <c r="D87" s="1234" t="s">
        <v>1202</v>
      </c>
    </row>
    <row r="88" spans="1:4" ht="3" customHeight="1">
      <c r="A88" s="1219"/>
      <c r="B88" s="1226"/>
      <c r="C88" s="1223"/>
      <c r="D88" s="1234"/>
    </row>
    <row r="89" spans="1:4">
      <c r="A89" s="1219"/>
      <c r="B89" s="1222" t="s">
        <v>2032</v>
      </c>
      <c r="C89" s="1223">
        <f>C87+1</f>
        <v>26</v>
      </c>
      <c r="D89" s="1234" t="s">
        <v>1201</v>
      </c>
    </row>
    <row r="90" spans="1:4" ht="3" customHeight="1">
      <c r="A90" s="1219"/>
      <c r="B90" s="1226"/>
      <c r="C90" s="1223"/>
      <c r="D90" s="1234"/>
    </row>
    <row r="91" spans="1:4">
      <c r="A91" s="1219"/>
      <c r="B91" s="1222" t="s">
        <v>2063</v>
      </c>
      <c r="C91" s="1223">
        <f>C89+1</f>
        <v>27</v>
      </c>
      <c r="D91" s="1234" t="s">
        <v>1692</v>
      </c>
    </row>
    <row r="92" spans="1:4">
      <c r="A92" s="1219"/>
      <c r="B92" s="1247"/>
      <c r="C92" s="1241"/>
      <c r="D92" s="1234" t="s">
        <v>1200</v>
      </c>
    </row>
    <row r="93" spans="1:4" ht="4.5" customHeight="1">
      <c r="A93" s="1219"/>
      <c r="D93" s="1218"/>
    </row>
    <row r="94" spans="1:4">
      <c r="A94" s="1219"/>
      <c r="B94" s="1220" t="s">
        <v>1557</v>
      </c>
      <c r="C94" s="1221"/>
      <c r="D94" s="1218"/>
    </row>
    <row r="95" spans="1:4" ht="4.5" customHeight="1">
      <c r="A95" s="1219"/>
      <c r="B95" s="1220"/>
      <c r="C95" s="1221"/>
      <c r="D95" s="1218"/>
    </row>
    <row r="96" spans="1:4">
      <c r="A96" s="1219"/>
      <c r="B96" s="1222" t="s">
        <v>2032</v>
      </c>
      <c r="C96" s="1223">
        <f>C91+1</f>
        <v>28</v>
      </c>
      <c r="D96" s="1234" t="s">
        <v>1693</v>
      </c>
    </row>
    <row r="97" spans="1:4" ht="3" customHeight="1">
      <c r="A97" s="1219"/>
      <c r="B97" s="1226"/>
      <c r="C97" s="1223"/>
      <c r="D97" s="1234"/>
    </row>
    <row r="98" spans="1:4">
      <c r="A98" s="1219"/>
      <c r="B98" s="1222" t="s">
        <v>2032</v>
      </c>
      <c r="C98" s="1223">
        <f>C96+1</f>
        <v>29</v>
      </c>
      <c r="D98" s="1248" t="s">
        <v>1694</v>
      </c>
    </row>
    <row r="99" spans="1:4" ht="3" customHeight="1">
      <c r="A99" s="1219"/>
      <c r="B99" s="1226"/>
      <c r="C99" s="1223"/>
      <c r="D99" s="1248"/>
    </row>
    <row r="100" spans="1:4">
      <c r="A100" s="1219"/>
      <c r="B100" s="1222" t="s">
        <v>2032</v>
      </c>
      <c r="C100" s="1223">
        <f>C98+1</f>
        <v>30</v>
      </c>
      <c r="D100" s="1234" t="s">
        <v>1695</v>
      </c>
    </row>
    <row r="101" spans="1:4" ht="3" customHeight="1">
      <c r="A101" s="1219"/>
      <c r="B101" s="1226"/>
      <c r="C101" s="1223"/>
      <c r="D101" s="1249"/>
    </row>
    <row r="102" spans="1:4">
      <c r="A102" s="1219"/>
      <c r="B102" s="1222" t="s">
        <v>2032</v>
      </c>
      <c r="C102" s="1223">
        <f>C100+1</f>
        <v>31</v>
      </c>
      <c r="D102" s="1234" t="s">
        <v>1558</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2032</v>
      </c>
      <c r="C106" s="1223">
        <f>C102+1</f>
        <v>32</v>
      </c>
      <c r="D106" s="1218" t="s">
        <v>1559</v>
      </c>
    </row>
    <row r="107" spans="1:4" ht="3" customHeight="1">
      <c r="A107" s="1219"/>
      <c r="B107" s="1226"/>
      <c r="C107" s="1223"/>
      <c r="D107" s="1218"/>
    </row>
    <row r="108" spans="1:4">
      <c r="A108" s="1219"/>
      <c r="B108" s="1222" t="s">
        <v>2032</v>
      </c>
      <c r="C108" s="1223">
        <v>33</v>
      </c>
      <c r="D108" s="1218" t="s">
        <v>1696</v>
      </c>
    </row>
    <row r="109" spans="1:4" ht="3" customHeight="1">
      <c r="A109" s="1219"/>
      <c r="B109" s="1226"/>
      <c r="C109" s="1223"/>
      <c r="D109" s="1218"/>
    </row>
    <row r="110" spans="1:4">
      <c r="A110" s="1219"/>
      <c r="B110" s="1222" t="s">
        <v>2063</v>
      </c>
      <c r="C110" s="1223">
        <f>C108+1</f>
        <v>34</v>
      </c>
      <c r="D110" s="1218" t="s">
        <v>1198</v>
      </c>
    </row>
    <row r="111" spans="1:4" ht="3" customHeight="1">
      <c r="A111" s="1219"/>
      <c r="B111" s="1226"/>
      <c r="C111" s="1223"/>
      <c r="D111" s="1218"/>
    </row>
    <row r="112" spans="1:4">
      <c r="A112" s="1219"/>
      <c r="B112" s="1222" t="s">
        <v>2063</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2063</v>
      </c>
      <c r="C115" s="1223">
        <f>C112+1</f>
        <v>36</v>
      </c>
      <c r="D115" s="1234" t="s">
        <v>1195</v>
      </c>
    </row>
    <row r="116" spans="1:4" ht="3" customHeight="1">
      <c r="A116" s="1219"/>
      <c r="B116" s="1226"/>
      <c r="C116" s="1223"/>
      <c r="D116" s="1234"/>
    </row>
    <row r="117" spans="1:4">
      <c r="A117" s="1219"/>
      <c r="B117" s="1222" t="s">
        <v>2063</v>
      </c>
      <c r="C117" s="1223">
        <f>C115+1</f>
        <v>37</v>
      </c>
      <c r="D117" s="1234" t="s">
        <v>1697</v>
      </c>
    </row>
    <row r="118" spans="1:4" ht="3" customHeight="1">
      <c r="A118" s="1219"/>
      <c r="B118" s="1226"/>
      <c r="C118" s="1223"/>
      <c r="D118" s="1234"/>
    </row>
    <row r="119" spans="1:4">
      <c r="A119" s="1219"/>
      <c r="B119" s="1222" t="s">
        <v>2063</v>
      </c>
      <c r="C119" s="1223">
        <f>C117+1</f>
        <v>38</v>
      </c>
      <c r="D119" s="1234" t="s">
        <v>1698</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2032</v>
      </c>
      <c r="C123" s="1223">
        <f>C119+1</f>
        <v>39</v>
      </c>
      <c r="D123" s="1244" t="s">
        <v>1799</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8" zoomScale="110" zoomScaleNormal="110" zoomScaleSheetLayoutView="100" workbookViewId="0">
      <selection activeCell="T15" sqref="T15:AA15"/>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37" t="str">
        <f>'Single Audit Cover'!A7</f>
        <v>Dixon USD 170</v>
      </c>
      <c r="B1" s="2437"/>
      <c r="C1" s="2437"/>
      <c r="D1" s="2437"/>
      <c r="E1" s="2437"/>
    </row>
    <row r="2" spans="1:5">
      <c r="A2" s="2438">
        <f>'Single Audit Cover'!E7</f>
        <v>47052170022</v>
      </c>
      <c r="B2" s="2438"/>
      <c r="C2" s="2438"/>
      <c r="D2" s="2438"/>
      <c r="E2" s="2438"/>
    </row>
    <row r="3" spans="1:5" ht="4.5" customHeight="1"/>
    <row r="4" spans="1:5">
      <c r="A4" s="2437" t="s">
        <v>1245</v>
      </c>
      <c r="B4" s="2437"/>
      <c r="C4" s="2437"/>
      <c r="D4" s="2437"/>
      <c r="E4" s="2437"/>
    </row>
    <row r="5" spans="1:5">
      <c r="A5" s="2440" t="str">
        <f>'Single Audit Cover'!A4</f>
        <v>Year Ending June 30, 2019</v>
      </c>
      <c r="B5" s="2440"/>
      <c r="C5" s="2440"/>
      <c r="D5" s="2440"/>
      <c r="E5" s="2440"/>
    </row>
    <row r="6" spans="1:5">
      <c r="A6" s="2437" t="s">
        <v>1244</v>
      </c>
      <c r="B6" s="2437"/>
      <c r="C6" s="2437"/>
      <c r="D6" s="2437"/>
      <c r="E6" s="2437"/>
    </row>
    <row r="8" spans="1:5">
      <c r="A8" s="1257" t="s">
        <v>1243</v>
      </c>
    </row>
    <row r="10" spans="1:5">
      <c r="A10" s="1258" t="s">
        <v>1242</v>
      </c>
      <c r="B10" s="1259" t="s">
        <v>1241</v>
      </c>
      <c r="C10" s="1259"/>
      <c r="D10" s="1260">
        <f>SUM('Acct Summary 7-8'!C7:K7)</f>
        <v>1679619</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1700</v>
      </c>
      <c r="B14" s="1259"/>
      <c r="C14" s="1259"/>
      <c r="D14" s="1261">
        <f>'ICR Computation 30'!E11</f>
        <v>73597</v>
      </c>
    </row>
    <row r="15" spans="1:5">
      <c r="A15" s="1258"/>
      <c r="B15" s="1259"/>
      <c r="C15" s="1259"/>
    </row>
    <row r="16" spans="1:5">
      <c r="A16" s="1258" t="s">
        <v>1804</v>
      </c>
      <c r="B16" s="1259"/>
      <c r="C16" s="1259"/>
    </row>
    <row r="17" spans="1:4">
      <c r="A17" s="1258" t="s">
        <v>2021</v>
      </c>
      <c r="B17" s="1259" t="s">
        <v>1236</v>
      </c>
      <c r="C17" s="1259"/>
      <c r="D17" s="1261">
        <f>-SUM('Revenues 9-14'!C264:D264,'Revenues 9-14'!F264:G264)</f>
        <v>-171772</v>
      </c>
    </row>
    <row r="19" spans="1:4" ht="13.5" thickBot="1">
      <c r="A19" s="1262" t="s">
        <v>1235</v>
      </c>
      <c r="D19" s="1263">
        <f>SUM(D10:D17)</f>
        <v>1581444</v>
      </c>
    </row>
    <row r="20" spans="1:4" ht="21.75" customHeight="1" thickTop="1"/>
    <row r="21" spans="1:4">
      <c r="A21" s="1257" t="s">
        <v>1234</v>
      </c>
    </row>
    <row r="22" spans="1:4" ht="8.25" customHeight="1"/>
    <row r="23" spans="1:4">
      <c r="A23" s="1264" t="s">
        <v>1228</v>
      </c>
    </row>
    <row r="24" spans="1:4">
      <c r="A24" s="2439"/>
      <c r="B24" s="2439"/>
      <c r="D24" s="1265"/>
    </row>
    <row r="25" spans="1:4">
      <c r="A25" s="2436"/>
      <c r="B25" s="2436"/>
      <c r="D25" s="1265"/>
    </row>
    <row r="26" spans="1:4">
      <c r="A26" s="2436"/>
      <c r="B26" s="2436"/>
      <c r="D26" s="1265"/>
    </row>
    <row r="27" spans="1:4">
      <c r="A27" s="2436"/>
      <c r="B27" s="2436"/>
      <c r="D27" s="1265"/>
    </row>
    <row r="28" spans="1:4">
      <c r="A28" s="2436"/>
      <c r="B28" s="2436"/>
      <c r="D28" s="1265"/>
    </row>
    <row r="29" spans="1:4">
      <c r="A29" s="2436"/>
      <c r="B29" s="2436"/>
      <c r="D29" s="1265"/>
    </row>
    <row r="30" spans="1:4">
      <c r="A30" s="2436"/>
      <c r="B30" s="2436"/>
      <c r="D30" s="1265"/>
    </row>
    <row r="32" spans="1:4">
      <c r="A32" s="1257" t="s">
        <v>1233</v>
      </c>
      <c r="D32" s="1260">
        <f>SUM(D19:D30)</f>
        <v>1581444</v>
      </c>
    </row>
    <row r="33" spans="1:4">
      <c r="D33" s="1266"/>
    </row>
    <row r="34" spans="1:4">
      <c r="A34" s="317" t="s">
        <v>1232</v>
      </c>
    </row>
    <row r="35" spans="1:4">
      <c r="A35" s="317" t="s">
        <v>1231</v>
      </c>
      <c r="B35" s="1255" t="s">
        <v>1230</v>
      </c>
      <c r="D35" s="1267">
        <f>'SEFA-1'!G60</f>
        <v>1583399</v>
      </c>
    </row>
    <row r="37" spans="1:4">
      <c r="A37" s="1257" t="s">
        <v>1229</v>
      </c>
    </row>
    <row r="39" spans="1:4" ht="13.35" customHeight="1">
      <c r="A39" s="1264" t="s">
        <v>1228</v>
      </c>
    </row>
    <row r="40" spans="1:4">
      <c r="A40" s="2436" t="s">
        <v>2064</v>
      </c>
      <c r="B40" s="2436"/>
      <c r="D40" s="1265">
        <v>-1955</v>
      </c>
    </row>
    <row r="41" spans="1:4">
      <c r="A41" s="2436"/>
      <c r="B41" s="2436"/>
      <c r="D41" s="1268"/>
    </row>
    <row r="42" spans="1:4">
      <c r="A42" s="2436"/>
      <c r="B42" s="2436"/>
      <c r="D42" s="1268"/>
    </row>
    <row r="43" spans="1:4">
      <c r="A43" s="2436"/>
      <c r="B43" s="2436"/>
      <c r="D43" s="1268"/>
    </row>
    <row r="44" spans="1:4">
      <c r="A44" s="2436"/>
      <c r="B44" s="2436"/>
      <c r="D44" s="1268"/>
    </row>
    <row r="45" spans="1:4">
      <c r="A45" s="2436"/>
      <c r="B45" s="2436"/>
      <c r="D45" s="1268"/>
    </row>
    <row r="47" spans="1:4">
      <c r="B47" s="1269" t="s">
        <v>1227</v>
      </c>
      <c r="C47" s="1269"/>
      <c r="D47" s="1270">
        <f>SUM(D35:D45)</f>
        <v>1581444</v>
      </c>
    </row>
    <row r="49" spans="2:4">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4FFE-7FD3-4D65-9339-0C2E1C79BC3B}">
  <dimension ref="A1:O60"/>
  <sheetViews>
    <sheetView zoomScaleNormal="100" workbookViewId="0">
      <pane ySplit="9" topLeftCell="A52" activePane="bottomLeft" state="frozen"/>
      <selection activeCell="T15" sqref="T15:AA15"/>
      <selection pane="bottomLeft" activeCell="T15" sqref="T15:AA15"/>
    </sheetView>
  </sheetViews>
  <sheetFormatPr defaultRowHeight="12.75"/>
  <cols>
    <col min="3" max="3" width="30.7109375" bestFit="1" customWidth="1"/>
    <col min="4" max="4" width="9.28515625" bestFit="1" customWidth="1"/>
    <col min="5" max="5" width="13" bestFit="1" customWidth="1"/>
    <col min="8" max="8" width="12.28515625" bestFit="1" customWidth="1"/>
    <col min="9" max="9" width="13.7109375" bestFit="1" customWidth="1"/>
    <col min="10" max="10" width="12.28515625" bestFit="1" customWidth="1"/>
    <col min="11" max="11" width="13.7109375" bestFit="1" customWidth="1"/>
    <col min="12" max="12" width="9.7109375" bestFit="1" customWidth="1"/>
    <col min="13" max="13" width="9.85546875" bestFit="1" customWidth="1"/>
  </cols>
  <sheetData>
    <row r="1" spans="1:15">
      <c r="A1" s="1901"/>
      <c r="B1" s="1902"/>
      <c r="C1" s="1902"/>
      <c r="D1" s="1902"/>
      <c r="E1" s="1902"/>
      <c r="F1" s="1902"/>
      <c r="G1" s="1902"/>
      <c r="H1" s="1902"/>
      <c r="I1" s="1902"/>
      <c r="J1" s="1902"/>
      <c r="K1" s="1902"/>
      <c r="L1" s="1902"/>
      <c r="M1" s="1902"/>
      <c r="N1" s="1902"/>
      <c r="O1" s="1872"/>
    </row>
    <row r="2" spans="1:15">
      <c r="A2" s="2441" t="s">
        <v>2095</v>
      </c>
      <c r="B2" s="2441"/>
      <c r="C2" s="2441"/>
      <c r="D2" s="2441"/>
      <c r="E2" s="2441"/>
      <c r="F2" s="2441"/>
      <c r="G2" s="2441"/>
      <c r="H2" s="2441"/>
      <c r="I2" s="2441"/>
      <c r="J2" s="2441"/>
      <c r="K2" s="2441"/>
      <c r="L2" s="2441"/>
      <c r="M2" s="2441"/>
      <c r="N2" s="2441"/>
      <c r="O2" s="1872"/>
    </row>
    <row r="3" spans="1:15">
      <c r="A3" s="2441" t="s">
        <v>2033</v>
      </c>
      <c r="B3" s="2441"/>
      <c r="C3" s="2441"/>
      <c r="D3" s="2441"/>
      <c r="E3" s="2441"/>
      <c r="F3" s="2441"/>
      <c r="G3" s="2441"/>
      <c r="H3" s="2441"/>
      <c r="I3" s="2441"/>
      <c r="J3" s="2441"/>
      <c r="K3" s="2441"/>
      <c r="L3" s="2441"/>
      <c r="M3" s="2441"/>
      <c r="N3" s="2441"/>
      <c r="O3" s="1872"/>
    </row>
    <row r="4" spans="1:15">
      <c r="A4" s="2441" t="s">
        <v>1219</v>
      </c>
      <c r="B4" s="2441"/>
      <c r="C4" s="2441"/>
      <c r="D4" s="2441"/>
      <c r="E4" s="2441"/>
      <c r="F4" s="2441"/>
      <c r="G4" s="2441"/>
      <c r="H4" s="2441"/>
      <c r="I4" s="2441"/>
      <c r="J4" s="2441"/>
      <c r="K4" s="2441"/>
      <c r="L4" s="2441"/>
      <c r="M4" s="2441"/>
      <c r="N4" s="2441"/>
      <c r="O4" s="1872"/>
    </row>
    <row r="5" spans="1:15">
      <c r="A5" s="2441" t="s">
        <v>1949</v>
      </c>
      <c r="B5" s="2441"/>
      <c r="C5" s="2441"/>
      <c r="D5" s="2441"/>
      <c r="E5" s="2441"/>
      <c r="F5" s="2441"/>
      <c r="G5" s="2441"/>
      <c r="H5" s="2441"/>
      <c r="I5" s="2441"/>
      <c r="J5" s="2441"/>
      <c r="K5" s="2441"/>
      <c r="L5" s="2441"/>
      <c r="M5" s="2441"/>
      <c r="N5" s="2441"/>
      <c r="O5" s="1872"/>
    </row>
    <row r="6" spans="1:15" ht="13.5" thickBot="1">
      <c r="A6" s="1903"/>
      <c r="B6" s="1903"/>
      <c r="C6" s="1903"/>
      <c r="D6" s="1903"/>
      <c r="E6" s="1903"/>
      <c r="F6" s="1903"/>
      <c r="G6" s="1903"/>
      <c r="H6" s="1903"/>
      <c r="I6" s="1903"/>
      <c r="J6" s="1903"/>
      <c r="K6" s="1903"/>
      <c r="L6" s="1903"/>
      <c r="M6" s="1903"/>
      <c r="N6" s="1903"/>
      <c r="O6" s="1872"/>
    </row>
    <row r="7" spans="1:15">
      <c r="A7" s="1915"/>
      <c r="B7" s="1915"/>
      <c r="C7" s="1915"/>
      <c r="D7" s="1915"/>
      <c r="E7" s="1915"/>
      <c r="F7" s="2442" t="s">
        <v>2070</v>
      </c>
      <c r="G7" s="2442" t="s">
        <v>2129</v>
      </c>
      <c r="H7" s="1928"/>
      <c r="I7" s="1928" t="s">
        <v>2096</v>
      </c>
      <c r="J7" s="1928"/>
      <c r="K7" s="1933" t="s">
        <v>2096</v>
      </c>
      <c r="L7" s="1915"/>
      <c r="M7" s="1915"/>
      <c r="N7" s="1918"/>
      <c r="O7" s="1872"/>
    </row>
    <row r="8" spans="1:15">
      <c r="A8" s="1916"/>
      <c r="B8" s="1916"/>
      <c r="C8" s="1916"/>
      <c r="D8" s="1929" t="s">
        <v>2097</v>
      </c>
      <c r="E8" s="1916"/>
      <c r="F8" s="2443"/>
      <c r="G8" s="2443"/>
      <c r="H8" s="1929" t="s">
        <v>16</v>
      </c>
      <c r="I8" s="1929" t="s">
        <v>2098</v>
      </c>
      <c r="J8" s="1929" t="s">
        <v>2099</v>
      </c>
      <c r="K8" s="1934" t="s">
        <v>2098</v>
      </c>
      <c r="L8" s="1916"/>
      <c r="M8" s="1916"/>
      <c r="N8" s="1917"/>
      <c r="O8" s="1872"/>
    </row>
    <row r="9" spans="1:15" ht="13.5" thickBot="1">
      <c r="A9" s="1930" t="s">
        <v>2100</v>
      </c>
      <c r="B9" s="1930" t="s">
        <v>2068</v>
      </c>
      <c r="C9" s="1930" t="s">
        <v>2101</v>
      </c>
      <c r="D9" s="1930" t="s">
        <v>2102</v>
      </c>
      <c r="E9" s="1930" t="s">
        <v>2069</v>
      </c>
      <c r="F9" s="2444"/>
      <c r="G9" s="2444"/>
      <c r="H9" s="1930" t="s">
        <v>2103</v>
      </c>
      <c r="I9" s="1930" t="s">
        <v>2103</v>
      </c>
      <c r="J9" s="1930" t="s">
        <v>2130</v>
      </c>
      <c r="K9" s="1935" t="s">
        <v>2130</v>
      </c>
      <c r="L9" s="1930" t="s">
        <v>2071</v>
      </c>
      <c r="M9" s="1930" t="s">
        <v>2072</v>
      </c>
      <c r="N9" s="1931" t="s">
        <v>30</v>
      </c>
      <c r="O9" s="1872"/>
    </row>
    <row r="10" spans="1:15">
      <c r="A10" s="1874" t="s">
        <v>2073</v>
      </c>
      <c r="B10" s="1875"/>
      <c r="C10" s="1902"/>
      <c r="D10" s="1902"/>
      <c r="E10" s="1902"/>
      <c r="F10" s="1902"/>
      <c r="G10" s="1902"/>
      <c r="H10" s="1902"/>
      <c r="I10" s="1902"/>
      <c r="J10" s="1902"/>
      <c r="K10" s="1902"/>
      <c r="L10" s="1902"/>
      <c r="M10" s="1902"/>
      <c r="N10" s="1902"/>
      <c r="O10" s="1872"/>
    </row>
    <row r="11" spans="1:15">
      <c r="A11" s="1875"/>
      <c r="B11" s="1875" t="s">
        <v>2074</v>
      </c>
      <c r="C11" s="1902"/>
      <c r="D11" s="1902"/>
      <c r="E11" s="1902"/>
      <c r="F11" s="1902"/>
      <c r="G11" s="1902"/>
      <c r="H11" s="1902"/>
      <c r="I11" s="1902"/>
      <c r="J11" s="1902"/>
      <c r="K11" s="1902"/>
      <c r="L11" s="1902"/>
      <c r="M11" s="1902"/>
      <c r="N11" s="1902"/>
      <c r="O11" s="1872"/>
    </row>
    <row r="12" spans="1:15">
      <c r="A12" s="1902"/>
      <c r="B12" s="1874" t="s">
        <v>2075</v>
      </c>
      <c r="C12" s="1902"/>
      <c r="D12" s="1902"/>
      <c r="E12" s="1902"/>
      <c r="F12" s="1904"/>
      <c r="G12" s="1904"/>
      <c r="H12" s="1904"/>
      <c r="I12" s="1904"/>
      <c r="J12" s="1904"/>
      <c r="K12" s="1904"/>
      <c r="L12" s="1902"/>
      <c r="M12" s="1902"/>
      <c r="N12" s="1902"/>
      <c r="O12" s="1872"/>
    </row>
    <row r="13" spans="1:15">
      <c r="A13" s="1876" t="s">
        <v>2104</v>
      </c>
      <c r="B13" s="1894">
        <v>10.555</v>
      </c>
      <c r="C13" s="1877" t="s">
        <v>1058</v>
      </c>
      <c r="D13" s="1878" t="s">
        <v>2079</v>
      </c>
      <c r="E13" s="1895" t="s">
        <v>2105</v>
      </c>
      <c r="F13" s="1896">
        <v>94562</v>
      </c>
      <c r="G13" s="1896">
        <v>0</v>
      </c>
      <c r="H13" s="1896">
        <v>94562</v>
      </c>
      <c r="I13" s="1927">
        <v>0</v>
      </c>
      <c r="J13" s="1896">
        <v>0</v>
      </c>
      <c r="K13" s="1896">
        <v>0</v>
      </c>
      <c r="L13" s="1896"/>
      <c r="M13" s="1896">
        <v>0</v>
      </c>
      <c r="N13" s="1897" t="s">
        <v>2092</v>
      </c>
      <c r="O13" s="1932" t="s">
        <v>2077</v>
      </c>
    </row>
    <row r="14" spans="1:15">
      <c r="A14" s="1876" t="s">
        <v>2104</v>
      </c>
      <c r="B14" s="1894">
        <v>10.555</v>
      </c>
      <c r="C14" s="1877" t="s">
        <v>1058</v>
      </c>
      <c r="D14" s="1878" t="s">
        <v>2080</v>
      </c>
      <c r="E14" s="1895" t="s">
        <v>2106</v>
      </c>
      <c r="F14" s="1896">
        <v>433207</v>
      </c>
      <c r="G14" s="1896">
        <v>88500</v>
      </c>
      <c r="H14" s="1896">
        <v>433207</v>
      </c>
      <c r="I14" s="1927">
        <v>0</v>
      </c>
      <c r="J14" s="1896">
        <v>88500</v>
      </c>
      <c r="K14" s="1896">
        <v>0</v>
      </c>
      <c r="L14" s="1896"/>
      <c r="M14" s="1896">
        <v>0</v>
      </c>
      <c r="N14" s="1897" t="s">
        <v>2092</v>
      </c>
      <c r="O14" s="1932" t="s">
        <v>2077</v>
      </c>
    </row>
    <row r="15" spans="1:15">
      <c r="A15" s="1876" t="s">
        <v>2104</v>
      </c>
      <c r="B15" s="1894">
        <v>10.555</v>
      </c>
      <c r="C15" s="1877" t="s">
        <v>1058</v>
      </c>
      <c r="D15" s="1878" t="s">
        <v>2131</v>
      </c>
      <c r="E15" s="1895" t="s">
        <v>2133</v>
      </c>
      <c r="F15" s="1873">
        <v>0</v>
      </c>
      <c r="G15" s="1914">
        <v>482192</v>
      </c>
      <c r="H15" s="1873">
        <v>0</v>
      </c>
      <c r="I15" s="1925">
        <v>0</v>
      </c>
      <c r="J15" s="1914">
        <v>482192</v>
      </c>
      <c r="K15" s="1896">
        <v>0</v>
      </c>
      <c r="L15" s="1872"/>
      <c r="M15" s="1896">
        <v>0</v>
      </c>
      <c r="N15" s="1897" t="s">
        <v>2092</v>
      </c>
      <c r="O15" s="1932" t="s">
        <v>2077</v>
      </c>
    </row>
    <row r="16" spans="1:15">
      <c r="A16" s="1876" t="s">
        <v>2107</v>
      </c>
      <c r="B16" s="1894">
        <v>10.553000000000001</v>
      </c>
      <c r="C16" s="1877" t="s">
        <v>1059</v>
      </c>
      <c r="D16" s="1879" t="s">
        <v>2076</v>
      </c>
      <c r="E16" s="1895" t="s">
        <v>2105</v>
      </c>
      <c r="F16" s="1896">
        <v>22197</v>
      </c>
      <c r="G16" s="1896">
        <v>0</v>
      </c>
      <c r="H16" s="1896">
        <v>22197</v>
      </c>
      <c r="I16" s="1927">
        <v>0</v>
      </c>
      <c r="J16" s="1896">
        <v>0</v>
      </c>
      <c r="K16" s="1896">
        <v>0</v>
      </c>
      <c r="L16" s="1896"/>
      <c r="M16" s="1896">
        <v>0</v>
      </c>
      <c r="N16" s="1897" t="s">
        <v>2092</v>
      </c>
      <c r="O16" s="1932" t="s">
        <v>2077</v>
      </c>
    </row>
    <row r="17" spans="1:15">
      <c r="A17" s="1876" t="s">
        <v>2107</v>
      </c>
      <c r="B17" s="1894">
        <v>10.553000000000001</v>
      </c>
      <c r="C17" s="1877" t="s">
        <v>1059</v>
      </c>
      <c r="D17" s="1879" t="s">
        <v>2078</v>
      </c>
      <c r="E17" s="1895" t="s">
        <v>2106</v>
      </c>
      <c r="F17" s="1896">
        <v>115266</v>
      </c>
      <c r="G17" s="1896">
        <v>22579</v>
      </c>
      <c r="H17" s="1896">
        <v>115266</v>
      </c>
      <c r="I17" s="1927">
        <v>0</v>
      </c>
      <c r="J17" s="1896">
        <v>22579</v>
      </c>
      <c r="K17" s="1896">
        <v>0</v>
      </c>
      <c r="L17" s="1896"/>
      <c r="M17" s="1896">
        <v>0</v>
      </c>
      <c r="N17" s="1897" t="s">
        <v>2092</v>
      </c>
      <c r="O17" s="1932" t="s">
        <v>2077</v>
      </c>
    </row>
    <row r="18" spans="1:15">
      <c r="A18" s="1876" t="s">
        <v>2107</v>
      </c>
      <c r="B18" s="1894">
        <v>10.553000000000001</v>
      </c>
      <c r="C18" s="1877" t="s">
        <v>1059</v>
      </c>
      <c r="D18" s="1879" t="s">
        <v>2132</v>
      </c>
      <c r="E18" s="1895" t="s">
        <v>2133</v>
      </c>
      <c r="F18" s="1896">
        <v>0</v>
      </c>
      <c r="G18" s="1896">
        <v>133287</v>
      </c>
      <c r="H18" s="1896">
        <v>0</v>
      </c>
      <c r="I18" s="1927">
        <v>0</v>
      </c>
      <c r="J18" s="1896">
        <v>133287</v>
      </c>
      <c r="K18" s="1896">
        <v>0</v>
      </c>
      <c r="L18" s="1872"/>
      <c r="M18" s="1896">
        <v>0</v>
      </c>
      <c r="N18" s="1897" t="s">
        <v>2092</v>
      </c>
      <c r="O18" s="1932" t="s">
        <v>2077</v>
      </c>
    </row>
    <row r="19" spans="1:15" ht="22.5">
      <c r="A19" s="1876" t="s">
        <v>2108</v>
      </c>
      <c r="B19" s="1894">
        <v>10.555</v>
      </c>
      <c r="C19" s="1877" t="s">
        <v>2109</v>
      </c>
      <c r="D19" s="1880" t="s">
        <v>2110</v>
      </c>
      <c r="E19" s="1895" t="s">
        <v>2092</v>
      </c>
      <c r="F19" s="1896">
        <v>67886</v>
      </c>
      <c r="G19" s="1896">
        <v>0</v>
      </c>
      <c r="H19" s="1896">
        <v>67886</v>
      </c>
      <c r="I19" s="1927">
        <v>0</v>
      </c>
      <c r="J19" s="1896">
        <v>0</v>
      </c>
      <c r="K19" s="1896">
        <v>0</v>
      </c>
      <c r="L19" s="1896"/>
      <c r="M19" s="1896">
        <v>0</v>
      </c>
      <c r="N19" s="1897" t="s">
        <v>2092</v>
      </c>
      <c r="O19" s="1932" t="s">
        <v>2077</v>
      </c>
    </row>
    <row r="20" spans="1:15" ht="22.5">
      <c r="A20" s="1876" t="s">
        <v>2108</v>
      </c>
      <c r="B20" s="1894">
        <v>10.555</v>
      </c>
      <c r="C20" s="1877" t="s">
        <v>2111</v>
      </c>
      <c r="D20" s="1880" t="s">
        <v>2110</v>
      </c>
      <c r="E20" s="1895" t="s">
        <v>2092</v>
      </c>
      <c r="F20" s="1896">
        <v>14445</v>
      </c>
      <c r="G20" s="1896">
        <v>0</v>
      </c>
      <c r="H20" s="1896">
        <v>14445</v>
      </c>
      <c r="I20" s="1927">
        <v>0</v>
      </c>
      <c r="J20" s="1896">
        <v>0</v>
      </c>
      <c r="K20" s="1896">
        <v>0</v>
      </c>
      <c r="L20" s="1896"/>
      <c r="M20" s="1896">
        <v>0</v>
      </c>
      <c r="N20" s="1897" t="s">
        <v>2092</v>
      </c>
      <c r="O20" s="1932" t="s">
        <v>2077</v>
      </c>
    </row>
    <row r="21" spans="1:15" ht="22.5">
      <c r="A21" s="1876" t="s">
        <v>2108</v>
      </c>
      <c r="B21" s="1894">
        <v>10.555</v>
      </c>
      <c r="C21" s="1877" t="s">
        <v>2109</v>
      </c>
      <c r="D21" s="1880" t="s">
        <v>2110</v>
      </c>
      <c r="E21" s="1895" t="s">
        <v>2092</v>
      </c>
      <c r="F21" s="1896">
        <v>0</v>
      </c>
      <c r="G21" s="1896">
        <v>57988</v>
      </c>
      <c r="H21" s="1896">
        <v>0</v>
      </c>
      <c r="I21" s="1927">
        <v>0</v>
      </c>
      <c r="J21" s="1896">
        <v>57988</v>
      </c>
      <c r="K21" s="1896">
        <v>0</v>
      </c>
      <c r="L21" s="1872"/>
      <c r="M21" s="1896">
        <v>0</v>
      </c>
      <c r="N21" s="1897" t="s">
        <v>2092</v>
      </c>
      <c r="O21" s="1932" t="s">
        <v>2077</v>
      </c>
    </row>
    <row r="22" spans="1:15" ht="22.5">
      <c r="A22" s="1876" t="s">
        <v>2108</v>
      </c>
      <c r="B22" s="1894">
        <v>10.555</v>
      </c>
      <c r="C22" s="1877" t="s">
        <v>2111</v>
      </c>
      <c r="D22" s="1880" t="s">
        <v>2110</v>
      </c>
      <c r="E22" s="1895" t="s">
        <v>2092</v>
      </c>
      <c r="F22" s="1896">
        <v>0</v>
      </c>
      <c r="G22" s="1896">
        <v>15609</v>
      </c>
      <c r="H22" s="1896">
        <v>0</v>
      </c>
      <c r="I22" s="1927">
        <v>0</v>
      </c>
      <c r="J22" s="1896">
        <v>15609</v>
      </c>
      <c r="K22" s="1896">
        <v>0</v>
      </c>
      <c r="L22" s="1872"/>
      <c r="M22" s="1896">
        <v>0</v>
      </c>
      <c r="N22" s="1897" t="s">
        <v>2092</v>
      </c>
      <c r="O22" s="1932" t="s">
        <v>2077</v>
      </c>
    </row>
    <row r="23" spans="1:15">
      <c r="A23" s="1881" t="s">
        <v>2112</v>
      </c>
      <c r="B23" s="1905"/>
      <c r="C23" s="1905"/>
      <c r="D23" s="1905"/>
      <c r="E23" s="1905"/>
      <c r="F23" s="1906">
        <f t="shared" ref="F23:M23" si="0">SUM(F13:F22)</f>
        <v>747563</v>
      </c>
      <c r="G23" s="1906">
        <f t="shared" si="0"/>
        <v>800155</v>
      </c>
      <c r="H23" s="1906">
        <f t="shared" si="0"/>
        <v>747563</v>
      </c>
      <c r="I23" s="1924">
        <f t="shared" si="0"/>
        <v>0</v>
      </c>
      <c r="J23" s="1906">
        <f t="shared" si="0"/>
        <v>800155</v>
      </c>
      <c r="K23" s="1906">
        <f t="shared" si="0"/>
        <v>0</v>
      </c>
      <c r="L23" s="1906">
        <f t="shared" si="0"/>
        <v>0</v>
      </c>
      <c r="M23" s="1906">
        <f t="shared" si="0"/>
        <v>0</v>
      </c>
      <c r="N23" s="1905"/>
      <c r="O23" s="1932"/>
    </row>
    <row r="24" spans="1:15">
      <c r="A24" s="1907"/>
      <c r="B24" s="1907"/>
      <c r="C24" s="1907"/>
      <c r="D24" s="1907"/>
      <c r="E24" s="1907"/>
      <c r="F24" s="1907"/>
      <c r="G24" s="1907"/>
      <c r="H24" s="1907"/>
      <c r="I24" s="1923"/>
      <c r="J24" s="1907"/>
      <c r="K24" s="1907"/>
      <c r="L24" s="1907"/>
      <c r="M24" s="1907"/>
      <c r="N24" s="1907"/>
      <c r="O24" s="1932"/>
    </row>
    <row r="25" spans="1:15">
      <c r="A25" s="1874" t="s">
        <v>2081</v>
      </c>
      <c r="B25" s="1875"/>
      <c r="C25" s="1875"/>
      <c r="D25" s="1907"/>
      <c r="E25" s="1907"/>
      <c r="F25" s="1907"/>
      <c r="G25" s="1907"/>
      <c r="H25" s="1907"/>
      <c r="I25" s="1923"/>
      <c r="J25" s="1907"/>
      <c r="K25" s="1907"/>
      <c r="L25" s="1907"/>
      <c r="M25" s="1907"/>
      <c r="N25" s="1907"/>
      <c r="O25" s="1932"/>
    </row>
    <row r="26" spans="1:15">
      <c r="A26" s="1874"/>
      <c r="B26" s="1875"/>
      <c r="C26" s="1874" t="s">
        <v>2082</v>
      </c>
      <c r="D26" s="1907"/>
      <c r="E26" s="1907"/>
      <c r="F26" s="1907"/>
      <c r="G26" s="1907"/>
      <c r="H26" s="1907"/>
      <c r="I26" s="1923"/>
      <c r="J26" s="1907"/>
      <c r="K26" s="1907"/>
      <c r="L26" s="1907"/>
      <c r="M26" s="1907"/>
      <c r="N26" s="1907"/>
      <c r="O26" s="1872"/>
    </row>
    <row r="27" spans="1:15">
      <c r="A27" s="1874"/>
      <c r="B27" s="1875" t="s">
        <v>2074</v>
      </c>
      <c r="C27" s="1874"/>
      <c r="D27" s="1907"/>
      <c r="E27" s="1907"/>
      <c r="F27" s="1907"/>
      <c r="G27" s="1907"/>
      <c r="H27" s="1907"/>
      <c r="I27" s="1923"/>
      <c r="J27" s="1907"/>
      <c r="K27" s="1907"/>
      <c r="L27" s="1907"/>
      <c r="M27" s="1907"/>
      <c r="N27" s="1907"/>
      <c r="O27" s="1872"/>
    </row>
    <row r="28" spans="1:15">
      <c r="A28" s="1876" t="s">
        <v>2113</v>
      </c>
      <c r="B28" s="1894" t="s">
        <v>2083</v>
      </c>
      <c r="C28" s="1898" t="s">
        <v>918</v>
      </c>
      <c r="D28" s="1882" t="s">
        <v>2084</v>
      </c>
      <c r="E28" s="1895" t="s">
        <v>2114</v>
      </c>
      <c r="F28" s="1896">
        <v>-42932</v>
      </c>
      <c r="G28" s="1896">
        <v>0</v>
      </c>
      <c r="H28" s="1896">
        <v>-42932</v>
      </c>
      <c r="I28" s="1927">
        <v>0</v>
      </c>
      <c r="J28" s="1896">
        <v>0</v>
      </c>
      <c r="K28" s="1896">
        <v>0</v>
      </c>
      <c r="L28" s="1908"/>
      <c r="M28" s="1896">
        <v>0</v>
      </c>
      <c r="N28" s="1899">
        <v>603892</v>
      </c>
      <c r="O28" s="1872"/>
    </row>
    <row r="29" spans="1:15">
      <c r="A29" s="1876" t="s">
        <v>2113</v>
      </c>
      <c r="B29" s="1894" t="s">
        <v>2083</v>
      </c>
      <c r="C29" s="1898" t="s">
        <v>918</v>
      </c>
      <c r="D29" s="1882" t="s">
        <v>2085</v>
      </c>
      <c r="E29" s="1895" t="s">
        <v>2115</v>
      </c>
      <c r="F29" s="1896">
        <v>491106</v>
      </c>
      <c r="G29" s="1914">
        <v>0</v>
      </c>
      <c r="H29" s="1896">
        <v>491106</v>
      </c>
      <c r="I29" s="1927">
        <v>0</v>
      </c>
      <c r="J29" s="1896">
        <v>0</v>
      </c>
      <c r="K29" s="1896">
        <v>0</v>
      </c>
      <c r="L29" s="1872"/>
      <c r="M29" s="1896">
        <v>0</v>
      </c>
      <c r="N29" s="1896">
        <v>604964</v>
      </c>
      <c r="O29" s="1872"/>
    </row>
    <row r="30" spans="1:15" s="1872" customFormat="1">
      <c r="A30" s="1876" t="s">
        <v>2113</v>
      </c>
      <c r="B30" s="1894" t="s">
        <v>2083</v>
      </c>
      <c r="C30" s="1898" t="s">
        <v>918</v>
      </c>
      <c r="D30" s="1882" t="s">
        <v>2134</v>
      </c>
      <c r="E30" s="1895" t="s">
        <v>2135</v>
      </c>
      <c r="F30" s="1896">
        <v>0</v>
      </c>
      <c r="G30" s="1914">
        <v>455196</v>
      </c>
      <c r="H30" s="1896">
        <v>0</v>
      </c>
      <c r="I30" s="1927">
        <v>0</v>
      </c>
      <c r="J30" s="1896">
        <v>455196</v>
      </c>
      <c r="K30" s="1896">
        <v>0</v>
      </c>
      <c r="L30" s="1896">
        <v>0</v>
      </c>
      <c r="M30" s="1896">
        <v>0</v>
      </c>
      <c r="N30" s="1896">
        <v>775664</v>
      </c>
    </row>
    <row r="31" spans="1:15" s="1872" customFormat="1">
      <c r="A31" s="1876" t="s">
        <v>2136</v>
      </c>
      <c r="B31" s="1894" t="s">
        <v>2083</v>
      </c>
      <c r="C31" s="1898" t="s">
        <v>2137</v>
      </c>
      <c r="D31" s="1882" t="s">
        <v>2138</v>
      </c>
      <c r="E31" s="1895" t="s">
        <v>2139</v>
      </c>
      <c r="F31" s="1896">
        <v>0</v>
      </c>
      <c r="G31" s="1914">
        <v>114109</v>
      </c>
      <c r="H31" s="1896">
        <v>0</v>
      </c>
      <c r="I31" s="1927">
        <v>0</v>
      </c>
      <c r="J31" s="1896">
        <v>114109</v>
      </c>
      <c r="K31" s="1896">
        <v>0</v>
      </c>
      <c r="M31" s="1896">
        <v>0</v>
      </c>
      <c r="N31" s="1896"/>
    </row>
    <row r="32" spans="1:15">
      <c r="A32" s="1883"/>
      <c r="B32" s="1883"/>
      <c r="C32" s="1884"/>
      <c r="D32" s="1884"/>
      <c r="E32" s="1885"/>
      <c r="F32" s="1886">
        <f t="shared" ref="F32:M32" si="1">SUM(F28:F31)</f>
        <v>448174</v>
      </c>
      <c r="G32" s="1886">
        <f t="shared" si="1"/>
        <v>569305</v>
      </c>
      <c r="H32" s="1886">
        <f t="shared" si="1"/>
        <v>448174</v>
      </c>
      <c r="I32" s="1922">
        <f t="shared" si="1"/>
        <v>0</v>
      </c>
      <c r="J32" s="1886">
        <f t="shared" si="1"/>
        <v>569305</v>
      </c>
      <c r="K32" s="1886">
        <f t="shared" si="1"/>
        <v>0</v>
      </c>
      <c r="L32" s="1886">
        <f t="shared" si="1"/>
        <v>0</v>
      </c>
      <c r="M32" s="1886">
        <f t="shared" si="1"/>
        <v>0</v>
      </c>
      <c r="N32" s="1887"/>
      <c r="O32" s="1872"/>
    </row>
    <row r="33" spans="1:15">
      <c r="A33" s="1907"/>
      <c r="B33" s="1907"/>
      <c r="C33" s="1907"/>
      <c r="D33" s="1907"/>
      <c r="E33" s="1907"/>
      <c r="F33" s="1907"/>
      <c r="G33" s="1907"/>
      <c r="H33" s="1907"/>
      <c r="I33" s="1923"/>
      <c r="J33" s="1907"/>
      <c r="K33" s="1907"/>
      <c r="L33" s="1907"/>
      <c r="M33" s="1907"/>
      <c r="N33" s="1907"/>
      <c r="O33" s="1872"/>
    </row>
    <row r="34" spans="1:15">
      <c r="A34" s="1907"/>
      <c r="B34" s="1907"/>
      <c r="C34" s="1907"/>
      <c r="D34" s="1907"/>
      <c r="E34" s="1907"/>
      <c r="F34" s="1907"/>
      <c r="G34" s="1907"/>
      <c r="H34" s="1907"/>
      <c r="I34" s="1923"/>
      <c r="J34" s="1907"/>
      <c r="K34" s="1907"/>
      <c r="L34" s="1907"/>
      <c r="M34" s="1907"/>
      <c r="N34" s="1907"/>
      <c r="O34" s="1872"/>
    </row>
    <row r="35" spans="1:15">
      <c r="A35" s="1907"/>
      <c r="B35" s="1875"/>
      <c r="C35" s="1874" t="s">
        <v>2116</v>
      </c>
      <c r="D35" s="1874"/>
      <c r="E35" s="1907"/>
      <c r="F35" s="1907"/>
      <c r="G35" s="1907"/>
      <c r="H35" s="1907"/>
      <c r="I35" s="1923"/>
      <c r="J35" s="1907"/>
      <c r="K35" s="1907"/>
      <c r="L35" s="1907"/>
      <c r="M35" s="1907"/>
      <c r="N35" s="1907"/>
      <c r="O35" s="1871"/>
    </row>
    <row r="36" spans="1:15">
      <c r="A36" s="1907"/>
      <c r="B36" s="1875" t="s">
        <v>2117</v>
      </c>
      <c r="C36" s="1875"/>
      <c r="D36" s="1875"/>
      <c r="E36" s="1907"/>
      <c r="F36" s="1907"/>
      <c r="G36" s="1907"/>
      <c r="H36" s="1907"/>
      <c r="I36" s="1923"/>
      <c r="J36" s="1907"/>
      <c r="K36" s="1907"/>
      <c r="L36" s="1907"/>
      <c r="M36" s="1907"/>
      <c r="N36" s="1907"/>
      <c r="O36" s="1871"/>
    </row>
    <row r="37" spans="1:15">
      <c r="A37" s="1876" t="s">
        <v>2118</v>
      </c>
      <c r="B37" s="1894" t="s">
        <v>2119</v>
      </c>
      <c r="C37" s="1898" t="s">
        <v>2120</v>
      </c>
      <c r="D37" s="1882" t="s">
        <v>2140</v>
      </c>
      <c r="E37" s="1895" t="s">
        <v>2121</v>
      </c>
      <c r="F37" s="1896">
        <v>28221</v>
      </c>
      <c r="G37" s="1896">
        <v>0</v>
      </c>
      <c r="H37" s="1896">
        <v>28221</v>
      </c>
      <c r="I37" s="1927">
        <v>0</v>
      </c>
      <c r="J37" s="1896">
        <v>0</v>
      </c>
      <c r="K37" s="1896">
        <v>0</v>
      </c>
      <c r="L37" s="1900"/>
      <c r="M37" s="1896">
        <v>0</v>
      </c>
      <c r="N37" s="1897" t="s">
        <v>2092</v>
      </c>
      <c r="O37" s="1871"/>
    </row>
    <row r="38" spans="1:15">
      <c r="A38" s="1876" t="s">
        <v>2118</v>
      </c>
      <c r="B38" s="1894" t="s">
        <v>2119</v>
      </c>
      <c r="C38" s="1898" t="s">
        <v>2120</v>
      </c>
      <c r="D38" s="1882" t="s">
        <v>2122</v>
      </c>
      <c r="E38" s="1895" t="s">
        <v>2123</v>
      </c>
      <c r="F38" s="1896">
        <v>78676</v>
      </c>
      <c r="G38" s="1896">
        <v>38201</v>
      </c>
      <c r="H38" s="1896">
        <v>78676</v>
      </c>
      <c r="I38" s="1927">
        <v>0</v>
      </c>
      <c r="J38" s="1896">
        <v>38201</v>
      </c>
      <c r="K38" s="1896">
        <v>0</v>
      </c>
      <c r="L38" s="1900"/>
      <c r="M38" s="1896">
        <v>0</v>
      </c>
      <c r="N38" s="1897" t="s">
        <v>2092</v>
      </c>
      <c r="O38" s="1871"/>
    </row>
    <row r="39" spans="1:15">
      <c r="A39" s="1876" t="s">
        <v>2118</v>
      </c>
      <c r="B39" s="1894" t="s">
        <v>2119</v>
      </c>
      <c r="C39" s="1898" t="s">
        <v>2120</v>
      </c>
      <c r="D39" s="1882" t="s">
        <v>2141</v>
      </c>
      <c r="E39" s="1895" t="s">
        <v>2142</v>
      </c>
      <c r="F39" s="1896">
        <v>0</v>
      </c>
      <c r="G39" s="1896">
        <v>7205</v>
      </c>
      <c r="H39" s="1896">
        <v>0</v>
      </c>
      <c r="I39" s="1927">
        <v>0</v>
      </c>
      <c r="J39" s="1896">
        <v>7205</v>
      </c>
      <c r="K39" s="1896">
        <v>0</v>
      </c>
      <c r="L39" s="1872"/>
      <c r="M39" s="1896">
        <v>0</v>
      </c>
      <c r="N39" s="1897" t="s">
        <v>2092</v>
      </c>
      <c r="O39" s="1871"/>
    </row>
    <row r="40" spans="1:15">
      <c r="A40" s="1905"/>
      <c r="B40" s="1905"/>
      <c r="C40" s="1905"/>
      <c r="D40" s="1905"/>
      <c r="E40" s="1905"/>
      <c r="F40" s="1912">
        <f t="shared" ref="F40:M40" si="2">SUM(F37:F39)</f>
        <v>106897</v>
      </c>
      <c r="G40" s="1912">
        <f t="shared" si="2"/>
        <v>45406</v>
      </c>
      <c r="H40" s="1912">
        <f t="shared" si="2"/>
        <v>106897</v>
      </c>
      <c r="I40" s="1921">
        <f t="shared" si="2"/>
        <v>0</v>
      </c>
      <c r="J40" s="1912">
        <f t="shared" si="2"/>
        <v>45406</v>
      </c>
      <c r="K40" s="1912">
        <f t="shared" si="2"/>
        <v>0</v>
      </c>
      <c r="L40" s="1912">
        <f t="shared" si="2"/>
        <v>0</v>
      </c>
      <c r="M40" s="1912">
        <f t="shared" si="2"/>
        <v>0</v>
      </c>
      <c r="N40" s="1905"/>
      <c r="O40" s="1871"/>
    </row>
    <row r="41" spans="1:15">
      <c r="A41" s="1907"/>
      <c r="B41" s="1907"/>
      <c r="C41" s="1907"/>
      <c r="D41" s="1907"/>
      <c r="E41" s="1907"/>
      <c r="F41" s="1907"/>
      <c r="G41" s="1907"/>
      <c r="H41" s="1907"/>
      <c r="I41" s="1923"/>
      <c r="J41" s="1907"/>
      <c r="K41" s="1907"/>
      <c r="L41" s="1907"/>
      <c r="M41" s="1907"/>
      <c r="N41" s="1907"/>
      <c r="O41" s="1871"/>
    </row>
    <row r="42" spans="1:15">
      <c r="A42" s="1907"/>
      <c r="B42" s="1875" t="s">
        <v>2074</v>
      </c>
      <c r="C42" s="1907"/>
      <c r="D42" s="1907"/>
      <c r="E42" s="1907"/>
      <c r="F42" s="1907"/>
      <c r="G42" s="1907"/>
      <c r="H42" s="1907"/>
      <c r="I42" s="1923"/>
      <c r="J42" s="1907"/>
      <c r="K42" s="1907"/>
      <c r="L42" s="1907"/>
      <c r="M42" s="1907"/>
      <c r="N42" s="1907"/>
      <c r="O42" s="1871"/>
    </row>
    <row r="43" spans="1:15">
      <c r="A43" s="1888">
        <v>10.4932</v>
      </c>
      <c r="B43" s="1894" t="s">
        <v>2124</v>
      </c>
      <c r="C43" s="1889" t="s">
        <v>2125</v>
      </c>
      <c r="D43" s="1882" t="s">
        <v>2086</v>
      </c>
      <c r="E43" s="1895" t="s">
        <v>2126</v>
      </c>
      <c r="F43" s="1896">
        <v>-20393</v>
      </c>
      <c r="G43" s="1896">
        <v>0</v>
      </c>
      <c r="H43" s="1896">
        <v>-20393</v>
      </c>
      <c r="I43" s="1927">
        <v>0</v>
      </c>
      <c r="J43" s="1896">
        <v>0</v>
      </c>
      <c r="K43" s="1896">
        <v>0</v>
      </c>
      <c r="L43" s="1896"/>
      <c r="M43" s="1896">
        <v>0</v>
      </c>
      <c r="N43" s="1899">
        <v>121279</v>
      </c>
      <c r="O43" s="1871"/>
    </row>
    <row r="44" spans="1:15">
      <c r="A44" s="1888">
        <v>10.4932</v>
      </c>
      <c r="B44" s="1894" t="s">
        <v>2124</v>
      </c>
      <c r="C44" s="1889" t="s">
        <v>2125</v>
      </c>
      <c r="D44" s="1882" t="s">
        <v>2087</v>
      </c>
      <c r="E44" s="1895" t="s">
        <v>2115</v>
      </c>
      <c r="F44" s="1896">
        <v>93089</v>
      </c>
      <c r="G44" s="1914"/>
      <c r="H44" s="1896">
        <v>93089</v>
      </c>
      <c r="I44" s="1927">
        <v>0</v>
      </c>
      <c r="J44" s="1914"/>
      <c r="K44" s="1896">
        <v>0</v>
      </c>
      <c r="L44" s="1872"/>
      <c r="M44" s="1896">
        <v>0</v>
      </c>
      <c r="N44" s="1914">
        <v>105667</v>
      </c>
      <c r="O44" s="1871"/>
    </row>
    <row r="45" spans="1:15" s="1872" customFormat="1">
      <c r="A45" s="1888">
        <v>10.4932</v>
      </c>
      <c r="B45" s="1894" t="s">
        <v>2124</v>
      </c>
      <c r="C45" s="1889" t="s">
        <v>2125</v>
      </c>
      <c r="D45" s="1882" t="s">
        <v>2143</v>
      </c>
      <c r="E45" s="1895" t="s">
        <v>2135</v>
      </c>
      <c r="F45" s="1896">
        <v>0</v>
      </c>
      <c r="G45" s="1914">
        <v>93421</v>
      </c>
      <c r="H45" s="1896">
        <v>0</v>
      </c>
      <c r="I45" s="1927">
        <v>0</v>
      </c>
      <c r="J45" s="1914">
        <v>93421</v>
      </c>
      <c r="K45" s="1896">
        <v>0</v>
      </c>
      <c r="L45" s="1872">
        <v>0</v>
      </c>
      <c r="M45" s="1896">
        <v>0</v>
      </c>
      <c r="N45" s="1914">
        <v>158743</v>
      </c>
    </row>
    <row r="46" spans="1:15">
      <c r="A46" s="1883"/>
      <c r="B46" s="1883"/>
      <c r="C46" s="1884"/>
      <c r="D46" s="1884"/>
      <c r="E46" s="1885"/>
      <c r="F46" s="1886">
        <f t="shared" ref="F46:K46" si="3">SUM(F43:F45)</f>
        <v>72696</v>
      </c>
      <c r="G46" s="1886">
        <f t="shared" si="3"/>
        <v>93421</v>
      </c>
      <c r="H46" s="1886">
        <f t="shared" si="3"/>
        <v>72696</v>
      </c>
      <c r="I46" s="1922">
        <f t="shared" si="3"/>
        <v>0</v>
      </c>
      <c r="J46" s="1886">
        <f t="shared" si="3"/>
        <v>93421</v>
      </c>
      <c r="K46" s="1886">
        <f t="shared" si="3"/>
        <v>0</v>
      </c>
      <c r="L46" s="1890">
        <v>0</v>
      </c>
      <c r="M46" s="1890">
        <v>0</v>
      </c>
      <c r="N46" s="1887"/>
      <c r="O46" s="1871"/>
    </row>
    <row r="47" spans="1:15" s="1872" customFormat="1">
      <c r="A47" s="1936"/>
      <c r="B47" s="1936"/>
      <c r="C47" s="1937"/>
      <c r="D47" s="1937"/>
      <c r="E47" s="1913"/>
      <c r="F47" s="1938"/>
      <c r="G47" s="1938"/>
      <c r="H47" s="1938"/>
      <c r="I47" s="1939"/>
      <c r="J47" s="1938"/>
      <c r="K47" s="1938"/>
      <c r="L47" s="1940"/>
      <c r="M47" s="1940"/>
      <c r="N47" s="1941"/>
    </row>
    <row r="48" spans="1:15" s="1872" customFormat="1">
      <c r="A48" s="1942" t="s">
        <v>2144</v>
      </c>
      <c r="B48" s="1942" t="s">
        <v>2145</v>
      </c>
      <c r="C48" s="1943" t="s">
        <v>2146</v>
      </c>
      <c r="D48" s="1943" t="s">
        <v>2147</v>
      </c>
      <c r="E48" s="1944" t="s">
        <v>1950</v>
      </c>
      <c r="F48" s="1945">
        <v>0</v>
      </c>
      <c r="G48" s="1945">
        <v>26227</v>
      </c>
      <c r="H48" s="1945">
        <v>0</v>
      </c>
      <c r="I48" s="1946">
        <v>0</v>
      </c>
      <c r="J48" s="1945">
        <v>26227</v>
      </c>
      <c r="K48" s="1945">
        <v>0</v>
      </c>
      <c r="L48" s="1945">
        <v>0</v>
      </c>
      <c r="M48" s="1945">
        <v>0</v>
      </c>
      <c r="N48" s="1947">
        <v>29999</v>
      </c>
    </row>
    <row r="49" spans="1:15">
      <c r="A49" s="1907"/>
      <c r="B49" s="1907"/>
      <c r="C49" s="1907"/>
      <c r="D49" s="1907"/>
      <c r="E49" s="1907"/>
      <c r="F49" s="1907"/>
      <c r="G49" s="1907"/>
      <c r="H49" s="1907"/>
      <c r="I49" s="1923"/>
      <c r="J49" s="1907"/>
      <c r="K49" s="1907"/>
      <c r="L49" s="1907"/>
      <c r="M49" s="1907"/>
      <c r="N49" s="1907"/>
      <c r="O49" s="1871"/>
    </row>
    <row r="50" spans="1:15">
      <c r="A50" s="1891" t="s">
        <v>2127</v>
      </c>
      <c r="B50" s="1909"/>
      <c r="C50" s="1909"/>
      <c r="D50" s="1909"/>
      <c r="E50" s="1909"/>
      <c r="F50" s="1910">
        <f>+F46+F40+F32+F48</f>
        <v>627767</v>
      </c>
      <c r="G50" s="1910">
        <f>+G46+G40+G32+G48</f>
        <v>734359</v>
      </c>
      <c r="H50" s="1910">
        <f>+H48+H46+H32+H40</f>
        <v>627767</v>
      </c>
      <c r="I50" s="1926">
        <v>0</v>
      </c>
      <c r="J50" s="1910">
        <f>+J48+J46+J40+J32</f>
        <v>734359</v>
      </c>
      <c r="K50" s="1910">
        <v>0</v>
      </c>
      <c r="L50" s="1909">
        <v>0</v>
      </c>
      <c r="M50" s="1909">
        <v>0</v>
      </c>
      <c r="N50" s="1909"/>
      <c r="O50" s="1871"/>
    </row>
    <row r="51" spans="1:15">
      <c r="A51" s="1907"/>
      <c r="B51" s="1907"/>
      <c r="C51" s="1907"/>
      <c r="D51" s="1907"/>
      <c r="E51" s="1907"/>
      <c r="F51" s="1907"/>
      <c r="G51" s="1907"/>
      <c r="H51" s="1907"/>
      <c r="I51" s="1923"/>
      <c r="J51" s="1907"/>
      <c r="K51" s="1907"/>
      <c r="L51" s="1907"/>
      <c r="M51" s="1907"/>
      <c r="N51" s="1907"/>
      <c r="O51" s="1871"/>
    </row>
    <row r="52" spans="1:15">
      <c r="A52" s="1874" t="s">
        <v>2088</v>
      </c>
      <c r="B52" s="1907"/>
      <c r="C52" s="1907"/>
      <c r="D52" s="1907"/>
      <c r="E52" s="1907"/>
      <c r="F52" s="1907"/>
      <c r="G52" s="1907"/>
      <c r="H52" s="1907"/>
      <c r="I52" s="1923"/>
      <c r="J52" s="1907"/>
      <c r="K52" s="1907"/>
      <c r="L52" s="1907"/>
      <c r="M52" s="1907"/>
      <c r="N52" s="1907"/>
      <c r="O52" s="1871"/>
    </row>
    <row r="53" spans="1:15">
      <c r="A53" s="1907"/>
      <c r="B53" s="1875" t="s">
        <v>2089</v>
      </c>
      <c r="C53" s="1875"/>
      <c r="D53" s="1907"/>
      <c r="E53" s="1907"/>
      <c r="F53" s="1907"/>
      <c r="G53" s="1907"/>
      <c r="H53" s="1907"/>
      <c r="I53" s="1923"/>
      <c r="J53" s="1907"/>
      <c r="K53" s="1907"/>
      <c r="L53" s="1907"/>
      <c r="M53" s="1907"/>
      <c r="N53" s="1907"/>
      <c r="O53" s="1871"/>
    </row>
    <row r="54" spans="1:15">
      <c r="A54" s="1907"/>
      <c r="B54" s="1875"/>
      <c r="C54" s="1874" t="s">
        <v>2090</v>
      </c>
      <c r="D54" s="1907"/>
      <c r="E54" s="1907"/>
      <c r="F54" s="1907"/>
      <c r="G54" s="1907"/>
      <c r="H54" s="1907"/>
      <c r="I54" s="1923"/>
      <c r="J54" s="1907"/>
      <c r="K54" s="1907"/>
      <c r="L54" s="1907"/>
      <c r="M54" s="1907"/>
      <c r="N54" s="1907"/>
      <c r="O54" s="1871"/>
    </row>
    <row r="55" spans="1:15">
      <c r="A55" s="1888">
        <v>10.4992</v>
      </c>
      <c r="B55" s="1894">
        <v>93.778000000000006</v>
      </c>
      <c r="C55" s="1898" t="s">
        <v>2091</v>
      </c>
      <c r="D55" s="1892" t="s">
        <v>2093</v>
      </c>
      <c r="E55" s="1895" t="s">
        <v>2092</v>
      </c>
      <c r="F55" s="1896">
        <v>46205</v>
      </c>
      <c r="G55" s="1896">
        <v>0</v>
      </c>
      <c r="H55" s="1896">
        <v>46205</v>
      </c>
      <c r="I55" s="1927">
        <v>0</v>
      </c>
      <c r="J55" s="1896">
        <v>0</v>
      </c>
      <c r="K55" s="1896">
        <v>0</v>
      </c>
      <c r="L55" s="1896"/>
      <c r="M55" s="1896">
        <v>0</v>
      </c>
      <c r="N55" s="1897" t="s">
        <v>2092</v>
      </c>
      <c r="O55" s="1871"/>
    </row>
    <row r="56" spans="1:15">
      <c r="A56" s="1888">
        <v>10.4992</v>
      </c>
      <c r="B56" s="1894">
        <v>93.778000000000006</v>
      </c>
      <c r="C56" s="1898" t="s">
        <v>2091</v>
      </c>
      <c r="D56" s="1892" t="s">
        <v>2148</v>
      </c>
      <c r="E56" s="1895" t="s">
        <v>2092</v>
      </c>
      <c r="F56" s="1896">
        <v>0</v>
      </c>
      <c r="G56" s="1914">
        <v>48885</v>
      </c>
      <c r="H56" s="1896">
        <v>0</v>
      </c>
      <c r="I56" s="1927">
        <v>0</v>
      </c>
      <c r="J56" s="1914">
        <v>48885</v>
      </c>
      <c r="K56" s="1896">
        <v>0</v>
      </c>
      <c r="L56" s="1872"/>
      <c r="M56" s="1896">
        <v>0</v>
      </c>
      <c r="N56" s="1897" t="s">
        <v>2092</v>
      </c>
      <c r="O56" s="1871"/>
    </row>
    <row r="57" spans="1:15">
      <c r="A57" s="1881" t="s">
        <v>2128</v>
      </c>
      <c r="B57" s="1883"/>
      <c r="C57" s="1884"/>
      <c r="D57" s="1884"/>
      <c r="E57" s="1885"/>
      <c r="F57" s="1886">
        <f>SUM(F55:F56)</f>
        <v>46205</v>
      </c>
      <c r="G57" s="1886">
        <f>SUM(G55:G56)</f>
        <v>48885</v>
      </c>
      <c r="H57" s="1886">
        <f>SUM(H55:H56)</f>
        <v>46205</v>
      </c>
      <c r="I57" s="1919">
        <v>0</v>
      </c>
      <c r="J57" s="1886">
        <f>SUM(J55:J56)</f>
        <v>48885</v>
      </c>
      <c r="K57" s="1886">
        <v>0</v>
      </c>
      <c r="L57" s="1886">
        <v>0</v>
      </c>
      <c r="M57" s="1886">
        <v>0</v>
      </c>
      <c r="N57" s="1887"/>
      <c r="O57" s="1871"/>
    </row>
    <row r="58" spans="1:15">
      <c r="A58" s="1907"/>
      <c r="B58" s="1907"/>
      <c r="C58" s="1907"/>
      <c r="D58" s="1907"/>
      <c r="E58" s="1907"/>
      <c r="F58" s="1907"/>
      <c r="G58" s="1907"/>
      <c r="H58" s="1907"/>
      <c r="I58" s="1923"/>
      <c r="J58" s="1907"/>
      <c r="K58" s="1907"/>
      <c r="L58" s="1907"/>
      <c r="M58" s="1907"/>
      <c r="N58" s="1907"/>
      <c r="O58" s="1871"/>
    </row>
    <row r="59" spans="1:15" ht="13.5" thickBot="1">
      <c r="A59" s="1907"/>
      <c r="B59" s="1907"/>
      <c r="C59" s="1907"/>
      <c r="D59" s="1907"/>
      <c r="E59" s="1907"/>
      <c r="F59" s="1907"/>
      <c r="G59" s="1907"/>
      <c r="H59" s="1907"/>
      <c r="I59" s="1923"/>
      <c r="J59" s="1907"/>
      <c r="K59" s="1907"/>
      <c r="L59" s="1907"/>
      <c r="M59" s="1907"/>
      <c r="N59" s="1907"/>
      <c r="O59" s="1871"/>
    </row>
    <row r="60" spans="1:15" ht="13.5" thickBot="1">
      <c r="A60" s="1907"/>
      <c r="B60" s="1893" t="s">
        <v>2094</v>
      </c>
      <c r="C60" s="1907"/>
      <c r="D60" s="1907"/>
      <c r="E60" s="1907"/>
      <c r="F60" s="1911">
        <f>+F57+F50+F23</f>
        <v>1421535</v>
      </c>
      <c r="G60" s="1911">
        <f>+G57+G50+G23</f>
        <v>1583399</v>
      </c>
      <c r="H60" s="1911">
        <f>+H57+H50+H23</f>
        <v>1421535</v>
      </c>
      <c r="I60" s="1920">
        <v>0</v>
      </c>
      <c r="J60" s="1911">
        <f>+J57+J50+J23</f>
        <v>1583399</v>
      </c>
      <c r="K60" s="1911">
        <v>0</v>
      </c>
      <c r="L60" s="1911">
        <v>0</v>
      </c>
      <c r="M60" s="1911">
        <v>0</v>
      </c>
      <c r="N60" s="1907"/>
      <c r="O60" s="1871"/>
    </row>
  </sheetData>
  <mergeCells count="6">
    <mergeCell ref="A2:N2"/>
    <mergeCell ref="A3:N3"/>
    <mergeCell ref="A4:N4"/>
    <mergeCell ref="A5:N5"/>
    <mergeCell ref="F7:F9"/>
    <mergeCell ref="G7:G9"/>
  </mergeCells>
  <pageMargins left="0.7" right="0.7" top="0.75" bottom="0.75" header="0.3" footer="0.3"/>
  <pageSetup scale="6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7" colorId="8" zoomScale="110" zoomScaleNormal="110" workbookViewId="0">
      <selection activeCell="T15" sqref="T15:AA15"/>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62" t="s">
        <v>1168</v>
      </c>
      <c r="B2" s="2062"/>
      <c r="C2" s="2062"/>
      <c r="D2" s="2062"/>
      <c r="E2" s="2062"/>
      <c r="F2" s="2062"/>
      <c r="G2" s="2062"/>
      <c r="H2" s="2062"/>
      <c r="I2" s="2062"/>
      <c r="J2" s="2062"/>
    </row>
    <row r="3" spans="1:11" s="181" customFormat="1" ht="17.25" customHeight="1">
      <c r="A3" s="207"/>
      <c r="B3" s="207"/>
      <c r="C3" s="208"/>
      <c r="D3" s="209"/>
      <c r="E3" s="210"/>
    </row>
    <row r="4" spans="1:11">
      <c r="A4" s="344" t="s">
        <v>1610</v>
      </c>
      <c r="B4" s="344"/>
      <c r="C4" s="344"/>
      <c r="D4" s="344"/>
      <c r="E4" s="344"/>
      <c r="F4" s="344"/>
      <c r="G4" s="344"/>
      <c r="H4" s="344"/>
      <c r="I4" s="344"/>
      <c r="J4" s="344"/>
      <c r="K4" s="344"/>
    </row>
    <row r="5" spans="1:11">
      <c r="A5" s="237" t="s">
        <v>1611</v>
      </c>
      <c r="B5" s="344"/>
      <c r="C5" s="344"/>
      <c r="D5" s="344"/>
      <c r="E5" s="344"/>
      <c r="F5" s="344"/>
      <c r="G5" s="344"/>
      <c r="H5" s="344"/>
      <c r="I5" s="344"/>
      <c r="J5" s="344"/>
      <c r="K5" s="344"/>
    </row>
    <row r="6" spans="1:11" ht="16.7" customHeight="1">
      <c r="A6" s="211"/>
      <c r="B6" s="212"/>
      <c r="C6" s="213"/>
      <c r="D6" s="212"/>
    </row>
    <row r="7" spans="1:11" ht="15" customHeight="1">
      <c r="A7" s="214" t="s">
        <v>839</v>
      </c>
      <c r="B7" s="212"/>
      <c r="C7" s="213"/>
      <c r="D7" s="215"/>
    </row>
    <row r="8" spans="1:11">
      <c r="A8" s="216"/>
      <c r="B8" s="217"/>
      <c r="D8" s="218"/>
    </row>
    <row r="9" spans="1:11" s="181" customFormat="1">
      <c r="A9" s="219"/>
      <c r="B9" s="220" t="s">
        <v>2032</v>
      </c>
      <c r="C9" s="179">
        <v>1</v>
      </c>
      <c r="D9" s="221" t="s">
        <v>1537</v>
      </c>
    </row>
    <row r="10" spans="1:11" s="181" customFormat="1">
      <c r="A10" s="222"/>
      <c r="B10" s="223"/>
      <c r="C10" s="224"/>
      <c r="D10" s="225" t="s">
        <v>1597</v>
      </c>
    </row>
    <row r="11" spans="1:11" s="181" customFormat="1">
      <c r="A11" s="219"/>
      <c r="B11" s="226"/>
      <c r="C11" s="227">
        <v>2</v>
      </c>
      <c r="D11" s="228" t="s">
        <v>1598</v>
      </c>
    </row>
    <row r="12" spans="1:11" s="181" customFormat="1" hidden="1">
      <c r="A12" s="219"/>
      <c r="B12" s="229"/>
      <c r="C12" s="227"/>
      <c r="D12" s="230"/>
    </row>
    <row r="13" spans="1:11" s="181" customFormat="1">
      <c r="A13" s="219"/>
      <c r="B13" s="226"/>
      <c r="C13" s="227">
        <v>3</v>
      </c>
      <c r="D13" s="228" t="s">
        <v>1599</v>
      </c>
    </row>
    <row r="14" spans="1:11" s="181" customFormat="1">
      <c r="A14" s="219"/>
      <c r="B14" s="226"/>
      <c r="C14" s="227">
        <v>4</v>
      </c>
      <c r="D14" s="228" t="s">
        <v>1600</v>
      </c>
    </row>
    <row r="15" spans="1:11" s="181" customFormat="1">
      <c r="A15" s="219"/>
      <c r="B15" s="226"/>
      <c r="C15" s="227">
        <v>5</v>
      </c>
      <c r="D15" s="231" t="s">
        <v>969</v>
      </c>
    </row>
    <row r="16" spans="1:11" s="181" customFormat="1">
      <c r="A16" s="219"/>
      <c r="B16" s="226"/>
      <c r="C16" s="227">
        <v>6</v>
      </c>
      <c r="D16" s="231" t="s">
        <v>1438</v>
      </c>
    </row>
    <row r="17" spans="1:4" s="181" customFormat="1" ht="6" hidden="1" customHeight="1">
      <c r="A17" s="219"/>
      <c r="B17" s="229"/>
      <c r="C17" s="227"/>
      <c r="D17" s="232"/>
    </row>
    <row r="18" spans="1:4" s="181" customFormat="1" ht="12" customHeight="1">
      <c r="A18" s="219"/>
      <c r="B18" s="226"/>
      <c r="C18" s="227">
        <v>7</v>
      </c>
      <c r="D18" s="231" t="s">
        <v>1437</v>
      </c>
    </row>
    <row r="19" spans="1:4" s="181" customFormat="1" hidden="1">
      <c r="A19" s="219"/>
      <c r="B19" s="229"/>
      <c r="C19" s="227"/>
      <c r="D19" s="232"/>
    </row>
    <row r="20" spans="1:4" s="181" customFormat="1">
      <c r="A20" s="219"/>
      <c r="B20" s="226"/>
      <c r="C20" s="227">
        <v>8</v>
      </c>
      <c r="D20" s="231" t="s">
        <v>1601</v>
      </c>
    </row>
    <row r="21" spans="1:4" s="181" customFormat="1">
      <c r="A21" s="219"/>
      <c r="B21" s="229"/>
      <c r="C21" s="227"/>
      <c r="D21" s="233" t="s">
        <v>1534</v>
      </c>
    </row>
    <row r="22" spans="1:4" s="181" customFormat="1">
      <c r="A22" s="219"/>
      <c r="B22" s="226"/>
      <c r="C22" s="227">
        <v>9</v>
      </c>
      <c r="D22" s="231" t="s">
        <v>1602</v>
      </c>
    </row>
    <row r="23" spans="1:4" s="181" customFormat="1">
      <c r="A23" s="219"/>
      <c r="B23" s="234"/>
      <c r="C23" s="227"/>
      <c r="D23" s="235" t="s">
        <v>1535</v>
      </c>
    </row>
    <row r="24" spans="1:4" s="181" customFormat="1">
      <c r="A24" s="219"/>
      <c r="B24" s="226"/>
      <c r="C24" s="227">
        <v>10</v>
      </c>
      <c r="D24" s="231" t="s">
        <v>1603</v>
      </c>
    </row>
    <row r="25" spans="1:4" s="181" customFormat="1">
      <c r="A25" s="219"/>
      <c r="B25" s="226"/>
      <c r="C25" s="227">
        <v>11</v>
      </c>
      <c r="D25" s="231" t="s">
        <v>1604</v>
      </c>
    </row>
    <row r="26" spans="1:4" s="181" customFormat="1">
      <c r="A26" s="219"/>
      <c r="B26" s="234"/>
      <c r="C26" s="227"/>
      <c r="D26" s="235" t="s">
        <v>1536</v>
      </c>
    </row>
    <row r="27" spans="1:4" s="181" customFormat="1">
      <c r="A27" s="219"/>
      <c r="B27" s="226"/>
      <c r="C27" s="227">
        <v>12</v>
      </c>
      <c r="D27" s="231" t="s">
        <v>1538</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1605</v>
      </c>
    </row>
    <row r="31" spans="1:4" s="181" customFormat="1">
      <c r="A31" s="219"/>
      <c r="B31" s="226"/>
      <c r="C31" s="227">
        <v>14</v>
      </c>
      <c r="D31" s="231" t="s">
        <v>1906</v>
      </c>
    </row>
    <row r="32" spans="1:4" s="181" customFormat="1">
      <c r="A32" s="219"/>
      <c r="B32" s="236"/>
      <c r="C32" s="227"/>
      <c r="D32" s="237" t="s">
        <v>1755</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76" t="s">
        <v>1606</v>
      </c>
      <c r="B35" s="2077"/>
      <c r="C35" s="2077"/>
      <c r="D35" s="2077"/>
      <c r="E35" s="2078"/>
      <c r="F35" s="2078"/>
      <c r="G35" s="2078"/>
      <c r="H35" s="2078"/>
      <c r="I35" s="2078"/>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1607</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1608</v>
      </c>
    </row>
    <row r="43" spans="1:9" s="181" customFormat="1">
      <c r="A43" s="219"/>
      <c r="B43" s="229"/>
      <c r="C43" s="227"/>
      <c r="D43" s="240" t="s">
        <v>1609</v>
      </c>
    </row>
    <row r="44" spans="1:9" s="181" customFormat="1">
      <c r="A44" s="219"/>
      <c r="B44" s="226"/>
      <c r="C44" s="227">
        <v>18</v>
      </c>
      <c r="D44" s="242" t="s">
        <v>301</v>
      </c>
    </row>
    <row r="45" spans="1:9" s="181" customFormat="1">
      <c r="A45" s="219"/>
      <c r="B45" s="229"/>
      <c r="C45" s="227"/>
      <c r="D45" s="240" t="s">
        <v>188</v>
      </c>
    </row>
    <row r="46" spans="1:9" s="181" customFormat="1" ht="16.7" customHeight="1">
      <c r="A46" s="219"/>
      <c r="B46" s="229"/>
      <c r="C46" s="227"/>
      <c r="D46" s="239"/>
    </row>
    <row r="47" spans="1:9" s="181" customFormat="1">
      <c r="A47" s="2076" t="s">
        <v>313</v>
      </c>
      <c r="B47" s="2079"/>
      <c r="C47" s="2079"/>
      <c r="D47" s="2079"/>
      <c r="E47" s="2080"/>
      <c r="F47" s="2080"/>
      <c r="G47" s="2080"/>
      <c r="H47" s="2080"/>
      <c r="I47" s="2080"/>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1612</v>
      </c>
    </row>
    <row r="51" spans="1:10">
      <c r="B51" s="244"/>
      <c r="C51" s="245">
        <v>21</v>
      </c>
      <c r="D51" s="218" t="s">
        <v>1049</v>
      </c>
    </row>
    <row r="52" spans="1:10">
      <c r="B52" s="246"/>
      <c r="C52" s="245"/>
      <c r="D52" s="240" t="s">
        <v>840</v>
      </c>
    </row>
    <row r="53" spans="1:10" s="181" customFormat="1" ht="15.75" customHeight="1">
      <c r="A53" s="219"/>
      <c r="B53" s="220"/>
      <c r="C53" s="179">
        <v>22</v>
      </c>
      <c r="D53" s="247" t="s">
        <v>1441</v>
      </c>
      <c r="E53" s="248"/>
      <c r="F53" s="249"/>
      <c r="G53" s="249" t="s">
        <v>1440</v>
      </c>
      <c r="H53" s="250"/>
      <c r="I53" s="237" t="s">
        <v>1462</v>
      </c>
    </row>
    <row r="54" spans="1:10" s="181" customFormat="1">
      <c r="A54" s="219"/>
      <c r="B54" s="220"/>
      <c r="C54" s="179">
        <v>23</v>
      </c>
      <c r="D54" s="243" t="s">
        <v>1341</v>
      </c>
      <c r="E54" s="248"/>
      <c r="F54" s="249"/>
    </row>
    <row r="55" spans="1:10" s="181" customFormat="1">
      <c r="A55" s="214"/>
      <c r="B55" s="251"/>
      <c r="C55" s="251"/>
      <c r="D55" s="231" t="s">
        <v>1754</v>
      </c>
      <c r="E55" s="252"/>
      <c r="F55" s="252"/>
      <c r="G55" s="252"/>
      <c r="H55" s="252"/>
      <c r="I55" s="252"/>
    </row>
    <row r="56" spans="1:10" s="181" customFormat="1">
      <c r="A56" s="214"/>
      <c r="B56" s="251"/>
      <c r="E56" s="252"/>
      <c r="F56" s="252"/>
      <c r="G56" s="252"/>
      <c r="H56" s="252"/>
      <c r="I56" s="252"/>
    </row>
    <row r="57" spans="1:10" s="181" customFormat="1" ht="13.15" customHeight="1">
      <c r="A57" s="253"/>
      <c r="B57" s="2083" t="s">
        <v>2048</v>
      </c>
      <c r="C57" s="2084"/>
      <c r="D57" s="2084"/>
      <c r="E57" s="2084"/>
      <c r="F57" s="2084"/>
      <c r="G57" s="2084"/>
      <c r="H57" s="2084"/>
      <c r="I57" s="2084"/>
      <c r="J57" s="2085"/>
    </row>
    <row r="58" spans="1:10" s="181" customFormat="1">
      <c r="A58" s="253"/>
      <c r="B58" s="2086"/>
      <c r="C58" s="2087"/>
      <c r="D58" s="2087"/>
      <c r="E58" s="2087"/>
      <c r="F58" s="2087"/>
      <c r="G58" s="2087"/>
      <c r="H58" s="2087"/>
      <c r="I58" s="2087"/>
      <c r="J58" s="2088"/>
    </row>
    <row r="59" spans="1:10" s="181" customFormat="1">
      <c r="A59" s="253"/>
      <c r="B59" s="2086"/>
      <c r="C59" s="2087"/>
      <c r="D59" s="2087"/>
      <c r="E59" s="2087"/>
      <c r="F59" s="2087"/>
      <c r="G59" s="2087"/>
      <c r="H59" s="2087"/>
      <c r="I59" s="2087"/>
      <c r="J59" s="2088"/>
    </row>
    <row r="60" spans="1:10" s="181" customFormat="1">
      <c r="A60" s="253"/>
      <c r="B60" s="2086"/>
      <c r="C60" s="2087"/>
      <c r="D60" s="2087"/>
      <c r="E60" s="2087"/>
      <c r="F60" s="2087"/>
      <c r="G60" s="2087"/>
      <c r="H60" s="2087"/>
      <c r="I60" s="2087"/>
      <c r="J60" s="2088"/>
    </row>
    <row r="61" spans="1:10" s="181" customFormat="1">
      <c r="A61" s="253"/>
      <c r="B61" s="2086"/>
      <c r="C61" s="2087"/>
      <c r="D61" s="2087"/>
      <c r="E61" s="2087"/>
      <c r="F61" s="2087"/>
      <c r="G61" s="2087"/>
      <c r="H61" s="2087"/>
      <c r="I61" s="2087"/>
      <c r="J61" s="2088"/>
    </row>
    <row r="62" spans="1:10" s="181" customFormat="1">
      <c r="A62" s="253"/>
      <c r="B62" s="2086"/>
      <c r="C62" s="2087"/>
      <c r="D62" s="2087"/>
      <c r="E62" s="2087"/>
      <c r="F62" s="2087"/>
      <c r="G62" s="2087"/>
      <c r="H62" s="2087"/>
      <c r="I62" s="2087"/>
      <c r="J62" s="2088"/>
    </row>
    <row r="63" spans="1:10" s="181" customFormat="1">
      <c r="A63" s="253"/>
      <c r="B63" s="2086"/>
      <c r="C63" s="2087"/>
      <c r="D63" s="2087"/>
      <c r="E63" s="2087"/>
      <c r="F63" s="2087"/>
      <c r="G63" s="2087"/>
      <c r="H63" s="2087"/>
      <c r="I63" s="2087"/>
      <c r="J63" s="2088"/>
    </row>
    <row r="64" spans="1:10" s="181" customFormat="1">
      <c r="A64" s="253"/>
      <c r="B64" s="2086"/>
      <c r="C64" s="2087"/>
      <c r="D64" s="2087"/>
      <c r="E64" s="2087"/>
      <c r="F64" s="2087"/>
      <c r="G64" s="2087"/>
      <c r="H64" s="2087"/>
      <c r="I64" s="2087"/>
      <c r="J64" s="2088"/>
    </row>
    <row r="65" spans="1:10" s="181" customFormat="1">
      <c r="A65" s="253"/>
      <c r="B65" s="2086"/>
      <c r="C65" s="2087"/>
      <c r="D65" s="2087"/>
      <c r="E65" s="2087"/>
      <c r="F65" s="2087"/>
      <c r="G65" s="2087"/>
      <c r="H65" s="2087"/>
      <c r="I65" s="2087"/>
      <c r="J65" s="2088"/>
    </row>
    <row r="66" spans="1:10" s="181" customFormat="1">
      <c r="A66" s="253"/>
      <c r="B66" s="2086"/>
      <c r="C66" s="2087"/>
      <c r="D66" s="2087"/>
      <c r="E66" s="2087"/>
      <c r="F66" s="2087"/>
      <c r="G66" s="2087"/>
      <c r="H66" s="2087"/>
      <c r="I66" s="2087"/>
      <c r="J66" s="2088"/>
    </row>
    <row r="67" spans="1:10" s="181" customFormat="1" ht="9.4" customHeight="1">
      <c r="A67" s="254"/>
      <c r="B67" s="2089"/>
      <c r="C67" s="2090"/>
      <c r="D67" s="2090"/>
      <c r="E67" s="2090"/>
      <c r="F67" s="2090"/>
      <c r="G67" s="2090"/>
      <c r="H67" s="2090"/>
      <c r="I67" s="2090"/>
      <c r="J67" s="2091"/>
    </row>
    <row r="68" spans="1:10" s="181" customFormat="1" ht="9.4"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076" t="s">
        <v>1302</v>
      </c>
      <c r="B70" s="2079"/>
      <c r="C70" s="2079"/>
      <c r="D70" s="2079"/>
      <c r="E70" s="2080"/>
      <c r="F70" s="2080"/>
      <c r="G70" s="2080"/>
      <c r="H70" s="2080"/>
      <c r="I70" s="2080"/>
    </row>
    <row r="71" spans="1:10" s="181" customFormat="1">
      <c r="A71" s="219"/>
      <c r="C71" s="257"/>
      <c r="D71" s="258" t="s">
        <v>1301</v>
      </c>
      <c r="E71" s="256"/>
      <c r="F71" s="256"/>
      <c r="G71" s="256"/>
      <c r="H71" s="256"/>
    </row>
    <row r="72" spans="1:10" s="181" customFormat="1" ht="5.25" customHeight="1">
      <c r="B72" s="255"/>
      <c r="C72" s="256"/>
      <c r="D72" s="256"/>
      <c r="E72" s="256"/>
      <c r="F72" s="256"/>
      <c r="G72" s="256"/>
      <c r="H72" s="256"/>
    </row>
    <row r="73" spans="1:10" s="181" customFormat="1">
      <c r="A73" s="259" t="s">
        <v>1890</v>
      </c>
      <c r="B73" s="255"/>
      <c r="C73" s="256"/>
      <c r="D73" s="256"/>
      <c r="E73" s="256"/>
      <c r="F73" s="256"/>
      <c r="G73" s="256"/>
      <c r="H73" s="256"/>
    </row>
    <row r="74" spans="1:10" s="181" customFormat="1">
      <c r="A74" s="259" t="s">
        <v>1404</v>
      </c>
      <c r="B74" s="255"/>
      <c r="C74" s="256"/>
      <c r="D74" s="256"/>
      <c r="E74" s="256"/>
      <c r="F74" s="256"/>
      <c r="G74" s="256"/>
      <c r="H74" s="256"/>
    </row>
    <row r="75" spans="1:10" s="181" customFormat="1">
      <c r="A75" s="259" t="s">
        <v>1907</v>
      </c>
      <c r="B75" s="255"/>
      <c r="C75" s="256"/>
      <c r="D75" s="256"/>
      <c r="E75" s="256"/>
      <c r="F75" s="256"/>
      <c r="G75" s="256"/>
      <c r="H75" s="256"/>
    </row>
    <row r="76" spans="1:10" s="181" customFormat="1" ht="18.75" customHeight="1">
      <c r="A76" s="239" t="s">
        <v>1405</v>
      </c>
      <c r="B76" s="255"/>
      <c r="C76" s="256"/>
      <c r="D76" s="256"/>
      <c r="E76" s="256"/>
      <c r="F76" s="256"/>
      <c r="G76" s="256"/>
      <c r="H76" s="256"/>
    </row>
    <row r="77" spans="1:10" s="181" customFormat="1">
      <c r="C77" s="179">
        <v>24</v>
      </c>
      <c r="D77" s="247" t="s">
        <v>1620</v>
      </c>
      <c r="G77" s="297" t="s">
        <v>1865</v>
      </c>
      <c r="I77" s="1770"/>
      <c r="J77" s="261">
        <v>43707</v>
      </c>
    </row>
    <row r="78" spans="1:10" s="181" customFormat="1" ht="6" customHeight="1">
      <c r="A78" s="219"/>
      <c r="B78" s="262"/>
      <c r="C78" s="179"/>
      <c r="D78" s="247"/>
      <c r="E78" s="248"/>
      <c r="F78" s="249"/>
    </row>
    <row r="79" spans="1:10" s="181" customFormat="1">
      <c r="A79" s="219"/>
      <c r="B79" s="262"/>
      <c r="C79" s="179">
        <v>25</v>
      </c>
      <c r="D79" s="247" t="s">
        <v>1618</v>
      </c>
      <c r="E79" s="248"/>
      <c r="F79" s="249"/>
    </row>
    <row r="80" spans="1:10" s="181" customFormat="1">
      <c r="A80" s="219"/>
      <c r="B80" s="262"/>
      <c r="C80" s="179"/>
      <c r="D80" s="247" t="s">
        <v>1619</v>
      </c>
      <c r="E80" s="248"/>
      <c r="F80" s="249"/>
    </row>
    <row r="81" spans="1:10" s="181" customFormat="1">
      <c r="A81" s="219"/>
      <c r="B81" s="262"/>
    </row>
    <row r="82" spans="1:10" s="181" customFormat="1" ht="13.15" customHeight="1">
      <c r="A82" s="219"/>
      <c r="B82" s="262"/>
      <c r="C82" s="247"/>
    </row>
    <row r="83" spans="1:10" s="181" customFormat="1" ht="13.15" customHeight="1" thickBot="1">
      <c r="A83" s="2081" t="s">
        <v>1299</v>
      </c>
      <c r="B83" s="2081"/>
      <c r="C83" s="2081"/>
      <c r="D83" s="2082"/>
      <c r="E83" s="263" t="s">
        <v>1336</v>
      </c>
      <c r="F83" s="263" t="s">
        <v>1337</v>
      </c>
      <c r="G83" s="263" t="s">
        <v>1338</v>
      </c>
      <c r="H83" s="263" t="s">
        <v>1339</v>
      </c>
      <c r="I83" s="263" t="s">
        <v>1340</v>
      </c>
      <c r="J83" s="264" t="s">
        <v>156</v>
      </c>
    </row>
    <row r="84" spans="1:10" s="181" customFormat="1" ht="13.5" customHeight="1" thickTop="1">
      <c r="A84" s="265" t="s">
        <v>1423</v>
      </c>
      <c r="B84" s="266"/>
      <c r="C84" s="267"/>
      <c r="D84" s="268"/>
      <c r="E84" s="269"/>
      <c r="F84" s="269"/>
      <c r="G84" s="269"/>
      <c r="H84" s="269"/>
      <c r="I84" s="269"/>
      <c r="J84" s="270"/>
    </row>
    <row r="85" spans="1:10" s="181" customFormat="1" ht="13.5" customHeight="1">
      <c r="A85" s="271" t="s">
        <v>1888</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1300</v>
      </c>
      <c r="B87" s="283"/>
      <c r="C87" s="284"/>
      <c r="D87" s="281"/>
      <c r="E87" s="269"/>
      <c r="F87" s="269"/>
      <c r="G87" s="269"/>
      <c r="H87" s="269"/>
      <c r="I87" s="269"/>
      <c r="J87" s="270"/>
    </row>
    <row r="88" spans="1:10" s="181" customFormat="1" ht="13.5" customHeight="1">
      <c r="A88" s="285" t="s">
        <v>1888</v>
      </c>
      <c r="B88" s="286"/>
      <c r="C88" s="287"/>
      <c r="D88" s="288"/>
      <c r="E88" s="276"/>
      <c r="F88" s="276">
        <v>103563</v>
      </c>
      <c r="G88" s="276">
        <v>260096</v>
      </c>
      <c r="H88" s="276">
        <v>51659</v>
      </c>
      <c r="I88" s="276"/>
      <c r="J88" s="277">
        <f>SUM(E88:I88)</f>
        <v>415318</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415318</v>
      </c>
    </row>
    <row r="91" spans="1:10" s="181" customFormat="1">
      <c r="A91" s="219"/>
      <c r="B91" s="262"/>
      <c r="C91" s="179"/>
      <c r="E91" s="260"/>
      <c r="F91" s="296"/>
      <c r="H91" s="297"/>
    </row>
    <row r="92" spans="1:10" s="181" customFormat="1">
      <c r="A92" s="219"/>
      <c r="B92" s="247" t="s">
        <v>1613</v>
      </c>
      <c r="C92" s="179"/>
      <c r="E92" s="260"/>
      <c r="F92" s="296"/>
      <c r="H92" s="297"/>
    </row>
    <row r="93" spans="1:10" s="181" customFormat="1" ht="16.7" customHeight="1">
      <c r="A93" s="219"/>
      <c r="B93" s="298" t="s">
        <v>1889</v>
      </c>
      <c r="C93" s="179"/>
      <c r="E93" s="260"/>
      <c r="F93" s="296"/>
      <c r="H93" s="297"/>
    </row>
    <row r="94" spans="1:10" s="181" customFormat="1">
      <c r="A94" s="299" t="s">
        <v>1310</v>
      </c>
      <c r="B94" s="300"/>
      <c r="C94" s="300"/>
      <c r="D94" s="301"/>
      <c r="E94" s="302"/>
      <c r="F94" s="303"/>
      <c r="G94" s="304"/>
      <c r="H94" s="305"/>
      <c r="I94" s="306"/>
    </row>
    <row r="95" spans="1:10" s="181" customFormat="1">
      <c r="A95" s="307"/>
      <c r="B95" s="308" t="s">
        <v>1614</v>
      </c>
      <c r="C95" s="309"/>
      <c r="D95" s="310"/>
      <c r="E95" s="304"/>
      <c r="F95" s="304"/>
      <c r="G95" s="304"/>
      <c r="H95" s="304"/>
      <c r="I95" s="304"/>
    </row>
    <row r="96" spans="1:10" s="181" customFormat="1">
      <c r="A96" s="307" t="s">
        <v>1169</v>
      </c>
      <c r="B96" s="345" t="s">
        <v>1616</v>
      </c>
      <c r="C96" s="309"/>
      <c r="D96" s="311"/>
      <c r="E96" s="311"/>
      <c r="F96" s="311"/>
      <c r="G96" s="311"/>
      <c r="H96" s="311"/>
      <c r="I96" s="304"/>
    </row>
    <row r="97" spans="1:9" s="181" customFormat="1">
      <c r="A97" s="307"/>
      <c r="B97" s="308" t="s">
        <v>1615</v>
      </c>
      <c r="C97" s="309"/>
      <c r="D97" s="311"/>
      <c r="E97" s="311"/>
      <c r="F97" s="311"/>
      <c r="G97" s="311"/>
      <c r="H97" s="311"/>
      <c r="I97" s="304"/>
    </row>
    <row r="98" spans="1:9" s="181" customFormat="1">
      <c r="A98" s="308"/>
      <c r="B98" s="312" t="s">
        <v>1617</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63"/>
      <c r="C102" s="2064"/>
      <c r="D102" s="2064"/>
      <c r="E102" s="2064"/>
      <c r="F102" s="2064"/>
      <c r="G102" s="2064"/>
      <c r="H102" s="2064"/>
      <c r="I102" s="2065"/>
    </row>
    <row r="103" spans="1:9" s="181" customFormat="1" ht="11.25" customHeight="1">
      <c r="A103" s="316"/>
      <c r="B103" s="2066"/>
      <c r="C103" s="2067"/>
      <c r="D103" s="2067"/>
      <c r="E103" s="2067"/>
      <c r="F103" s="2067"/>
      <c r="G103" s="2067"/>
      <c r="H103" s="2067"/>
      <c r="I103" s="2068"/>
    </row>
    <row r="104" spans="1:9" s="181" customFormat="1" ht="11.25" customHeight="1">
      <c r="A104" s="316"/>
      <c r="B104" s="2066"/>
      <c r="C104" s="2067"/>
      <c r="D104" s="2067"/>
      <c r="E104" s="2067"/>
      <c r="F104" s="2067"/>
      <c r="G104" s="2067"/>
      <c r="H104" s="2067"/>
      <c r="I104" s="2068"/>
    </row>
    <row r="105" spans="1:9" s="181" customFormat="1">
      <c r="A105" s="316"/>
      <c r="B105" s="2066"/>
      <c r="C105" s="2067"/>
      <c r="D105" s="2067"/>
      <c r="E105" s="2067"/>
      <c r="F105" s="2067"/>
      <c r="G105" s="2067"/>
      <c r="H105" s="2067"/>
      <c r="I105" s="2068"/>
    </row>
    <row r="106" spans="1:9" s="181" customFormat="1" ht="11.25" customHeight="1">
      <c r="A106" s="316"/>
      <c r="B106" s="2066"/>
      <c r="C106" s="2067"/>
      <c r="D106" s="2067"/>
      <c r="E106" s="2067"/>
      <c r="F106" s="2067"/>
      <c r="G106" s="2067"/>
      <c r="H106" s="2067"/>
      <c r="I106" s="2068"/>
    </row>
    <row r="107" spans="1:9" s="181" customFormat="1" ht="11.25" customHeight="1">
      <c r="A107" s="316"/>
      <c r="B107" s="2066"/>
      <c r="C107" s="2067"/>
      <c r="D107" s="2067"/>
      <c r="E107" s="2067"/>
      <c r="F107" s="2067"/>
      <c r="G107" s="2067"/>
      <c r="H107" s="2067"/>
      <c r="I107" s="2068"/>
    </row>
    <row r="108" spans="1:9" s="181" customFormat="1" ht="11.25" customHeight="1">
      <c r="A108" s="316"/>
      <c r="B108" s="2066"/>
      <c r="C108" s="2067"/>
      <c r="D108" s="2067"/>
      <c r="E108" s="2067"/>
      <c r="F108" s="2067"/>
      <c r="G108" s="2067"/>
      <c r="H108" s="2067"/>
      <c r="I108" s="2068"/>
    </row>
    <row r="109" spans="1:9" s="181" customFormat="1" ht="11.25" customHeight="1">
      <c r="A109" s="316"/>
      <c r="B109" s="2066"/>
      <c r="C109" s="2067"/>
      <c r="D109" s="2067"/>
      <c r="E109" s="2067"/>
      <c r="F109" s="2067"/>
      <c r="G109" s="2067"/>
      <c r="H109" s="2067"/>
      <c r="I109" s="2068"/>
    </row>
    <row r="110" spans="1:9" s="181" customFormat="1" ht="11.25" customHeight="1">
      <c r="A110" s="316"/>
      <c r="B110" s="2066"/>
      <c r="C110" s="2067"/>
      <c r="D110" s="2067"/>
      <c r="E110" s="2067"/>
      <c r="F110" s="2067"/>
      <c r="G110" s="2067"/>
      <c r="H110" s="2067"/>
      <c r="I110" s="2068"/>
    </row>
    <row r="111" spans="1:9" s="181" customFormat="1" ht="11.25" customHeight="1">
      <c r="A111" s="316"/>
      <c r="B111" s="2066"/>
      <c r="C111" s="2067"/>
      <c r="D111" s="2067"/>
      <c r="E111" s="2067"/>
      <c r="F111" s="2067"/>
      <c r="G111" s="2067"/>
      <c r="H111" s="2067"/>
      <c r="I111" s="2068"/>
    </row>
    <row r="112" spans="1:9" s="181" customFormat="1" ht="11.25" customHeight="1">
      <c r="A112" s="316"/>
      <c r="B112" s="2069"/>
      <c r="C112" s="2070"/>
      <c r="D112" s="2070"/>
      <c r="E112" s="2070"/>
      <c r="F112" s="2070"/>
      <c r="G112" s="2070"/>
      <c r="H112" s="2070"/>
      <c r="I112" s="2071"/>
    </row>
    <row r="113" spans="1:9" s="181" customFormat="1" ht="11.25" customHeight="1">
      <c r="A113" s="317"/>
      <c r="B113" s="311"/>
      <c r="C113" s="311"/>
      <c r="D113" s="311"/>
      <c r="E113" s="304"/>
      <c r="F113" s="304"/>
      <c r="G113" s="304"/>
      <c r="H113" s="304"/>
      <c r="I113" s="304"/>
    </row>
    <row r="114" spans="1:9" s="181" customFormat="1" ht="18" customHeight="1">
      <c r="A114" s="316"/>
      <c r="B114" s="317"/>
      <c r="C114" s="2072" t="s">
        <v>2024</v>
      </c>
      <c r="D114" s="2072"/>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73" t="s">
        <v>1309</v>
      </c>
      <c r="D117" s="2074"/>
      <c r="E117" s="2075"/>
      <c r="F117" s="2075"/>
      <c r="G117" s="2075"/>
      <c r="H117" s="2075"/>
      <c r="I117" s="304"/>
    </row>
    <row r="118" spans="1:9" s="181" customFormat="1" ht="24" customHeight="1">
      <c r="A118" s="316"/>
      <c r="B118" s="316"/>
      <c r="C118" s="316"/>
      <c r="D118" s="323"/>
      <c r="E118" s="322"/>
      <c r="F118" s="324"/>
      <c r="G118" s="1772"/>
      <c r="H118" s="322"/>
      <c r="I118" s="304"/>
    </row>
    <row r="119" spans="1:9" s="181" customFormat="1" ht="11.25" customHeight="1">
      <c r="A119" s="325"/>
      <c r="B119" s="325"/>
      <c r="C119" s="326"/>
      <c r="D119" s="327" t="s">
        <v>361</v>
      </c>
      <c r="E119" s="310"/>
      <c r="F119" s="1771" t="s">
        <v>1866</v>
      </c>
      <c r="G119" s="328"/>
      <c r="H119" s="328"/>
      <c r="I119" s="304"/>
    </row>
    <row r="120" spans="1:9">
      <c r="A120" s="329"/>
      <c r="B120" s="180"/>
      <c r="C120" s="330"/>
      <c r="D120" s="256"/>
      <c r="E120" s="256"/>
      <c r="F120" s="256"/>
      <c r="G120" s="256"/>
      <c r="H120" s="256"/>
      <c r="I120" s="304"/>
    </row>
    <row r="121" spans="1:9">
      <c r="A121" s="329"/>
      <c r="B121" s="1421" t="s">
        <v>1574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T15" sqref="T15:AA15"/>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46" t="str">
        <f>'Single Audit Cover'!A7</f>
        <v>Dixon USD 170</v>
      </c>
      <c r="B1" s="2446"/>
      <c r="C1" s="2446"/>
      <c r="D1" s="2446"/>
      <c r="E1" s="2446"/>
      <c r="F1" s="2446"/>
    </row>
    <row r="2" spans="1:7" ht="13.5" customHeight="1">
      <c r="A2" s="2447">
        <f>'Single Audit Cover'!E7</f>
        <v>47052170022</v>
      </c>
      <c r="B2" s="2447"/>
      <c r="C2" s="2447"/>
      <c r="D2" s="2447"/>
      <c r="E2" s="2447"/>
      <c r="F2" s="2447"/>
      <c r="G2" s="1272"/>
    </row>
    <row r="3" spans="1:7" ht="15.75" customHeight="1">
      <c r="A3" s="2448" t="s">
        <v>1250</v>
      </c>
      <c r="B3" s="2448"/>
      <c r="C3" s="2448"/>
      <c r="D3" s="2448"/>
      <c r="E3" s="2448"/>
      <c r="F3" s="2448"/>
    </row>
    <row r="4" spans="1:7" ht="13.5" customHeight="1">
      <c r="A4" s="2449" t="str">
        <f>'Single Audit Cover'!A4</f>
        <v>Year Ending June 30, 2019</v>
      </c>
      <c r="B4" s="2449"/>
      <c r="C4" s="2449"/>
      <c r="D4" s="2449"/>
      <c r="E4" s="2449"/>
      <c r="F4" s="2449"/>
    </row>
    <row r="5" spans="1:7" ht="8.25" customHeight="1">
      <c r="C5" s="317"/>
      <c r="D5" s="317"/>
    </row>
    <row r="6" spans="1:7" ht="13.5" customHeight="1">
      <c r="A6" s="1273" t="s">
        <v>1701</v>
      </c>
      <c r="C6" s="317"/>
      <c r="D6" s="317"/>
    </row>
    <row r="7" spans="1:7" ht="60.95" customHeight="1">
      <c r="A7" s="2445" t="s">
        <v>2065</v>
      </c>
      <c r="B7" s="2445"/>
      <c r="C7" s="2445"/>
      <c r="D7" s="2445"/>
      <c r="E7" s="2445"/>
      <c r="F7" s="2445"/>
    </row>
    <row r="8" spans="1:7" ht="12" customHeight="1">
      <c r="A8" s="1273"/>
      <c r="B8" s="1279"/>
      <c r="C8" s="1279"/>
      <c r="D8" s="1279"/>
    </row>
    <row r="9" spans="1:7" ht="15" customHeight="1">
      <c r="A9" s="1274" t="s">
        <v>1702</v>
      </c>
      <c r="B9" s="1277"/>
      <c r="C9" s="1277"/>
      <c r="D9" s="1277"/>
      <c r="E9" s="1275"/>
      <c r="F9" s="1275"/>
      <c r="G9" s="1275"/>
    </row>
    <row r="10" spans="1:7" ht="15" customHeight="1">
      <c r="A10" s="1276" t="s">
        <v>1526</v>
      </c>
      <c r="B10" s="1277"/>
      <c r="C10" s="1278"/>
      <c r="D10" s="1277" t="s">
        <v>1527</v>
      </c>
      <c r="E10" s="1278" t="s">
        <v>2032</v>
      </c>
      <c r="F10" s="1277" t="s">
        <v>99</v>
      </c>
      <c r="G10" s="1275"/>
    </row>
    <row r="11" spans="1:7" ht="12" customHeight="1">
      <c r="A11" s="1276"/>
      <c r="B11" s="1277"/>
      <c r="C11" s="1834"/>
      <c r="D11" s="1277"/>
      <c r="E11" s="1834"/>
      <c r="F11" s="1277"/>
      <c r="G11" s="1275"/>
    </row>
    <row r="12" spans="1:7">
      <c r="A12" s="1273" t="s">
        <v>1560</v>
      </c>
      <c r="C12" s="1257"/>
      <c r="D12" s="1257"/>
    </row>
    <row r="13" spans="1:7" ht="15" customHeight="1">
      <c r="A13" s="2445" t="s">
        <v>2066</v>
      </c>
      <c r="B13" s="2445"/>
      <c r="C13" s="2445"/>
      <c r="D13" s="2445"/>
      <c r="E13" s="2445"/>
      <c r="F13" s="2445"/>
    </row>
    <row r="14" spans="1:7" ht="9.75" customHeight="1">
      <c r="C14" s="1257"/>
      <c r="D14" s="1257"/>
    </row>
    <row r="15" spans="1:7" ht="13.5" customHeight="1">
      <c r="C15" s="1778" t="s">
        <v>1249</v>
      </c>
      <c r="D15" s="2451" t="s">
        <v>1248</v>
      </c>
      <c r="E15" s="2451"/>
      <c r="F15" s="2451"/>
    </row>
    <row r="16" spans="1:7" ht="13.5" customHeight="1">
      <c r="A16" s="1279"/>
      <c r="B16" s="1273" t="s">
        <v>1247</v>
      </c>
      <c r="C16" s="1778" t="s">
        <v>1246</v>
      </c>
      <c r="D16" s="2452" t="s">
        <v>1561</v>
      </c>
      <c r="E16" s="2452"/>
      <c r="F16" s="2452"/>
    </row>
    <row r="17" spans="1:6" ht="20.45" customHeight="1">
      <c r="A17" s="1280"/>
      <c r="B17" s="1281" t="s">
        <v>2063</v>
      </c>
      <c r="C17" s="1282"/>
      <c r="D17" s="2450"/>
      <c r="E17" s="2450"/>
      <c r="F17" s="2450"/>
    </row>
    <row r="18" spans="1:6" ht="20.85" customHeight="1">
      <c r="A18" s="1280"/>
      <c r="B18" s="1281"/>
      <c r="C18" s="1282"/>
      <c r="D18" s="2450"/>
      <c r="E18" s="2450"/>
      <c r="F18" s="2450"/>
    </row>
    <row r="19" spans="1:6" ht="20.85" customHeight="1">
      <c r="A19" s="1280"/>
      <c r="B19" s="1281"/>
      <c r="C19" s="1282"/>
      <c r="D19" s="2450"/>
      <c r="E19" s="2450"/>
      <c r="F19" s="2450"/>
    </row>
    <row r="20" spans="1:6" ht="20.85" customHeight="1">
      <c r="A20" s="1280"/>
      <c r="B20" s="1281"/>
      <c r="C20" s="1282"/>
      <c r="D20" s="2450"/>
      <c r="E20" s="2450"/>
      <c r="F20" s="2450"/>
    </row>
    <row r="21" spans="1:6" ht="20.85" customHeight="1">
      <c r="A21" s="1280"/>
      <c r="B21" s="1281"/>
      <c r="C21" s="1282"/>
      <c r="D21" s="2450"/>
      <c r="E21" s="2450"/>
      <c r="F21" s="2450"/>
    </row>
    <row r="22" spans="1:6" ht="20.85" customHeight="1">
      <c r="A22" s="1280"/>
      <c r="B22" s="1281"/>
      <c r="C22" s="1282"/>
      <c r="D22" s="2450"/>
      <c r="E22" s="2450"/>
      <c r="F22" s="2450"/>
    </row>
    <row r="23" spans="1:6" ht="20.85" customHeight="1">
      <c r="A23" s="1280"/>
      <c r="B23" s="1281"/>
      <c r="C23" s="1282"/>
      <c r="D23" s="2450"/>
      <c r="E23" s="2450"/>
      <c r="F23" s="2450"/>
    </row>
    <row r="24" spans="1:6" ht="20.85" customHeight="1">
      <c r="A24" s="1280"/>
      <c r="B24" s="1281"/>
      <c r="C24" s="1282"/>
      <c r="D24" s="2450"/>
      <c r="E24" s="2450"/>
      <c r="F24" s="2450"/>
    </row>
    <row r="25" spans="1:6" ht="20.85" customHeight="1">
      <c r="A25" s="1280"/>
      <c r="B25" s="1281"/>
      <c r="C25" s="1282"/>
      <c r="D25" s="2450"/>
      <c r="E25" s="2450"/>
      <c r="F25" s="2450"/>
    </row>
    <row r="26" spans="1:6" ht="20.85" customHeight="1">
      <c r="A26" s="1280"/>
      <c r="B26" s="1281"/>
      <c r="C26" s="1282"/>
      <c r="D26" s="2450"/>
      <c r="E26" s="2450"/>
      <c r="F26" s="2450"/>
    </row>
    <row r="27" spans="1:6" ht="20.85" customHeight="1">
      <c r="A27" s="1280"/>
      <c r="B27" s="1281"/>
      <c r="C27" s="1282"/>
      <c r="D27" s="2450"/>
      <c r="E27" s="2450"/>
      <c r="F27" s="2450"/>
    </row>
    <row r="28" spans="1:6" ht="20.85" customHeight="1">
      <c r="A28" s="1280"/>
      <c r="B28" s="1281"/>
      <c r="C28" s="1282"/>
      <c r="D28" s="2450"/>
      <c r="E28" s="2450"/>
      <c r="F28" s="2450"/>
    </row>
    <row r="29" spans="1:6" ht="20.85" customHeight="1">
      <c r="A29" s="1280"/>
      <c r="B29" s="1281"/>
      <c r="C29" s="1282"/>
      <c r="D29" s="2450"/>
      <c r="E29" s="2450"/>
      <c r="F29" s="2450"/>
    </row>
    <row r="30" spans="1:6" ht="12" customHeight="1">
      <c r="A30" s="328"/>
      <c r="B30" s="328"/>
      <c r="C30" s="1395"/>
      <c r="D30" s="1835"/>
      <c r="E30" s="1283"/>
    </row>
    <row r="31" spans="1:6" ht="12" customHeight="1">
      <c r="A31" s="1284" t="s">
        <v>1528</v>
      </c>
      <c r="B31" s="328"/>
      <c r="C31" s="1395"/>
      <c r="D31" s="1835"/>
      <c r="E31" s="1283"/>
    </row>
    <row r="32" spans="1:6" ht="30" customHeight="1">
      <c r="A32" s="2454" t="s">
        <v>2067</v>
      </c>
      <c r="B32" s="2454"/>
      <c r="C32" s="2454"/>
      <c r="D32" s="2454"/>
      <c r="E32" s="2454"/>
      <c r="F32" s="2454"/>
    </row>
    <row r="33" spans="1:6" ht="13.5" customHeight="1">
      <c r="A33" s="328" t="s">
        <v>1413</v>
      </c>
      <c r="B33" s="328"/>
      <c r="C33" s="1285">
        <v>57988</v>
      </c>
      <c r="D33" s="1835"/>
      <c r="E33" s="1283"/>
    </row>
    <row r="34" spans="1:6" ht="13.5" customHeight="1">
      <c r="A34" s="328" t="s">
        <v>1800</v>
      </c>
      <c r="B34" s="328"/>
      <c r="C34" s="1286">
        <v>15609</v>
      </c>
      <c r="D34" s="1835" t="s">
        <v>1562</v>
      </c>
      <c r="E34" s="2455">
        <f>+C33+C34</f>
        <v>73597</v>
      </c>
      <c r="F34" s="2456"/>
    </row>
    <row r="35" spans="1:6" ht="12" customHeight="1">
      <c r="A35" s="328"/>
      <c r="B35" s="328"/>
      <c r="C35" s="1836"/>
      <c r="D35" s="1835"/>
      <c r="E35" s="1287"/>
      <c r="F35" s="1288"/>
    </row>
    <row r="36" spans="1:6" ht="13.5" customHeight="1">
      <c r="A36" s="1284" t="s">
        <v>1529</v>
      </c>
      <c r="B36" s="328"/>
      <c r="C36" s="1395"/>
      <c r="D36" s="1835"/>
      <c r="E36" s="1283"/>
    </row>
    <row r="37" spans="1:6" ht="14.25" customHeight="1">
      <c r="A37" s="328" t="s">
        <v>1463</v>
      </c>
      <c r="B37" s="328"/>
      <c r="C37" s="1837"/>
      <c r="D37" s="1835"/>
      <c r="E37" s="1283"/>
    </row>
    <row r="38" spans="1:6" ht="14.25" customHeight="1">
      <c r="A38" s="328"/>
      <c r="B38" s="328" t="s">
        <v>1414</v>
      </c>
      <c r="C38" s="1289" t="s">
        <v>383</v>
      </c>
      <c r="D38" s="1835"/>
      <c r="E38" s="1283"/>
    </row>
    <row r="39" spans="1:6" ht="14.25" customHeight="1">
      <c r="A39" s="328"/>
      <c r="B39" s="328" t="s">
        <v>1415</v>
      </c>
      <c r="C39" s="1289" t="s">
        <v>383</v>
      </c>
      <c r="D39" s="1835"/>
      <c r="E39" s="1283"/>
    </row>
    <row r="40" spans="1:6" ht="14.25" customHeight="1">
      <c r="A40" s="328"/>
      <c r="B40" s="328" t="s">
        <v>1416</v>
      </c>
      <c r="C40" s="1289" t="s">
        <v>383</v>
      </c>
      <c r="D40" s="1835"/>
      <c r="E40" s="1283"/>
    </row>
    <row r="41" spans="1:6" ht="14.25" customHeight="1">
      <c r="A41" s="328"/>
      <c r="B41" s="328" t="s">
        <v>1417</v>
      </c>
      <c r="C41" s="1289" t="s">
        <v>383</v>
      </c>
      <c r="D41" s="1835"/>
      <c r="E41" s="1283"/>
    </row>
    <row r="42" spans="1:6" ht="14.25" customHeight="1">
      <c r="A42" s="328" t="s">
        <v>1418</v>
      </c>
      <c r="B42" s="328"/>
      <c r="C42" s="1833" t="s">
        <v>383</v>
      </c>
      <c r="D42" s="1835"/>
      <c r="E42" s="1283"/>
    </row>
    <row r="43" spans="1:6" ht="14.25" customHeight="1">
      <c r="A43" s="328" t="s">
        <v>1419</v>
      </c>
      <c r="B43" s="328"/>
      <c r="C43" s="1290" t="s">
        <v>383</v>
      </c>
      <c r="D43" s="1835"/>
      <c r="E43" s="1283"/>
    </row>
    <row r="44" spans="1:6" ht="14.25" customHeight="1">
      <c r="A44" s="328"/>
      <c r="B44" s="328"/>
      <c r="C44" s="1837" t="s">
        <v>1420</v>
      </c>
      <c r="D44" s="1835"/>
      <c r="E44" s="1283"/>
    </row>
    <row r="45" spans="1:6" ht="13.5" customHeight="1">
      <c r="B45" s="322"/>
      <c r="C45" s="1291"/>
      <c r="D45" s="1291"/>
    </row>
    <row r="46" spans="1:6">
      <c r="A46" s="1292" t="s">
        <v>1703</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57" t="s">
        <v>1563</v>
      </c>
      <c r="C49" s="2457"/>
      <c r="D49" s="2457"/>
      <c r="E49" s="1329"/>
    </row>
    <row r="50" spans="1:5" s="1297" customFormat="1" ht="3.75" customHeight="1">
      <c r="A50" s="1296"/>
      <c r="B50" s="1777"/>
      <c r="C50" s="1777"/>
      <c r="D50" s="1777"/>
      <c r="E50" s="1329"/>
    </row>
    <row r="51" spans="1:5" s="1297" customFormat="1" ht="20.25" customHeight="1">
      <c r="A51" s="1298">
        <v>6</v>
      </c>
      <c r="B51" s="2453" t="s">
        <v>1530</v>
      </c>
      <c r="C51" s="2453"/>
      <c r="D51" s="2453"/>
    </row>
    <row r="52" spans="1:5" ht="14.25" customHeight="1">
      <c r="A52" s="1298"/>
      <c r="B52" s="2453"/>
      <c r="C52" s="2453"/>
      <c r="D52" s="245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1" zoomScale="110" zoomScaleNormal="110" workbookViewId="0">
      <selection activeCell="T15" sqref="T15:AA15"/>
    </sheetView>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3.15" customHeight="1">
      <c r="B1" s="2462" t="str">
        <f>'Single Audit Cover'!A7</f>
        <v>Dixon USD 170</v>
      </c>
      <c r="C1" s="2463"/>
      <c r="D1" s="2463"/>
      <c r="E1" s="2463"/>
      <c r="F1" s="2463"/>
      <c r="G1" s="2463"/>
      <c r="H1" s="2463"/>
      <c r="I1" s="2463"/>
      <c r="J1" s="1339"/>
    </row>
    <row r="2" spans="2:10" s="317" customFormat="1" ht="13.15" customHeight="1">
      <c r="B2" s="2464">
        <f>'Single Audit Cover'!E7</f>
        <v>47052170022</v>
      </c>
      <c r="C2" s="2465"/>
      <c r="D2" s="2465"/>
      <c r="E2" s="2465"/>
      <c r="F2" s="2465"/>
      <c r="G2" s="2465"/>
      <c r="H2" s="2465"/>
      <c r="I2" s="2465"/>
      <c r="J2" s="1339"/>
    </row>
    <row r="3" spans="2:10" s="317" customFormat="1" ht="13.15" customHeight="1">
      <c r="B3" s="2466" t="s">
        <v>1264</v>
      </c>
      <c r="C3" s="2467"/>
      <c r="D3" s="2467"/>
      <c r="E3" s="2467"/>
      <c r="F3" s="2467"/>
      <c r="G3" s="2467"/>
      <c r="H3" s="2467"/>
      <c r="I3" s="2467"/>
      <c r="J3" s="1340"/>
    </row>
    <row r="4" spans="2:10" s="317" customFormat="1" ht="13.15" customHeight="1">
      <c r="B4" s="2466" t="str">
        <f>'Single Audit Cover'!A4</f>
        <v>Year Ending June 30, 2019</v>
      </c>
      <c r="C4" s="2467"/>
      <c r="D4" s="2467"/>
      <c r="E4" s="2467"/>
      <c r="F4" s="2467"/>
      <c r="G4" s="2467"/>
      <c r="H4" s="2467"/>
      <c r="I4" s="2467"/>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66" t="s">
        <v>1263</v>
      </c>
      <c r="C7" s="2467"/>
      <c r="D7" s="2467"/>
      <c r="E7" s="2467"/>
      <c r="F7" s="2467"/>
      <c r="G7" s="2467"/>
      <c r="H7" s="2467"/>
      <c r="I7" s="2467"/>
    </row>
    <row r="8" spans="2:10" s="317" customFormat="1" ht="6.2" customHeight="1">
      <c r="B8" s="1343" t="s">
        <v>1169</v>
      </c>
      <c r="C8" s="1344"/>
      <c r="D8" s="1344"/>
      <c r="E8" s="1345"/>
      <c r="F8" s="1344"/>
      <c r="G8" s="1344"/>
      <c r="H8" s="1344"/>
      <c r="I8" s="1344"/>
    </row>
    <row r="9" spans="2:10" s="317" customFormat="1" ht="9.4" customHeight="1">
      <c r="B9" s="1346"/>
      <c r="C9" s="322"/>
      <c r="D9" s="322"/>
      <c r="E9" s="1313"/>
      <c r="F9" s="322"/>
      <c r="G9" s="322"/>
      <c r="H9" s="322"/>
      <c r="I9" s="322"/>
    </row>
    <row r="10" spans="2:10" s="317" customFormat="1" ht="13.15" customHeight="1">
      <c r="B10" s="1347" t="s">
        <v>1262</v>
      </c>
      <c r="C10" s="1348"/>
      <c r="D10" s="1348"/>
      <c r="E10" s="1255"/>
    </row>
    <row r="11" spans="2:10" s="317" customFormat="1" ht="13.5" customHeight="1">
      <c r="B11" s="1299" t="s">
        <v>1261</v>
      </c>
      <c r="C11" s="2468" t="s">
        <v>2149</v>
      </c>
      <c r="D11" s="2468"/>
      <c r="E11" s="1349"/>
      <c r="F11" s="1349"/>
      <c r="G11" s="1349"/>
    </row>
    <row r="12" spans="2:10" s="317" customFormat="1" ht="11.45" customHeight="1">
      <c r="B12" s="1300"/>
      <c r="C12" s="1350" t="s">
        <v>1421</v>
      </c>
      <c r="D12" s="1351"/>
      <c r="E12" s="1255"/>
    </row>
    <row r="13" spans="2:10" s="317" customFormat="1" ht="13.15" customHeight="1">
      <c r="B13" s="1352"/>
      <c r="C13" s="1317"/>
      <c r="D13" s="1317"/>
      <c r="E13" s="1255"/>
    </row>
    <row r="14" spans="2:10" s="317" customFormat="1" ht="13.15" customHeight="1">
      <c r="B14" s="1302" t="s">
        <v>1260</v>
      </c>
      <c r="C14" s="1279"/>
      <c r="E14" s="1255"/>
    </row>
    <row r="15" spans="2:10" s="317" customFormat="1" ht="13.5" customHeight="1">
      <c r="B15" s="1353" t="s">
        <v>1257</v>
      </c>
      <c r="C15" s="1354"/>
      <c r="D15" s="1328"/>
      <c r="E15" s="1355"/>
      <c r="F15" s="1297" t="s">
        <v>885</v>
      </c>
      <c r="G15" s="1355" t="s">
        <v>2032</v>
      </c>
      <c r="H15" s="1297" t="s">
        <v>1255</v>
      </c>
      <c r="I15" s="1297"/>
    </row>
    <row r="16" spans="2:10" s="317" customFormat="1" ht="8.4499999999999993" customHeight="1">
      <c r="B16" s="1302"/>
      <c r="C16" s="1279"/>
      <c r="E16" s="1313"/>
      <c r="F16" s="1297"/>
      <c r="G16" s="322"/>
      <c r="H16" s="1297"/>
      <c r="I16" s="1297"/>
    </row>
    <row r="17" spans="2:9" s="317" customFormat="1" ht="13.5" customHeight="1">
      <c r="B17" s="1353" t="s">
        <v>1256</v>
      </c>
      <c r="C17" s="1354"/>
      <c r="D17" s="1328"/>
      <c r="E17" s="1356"/>
      <c r="F17" s="1254"/>
      <c r="G17" s="1356"/>
      <c r="H17" s="1297"/>
      <c r="I17" s="1297"/>
    </row>
    <row r="18" spans="2:9" s="317" customFormat="1" ht="13.15" customHeight="1">
      <c r="B18" s="1353" t="s">
        <v>1422</v>
      </c>
      <c r="C18" s="1354"/>
      <c r="D18" s="1328"/>
      <c r="E18" s="1355" t="s">
        <v>2032</v>
      </c>
      <c r="F18" s="1297" t="s">
        <v>885</v>
      </c>
      <c r="G18" s="1355"/>
      <c r="H18" s="1297" t="s">
        <v>1255</v>
      </c>
      <c r="I18" s="1297"/>
    </row>
    <row r="19" spans="2:9" s="317" customFormat="1" ht="8.4499999999999993" customHeight="1">
      <c r="B19" s="1302"/>
      <c r="C19" s="1279"/>
      <c r="E19" s="1313"/>
      <c r="F19" s="1297"/>
      <c r="G19" s="322"/>
      <c r="H19" s="1297"/>
      <c r="I19" s="1297"/>
    </row>
    <row r="20" spans="2:9" s="317" customFormat="1" ht="13.5" customHeight="1">
      <c r="B20" s="1353" t="s">
        <v>1564</v>
      </c>
      <c r="C20" s="1354"/>
      <c r="D20" s="1328"/>
      <c r="E20" s="1355" t="s">
        <v>2032</v>
      </c>
      <c r="F20" s="1297" t="s">
        <v>885</v>
      </c>
      <c r="G20" s="1355"/>
      <c r="H20" s="1297" t="s">
        <v>99</v>
      </c>
      <c r="I20" s="1297"/>
    </row>
    <row r="21" spans="2:9" s="317" customFormat="1" ht="13.15" customHeight="1">
      <c r="B21" s="1302"/>
      <c r="C21" s="1279"/>
      <c r="E21" s="1313"/>
      <c r="F21" s="1297"/>
      <c r="G21" s="322"/>
      <c r="H21" s="1297"/>
      <c r="I21" s="1297"/>
    </row>
    <row r="22" spans="2:9" s="317" customFormat="1" ht="13.15" customHeight="1">
      <c r="B22" s="1347" t="s">
        <v>1259</v>
      </c>
      <c r="C22" s="1357"/>
      <c r="D22" s="1348"/>
      <c r="E22" s="1313"/>
      <c r="F22" s="1297"/>
      <c r="G22" s="322"/>
      <c r="H22" s="1297"/>
      <c r="I22" s="1297"/>
    </row>
    <row r="23" spans="2:9" s="317" customFormat="1" ht="13.15" customHeight="1">
      <c r="B23" s="1302" t="s">
        <v>1258</v>
      </c>
      <c r="C23" s="1279"/>
      <c r="E23" s="1313"/>
      <c r="F23" s="1297"/>
      <c r="G23" s="322"/>
      <c r="H23" s="1297"/>
      <c r="I23" s="1297"/>
    </row>
    <row r="24" spans="2:9" s="317" customFormat="1" ht="13.5" customHeight="1">
      <c r="B24" s="1353" t="s">
        <v>1257</v>
      </c>
      <c r="C24" s="1354"/>
      <c r="D24" s="1328"/>
      <c r="E24" s="1355"/>
      <c r="F24" s="1297" t="s">
        <v>885</v>
      </c>
      <c r="G24" s="1355" t="s">
        <v>2032</v>
      </c>
      <c r="H24" s="1297" t="s">
        <v>1255</v>
      </c>
      <c r="I24" s="1297"/>
    </row>
    <row r="25" spans="2:9" s="317" customFormat="1" ht="8.4499999999999993" customHeight="1">
      <c r="B25" s="1302"/>
      <c r="C25" s="1279"/>
      <c r="E25" s="1313"/>
      <c r="F25" s="1297"/>
      <c r="G25" s="322"/>
      <c r="H25" s="1297"/>
      <c r="I25" s="1297"/>
    </row>
    <row r="26" spans="2:9" s="317" customFormat="1" ht="13.5" customHeight="1">
      <c r="B26" s="1353" t="s">
        <v>1256</v>
      </c>
      <c r="C26" s="1354"/>
      <c r="D26" s="1328"/>
      <c r="E26" s="1356"/>
      <c r="F26" s="1254"/>
      <c r="G26" s="1356"/>
      <c r="H26" s="1297"/>
      <c r="I26" s="1297"/>
    </row>
    <row r="27" spans="2:9" s="317" customFormat="1" ht="13.15" customHeight="1">
      <c r="B27" s="1353" t="s">
        <v>1422</v>
      </c>
      <c r="C27" s="1354"/>
      <c r="D27" s="1328"/>
      <c r="E27" s="1355"/>
      <c r="F27" s="1297" t="s">
        <v>885</v>
      </c>
      <c r="G27" s="1355" t="s">
        <v>2032</v>
      </c>
      <c r="H27" s="1297" t="s">
        <v>1255</v>
      </c>
      <c r="I27" s="1297"/>
    </row>
    <row r="28" spans="2:9" s="317" customFormat="1" ht="13.15" customHeight="1">
      <c r="B28" s="1302"/>
      <c r="C28" s="1279"/>
      <c r="E28" s="1255"/>
    </row>
    <row r="29" spans="2:9" s="317" customFormat="1" ht="13.15" customHeight="1">
      <c r="B29" s="1302" t="s">
        <v>1254</v>
      </c>
      <c r="C29" s="1279"/>
      <c r="D29" s="2469" t="s">
        <v>2149</v>
      </c>
      <c r="E29" s="2469"/>
      <c r="F29" s="2469"/>
      <c r="G29" s="2469"/>
      <c r="H29" s="2469"/>
      <c r="I29" s="2469"/>
    </row>
    <row r="30" spans="2:9" s="317" customFormat="1">
      <c r="B30" s="1302"/>
      <c r="C30" s="322"/>
      <c r="D30" s="1350" t="s">
        <v>1710</v>
      </c>
      <c r="E30" s="1351"/>
      <c r="F30" s="1351"/>
      <c r="G30" s="1351"/>
      <c r="H30" s="1351"/>
      <c r="I30" s="1351"/>
    </row>
    <row r="31" spans="2:9" s="317" customFormat="1" ht="9.9499999999999993" customHeight="1">
      <c r="B31" s="1302"/>
      <c r="E31" s="1255"/>
    </row>
    <row r="32" spans="2:9" s="317" customFormat="1">
      <c r="B32" s="1302" t="s">
        <v>1253</v>
      </c>
      <c r="C32" s="1279"/>
      <c r="E32" s="1255"/>
    </row>
    <row r="33" spans="2:9" ht="13.5" customHeight="1">
      <c r="B33" s="1302" t="s">
        <v>1531</v>
      </c>
      <c r="C33" s="1279"/>
      <c r="E33" s="1355"/>
      <c r="F33" s="1297" t="s">
        <v>885</v>
      </c>
      <c r="G33" s="1355" t="s">
        <v>2051</v>
      </c>
      <c r="H33" s="1297" t="s">
        <v>99</v>
      </c>
    </row>
    <row r="35" spans="2:9">
      <c r="B35" s="1358" t="s">
        <v>1711</v>
      </c>
      <c r="C35" s="1359"/>
      <c r="D35" s="1264"/>
    </row>
    <row r="36" spans="2:9" ht="6" customHeight="1">
      <c r="B36" s="1358"/>
      <c r="C36" s="1359"/>
      <c r="D36" s="1264"/>
    </row>
    <row r="37" spans="2:9" ht="17.25" customHeight="1">
      <c r="B37" s="1360" t="s">
        <v>1712</v>
      </c>
      <c r="C37" s="2470" t="s">
        <v>1713</v>
      </c>
      <c r="D37" s="2471"/>
      <c r="E37" s="2471"/>
      <c r="F37" s="2472"/>
      <c r="G37" s="2470" t="s">
        <v>1565</v>
      </c>
      <c r="H37" s="2471"/>
      <c r="I37" s="2472"/>
    </row>
    <row r="38" spans="2:9" ht="16.7" customHeight="1">
      <c r="B38" s="1361" t="s">
        <v>2150</v>
      </c>
      <c r="C38" s="2458" t="s">
        <v>2075</v>
      </c>
      <c r="D38" s="2459"/>
      <c r="E38" s="2459"/>
      <c r="F38" s="2460"/>
      <c r="G38" s="2473">
        <v>800155</v>
      </c>
      <c r="H38" s="2474"/>
      <c r="I38" s="2475"/>
    </row>
    <row r="39" spans="2:9" ht="16.7" customHeight="1">
      <c r="B39" s="1361"/>
      <c r="C39" s="2458"/>
      <c r="D39" s="2459"/>
      <c r="E39" s="2459"/>
      <c r="F39" s="2460"/>
      <c r="G39" s="2461"/>
      <c r="H39" s="2461"/>
      <c r="I39" s="2461"/>
    </row>
    <row r="40" spans="2:9" ht="16.7" customHeight="1">
      <c r="B40" s="1361"/>
      <c r="C40" s="2458"/>
      <c r="D40" s="2459"/>
      <c r="E40" s="2459"/>
      <c r="F40" s="2460"/>
      <c r="G40" s="2461"/>
      <c r="H40" s="2461"/>
      <c r="I40" s="2461"/>
    </row>
    <row r="41" spans="2:9" ht="16.7" customHeight="1">
      <c r="B41" s="1361"/>
      <c r="C41" s="2458"/>
      <c r="D41" s="2459"/>
      <c r="E41" s="2459"/>
      <c r="F41" s="2460"/>
      <c r="G41" s="2461"/>
      <c r="H41" s="2461"/>
      <c r="I41" s="2461"/>
    </row>
    <row r="42" spans="2:9" ht="16.7" customHeight="1">
      <c r="B42" s="1361"/>
      <c r="C42" s="2458"/>
      <c r="D42" s="2459"/>
      <c r="E42" s="2459"/>
      <c r="F42" s="2460"/>
      <c r="G42" s="2461"/>
      <c r="H42" s="2461"/>
      <c r="I42" s="2461"/>
    </row>
    <row r="43" spans="2:9" ht="16.7" customHeight="1">
      <c r="B43" s="1361"/>
      <c r="C43" s="2476" t="s">
        <v>1566</v>
      </c>
      <c r="D43" s="2477"/>
      <c r="E43" s="2477"/>
      <c r="F43" s="2478"/>
      <c r="G43" s="2479">
        <f>SUM(G38:I42)</f>
        <v>800155</v>
      </c>
      <c r="H43" s="2479"/>
      <c r="I43" s="2479"/>
    </row>
    <row r="44" spans="2:9" ht="13.15" customHeight="1"/>
    <row r="45" spans="2:9" ht="13.15" customHeight="1">
      <c r="B45" s="1352" t="s">
        <v>1801</v>
      </c>
      <c r="D45" s="2480">
        <f>'SEFA-1'!J60</f>
        <v>1583399</v>
      </c>
      <c r="E45" s="2481"/>
    </row>
    <row r="46" spans="2:9" ht="5.25" customHeight="1">
      <c r="B46" s="1362"/>
      <c r="D46" s="1363"/>
      <c r="E46" s="1364"/>
    </row>
    <row r="47" spans="2:9" ht="13.15" customHeight="1">
      <c r="B47" s="1297" t="s">
        <v>1567</v>
      </c>
      <c r="C47" s="1297"/>
      <c r="D47" s="1365">
        <f>+G43/D45</f>
        <v>0.5053400943160884</v>
      </c>
      <c r="E47" s="1366"/>
      <c r="F47" s="1367"/>
      <c r="I47" s="1368"/>
    </row>
    <row r="48" spans="2:9" ht="9.9499999999999993" customHeight="1"/>
    <row r="49" spans="1:9">
      <c r="B49" s="1302" t="s">
        <v>1252</v>
      </c>
      <c r="C49" s="1279"/>
      <c r="D49" s="1279"/>
      <c r="E49" s="2482">
        <v>750000</v>
      </c>
      <c r="F49" s="2482"/>
      <c r="G49" s="2482"/>
      <c r="H49" s="322"/>
    </row>
    <row r="51" spans="1:9" ht="13.5" customHeight="1">
      <c r="B51" s="1302" t="s">
        <v>1251</v>
      </c>
      <c r="C51" s="1279"/>
      <c r="E51" s="1355"/>
      <c r="F51" s="1297" t="s">
        <v>885</v>
      </c>
      <c r="G51" s="1355" t="s">
        <v>2051</v>
      </c>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1714</v>
      </c>
      <c r="C54" s="1377"/>
      <c r="D54" s="1377"/>
    </row>
    <row r="55" spans="1:9" s="1378" customFormat="1" ht="13.15" customHeight="1">
      <c r="A55" s="1375"/>
      <c r="B55" s="1379" t="s">
        <v>1568</v>
      </c>
      <c r="C55" s="1375"/>
      <c r="D55" s="1375"/>
    </row>
    <row r="56" spans="1:9" s="1378" customFormat="1" ht="13.15" customHeight="1">
      <c r="A56" s="1375"/>
      <c r="B56" s="1379" t="s">
        <v>1569</v>
      </c>
      <c r="C56" s="1375"/>
      <c r="D56" s="1375"/>
    </row>
    <row r="57" spans="1:9" s="1378" customFormat="1" ht="3.95" customHeight="1">
      <c r="A57" s="1375"/>
      <c r="B57" s="1379"/>
      <c r="C57" s="1375"/>
      <c r="D57" s="1375"/>
    </row>
    <row r="58" spans="1:9" s="1378" customFormat="1" ht="13.5" customHeight="1">
      <c r="A58" s="1375"/>
      <c r="B58" s="1380" t="s">
        <v>1715</v>
      </c>
      <c r="C58" s="1381"/>
      <c r="D58" s="1381"/>
    </row>
    <row r="59" spans="1:9" s="1378" customFormat="1" ht="3.95" customHeight="1">
      <c r="A59" s="1375"/>
      <c r="B59" s="1380"/>
      <c r="C59" s="1381"/>
      <c r="D59" s="1381"/>
    </row>
    <row r="60" spans="1:9" s="1378" customFormat="1" ht="13.5" customHeight="1">
      <c r="A60" s="1375"/>
      <c r="B60" s="1380" t="s">
        <v>1716</v>
      </c>
      <c r="C60" s="1381"/>
      <c r="D60" s="1381"/>
    </row>
    <row r="61" spans="1:9" s="1378" customFormat="1" ht="3.95" customHeight="1">
      <c r="A61" s="1375"/>
      <c r="B61" s="1380"/>
      <c r="C61" s="1381"/>
      <c r="D61" s="1381"/>
    </row>
    <row r="62" spans="1:9" s="1378" customFormat="1" ht="13.15" customHeight="1">
      <c r="A62" s="1375"/>
      <c r="B62" s="1380" t="s">
        <v>1717</v>
      </c>
      <c r="C62" s="1381"/>
      <c r="D62" s="1381"/>
    </row>
    <row r="63" spans="1:9" s="1378" customFormat="1" ht="13.5" customHeight="1">
      <c r="A63" s="1375"/>
      <c r="B63" s="1379" t="s">
        <v>1570</v>
      </c>
      <c r="C63" s="1375"/>
      <c r="D63" s="137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1" zoomScale="110" zoomScaleNormal="110" workbookViewId="0">
      <selection activeCell="T15" sqref="T15:AA15"/>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2" t="str">
        <f>'Single Audit Cover'!A7</f>
        <v>Dixon USD 170</v>
      </c>
      <c r="C1" s="2462"/>
      <c r="D1" s="2462"/>
      <c r="E1" s="2462"/>
      <c r="F1" s="2462"/>
      <c r="G1" s="2462"/>
      <c r="H1" s="2462"/>
      <c r="I1" s="2462"/>
      <c r="J1" s="2462"/>
      <c r="K1" s="2462"/>
      <c r="L1" s="1304"/>
      <c r="M1" s="1304"/>
    </row>
    <row r="2" spans="1:13" ht="12" customHeight="1">
      <c r="B2" s="2464">
        <f>'Single Audit Cover'!E7</f>
        <v>47052170022</v>
      </c>
      <c r="C2" s="2464"/>
      <c r="D2" s="2464"/>
      <c r="E2" s="2464"/>
      <c r="F2" s="2464"/>
      <c r="G2" s="2464"/>
      <c r="H2" s="2464"/>
      <c r="I2" s="2464"/>
      <c r="J2" s="2464"/>
      <c r="K2" s="2464"/>
      <c r="L2" s="1305"/>
      <c r="M2" s="1306"/>
    </row>
    <row r="3" spans="1:13" ht="10.35" customHeight="1">
      <c r="B3" s="2485" t="s">
        <v>1264</v>
      </c>
      <c r="C3" s="2485"/>
      <c r="D3" s="2485"/>
      <c r="E3" s="2485"/>
      <c r="F3" s="2485"/>
      <c r="G3" s="2485"/>
      <c r="H3" s="2485"/>
      <c r="I3" s="2485"/>
      <c r="J3" s="2485"/>
      <c r="K3" s="2485"/>
      <c r="L3" s="1307"/>
      <c r="M3" s="1307"/>
    </row>
    <row r="4" spans="1:13" ht="14.25" customHeight="1">
      <c r="B4" s="2486" t="str">
        <f>'Single Audit Cover'!A4</f>
        <v>Year Ending June 30, 2019</v>
      </c>
      <c r="C4" s="2486"/>
      <c r="D4" s="2486"/>
      <c r="E4" s="2486"/>
      <c r="F4" s="2486"/>
      <c r="G4" s="2486"/>
      <c r="H4" s="2486"/>
      <c r="I4" s="2486"/>
      <c r="J4" s="2486"/>
      <c r="K4" s="2486"/>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3.15" customHeight="1">
      <c r="A7" s="1279"/>
      <c r="B7" s="2486" t="s">
        <v>1275</v>
      </c>
      <c r="C7" s="2486"/>
      <c r="D7" s="2487"/>
      <c r="E7" s="2487"/>
      <c r="F7" s="2487"/>
      <c r="G7" s="2487"/>
      <c r="H7" s="2487"/>
      <c r="I7" s="2487"/>
      <c r="J7" s="2487"/>
      <c r="K7" s="2487"/>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7" customHeight="1">
      <c r="B10" s="1314" t="s">
        <v>1704</v>
      </c>
      <c r="C10" s="1315" t="s">
        <v>1951</v>
      </c>
      <c r="D10" s="1316">
        <v>1</v>
      </c>
      <c r="E10" s="322"/>
      <c r="F10" s="1317" t="s">
        <v>1274</v>
      </c>
      <c r="G10" s="1318"/>
      <c r="H10" s="1319" t="s">
        <v>1273</v>
      </c>
      <c r="I10" s="1318" t="s">
        <v>2051</v>
      </c>
      <c r="J10" s="1320" t="s">
        <v>1272</v>
      </c>
      <c r="K10" s="322"/>
      <c r="L10" s="1311"/>
    </row>
    <row r="11" spans="1:13" ht="13.5" customHeight="1">
      <c r="B11" s="322"/>
      <c r="C11" s="322"/>
      <c r="D11" s="322"/>
      <c r="E11" s="322"/>
      <c r="F11" s="322"/>
      <c r="G11" s="1313"/>
      <c r="H11" s="322"/>
      <c r="I11" s="1321" t="s">
        <v>1271</v>
      </c>
      <c r="J11" s="322"/>
      <c r="K11" s="1322">
        <v>2007</v>
      </c>
      <c r="L11" s="1311"/>
    </row>
    <row r="12" spans="1:13" ht="13.5" customHeight="1">
      <c r="B12" s="1291"/>
      <c r="C12" s="1291"/>
      <c r="D12" s="322"/>
      <c r="E12" s="322"/>
      <c r="F12" s="322"/>
      <c r="G12" s="1313"/>
      <c r="H12" s="322"/>
      <c r="I12" s="1313"/>
      <c r="J12" s="322"/>
      <c r="L12" s="1311"/>
    </row>
    <row r="13" spans="1:13" s="1279" customFormat="1" ht="13.5" customHeight="1">
      <c r="B13" s="1323" t="s">
        <v>1270</v>
      </c>
      <c r="C13" s="1323"/>
      <c r="D13" s="1324"/>
      <c r="E13" s="1324"/>
      <c r="F13" s="1324"/>
      <c r="G13" s="1325"/>
      <c r="H13" s="1324"/>
      <c r="I13" s="1325"/>
      <c r="J13" s="1324"/>
      <c r="K13" s="1324"/>
      <c r="L13" s="1326"/>
    </row>
    <row r="14" spans="1:13" ht="45.75" customHeight="1">
      <c r="B14" s="2484" t="s">
        <v>2151</v>
      </c>
      <c r="C14" s="2484"/>
      <c r="D14" s="2484"/>
      <c r="E14" s="2484"/>
      <c r="F14" s="2484"/>
      <c r="G14" s="2484"/>
      <c r="H14" s="2484"/>
      <c r="I14" s="2484"/>
      <c r="J14" s="2484"/>
      <c r="K14" s="2484"/>
      <c r="L14" s="1327"/>
    </row>
    <row r="15" spans="1:13" ht="4.5" customHeight="1">
      <c r="B15" s="1328"/>
      <c r="C15" s="1328"/>
      <c r="D15" s="1329"/>
      <c r="E15" s="1329"/>
      <c r="F15" s="1329"/>
      <c r="H15" s="1329"/>
      <c r="J15" s="1329"/>
      <c r="K15" s="1329"/>
      <c r="L15" s="1327"/>
    </row>
    <row r="16" spans="1:13" s="1279" customFormat="1" ht="13.5" customHeight="1">
      <c r="B16" s="1323" t="s">
        <v>1269</v>
      </c>
      <c r="C16" s="1323"/>
      <c r="D16" s="1324"/>
      <c r="E16" s="1324"/>
      <c r="F16" s="1324"/>
      <c r="G16" s="1325"/>
      <c r="H16" s="1324"/>
      <c r="I16" s="1325"/>
      <c r="J16" s="1324"/>
      <c r="K16" s="1324"/>
      <c r="L16" s="1326"/>
    </row>
    <row r="17" spans="2:12" ht="45.75" customHeight="1">
      <c r="B17" s="2484" t="s">
        <v>2152</v>
      </c>
      <c r="C17" s="2484"/>
      <c r="D17" s="2484"/>
      <c r="E17" s="2484"/>
      <c r="F17" s="2484"/>
      <c r="G17" s="2484"/>
      <c r="H17" s="2484"/>
      <c r="I17" s="2484"/>
      <c r="J17" s="2484"/>
      <c r="K17" s="2484"/>
      <c r="L17" s="1311"/>
    </row>
    <row r="18" spans="2:12" ht="4.5" customHeight="1">
      <c r="B18" s="1328"/>
      <c r="C18" s="1328"/>
      <c r="L18" s="1311"/>
    </row>
    <row r="19" spans="2:12" s="1279" customFormat="1" ht="13.5" customHeight="1">
      <c r="B19" s="1323" t="s">
        <v>1705</v>
      </c>
      <c r="C19" s="1323"/>
      <c r="D19" s="1324"/>
      <c r="E19" s="1324"/>
      <c r="F19" s="1324"/>
      <c r="G19" s="1325"/>
      <c r="H19" s="1324"/>
      <c r="I19" s="1325"/>
      <c r="J19" s="1324"/>
      <c r="K19" s="1324"/>
      <c r="L19" s="1326"/>
    </row>
    <row r="20" spans="2:12" ht="45.75" customHeight="1">
      <c r="B20" s="2488" t="s">
        <v>2153</v>
      </c>
      <c r="C20" s="2488"/>
      <c r="D20" s="2484"/>
      <c r="E20" s="2484"/>
      <c r="F20" s="2484"/>
      <c r="G20" s="2484"/>
      <c r="H20" s="2484"/>
      <c r="I20" s="2484"/>
      <c r="J20" s="2484"/>
      <c r="K20" s="2484"/>
      <c r="L20" s="1311"/>
    </row>
    <row r="21" spans="2:12" ht="4.5" customHeight="1">
      <c r="B21" s="1330"/>
      <c r="C21" s="1330"/>
      <c r="L21" s="1311"/>
    </row>
    <row r="22" spans="2:12" ht="13.5" customHeight="1">
      <c r="B22" s="1323" t="s">
        <v>1268</v>
      </c>
      <c r="C22" s="1323"/>
      <c r="D22" s="1309"/>
      <c r="E22" s="1309"/>
      <c r="F22" s="1309"/>
      <c r="G22" s="1310"/>
      <c r="H22" s="1309"/>
      <c r="I22" s="1310"/>
      <c r="J22" s="1309"/>
      <c r="K22" s="1309"/>
      <c r="L22" s="1311"/>
    </row>
    <row r="23" spans="2:12" ht="45.4" customHeight="1">
      <c r="B23" s="2484" t="s">
        <v>2154</v>
      </c>
      <c r="C23" s="2484"/>
      <c r="D23" s="2484"/>
      <c r="E23" s="2484"/>
      <c r="F23" s="2484"/>
      <c r="G23" s="2484"/>
      <c r="H23" s="2484"/>
      <c r="I23" s="2484"/>
      <c r="J23" s="2484"/>
      <c r="K23" s="2484"/>
      <c r="L23" s="1311"/>
    </row>
    <row r="24" spans="2:12" ht="4.5" customHeight="1">
      <c r="B24" s="1328"/>
      <c r="C24" s="1328"/>
      <c r="L24" s="1311"/>
    </row>
    <row r="25" spans="2:12" ht="13.5" customHeight="1">
      <c r="B25" s="1323" t="s">
        <v>1267</v>
      </c>
      <c r="C25" s="1323"/>
      <c r="D25" s="1309"/>
      <c r="E25" s="1309"/>
      <c r="F25" s="1309"/>
      <c r="G25" s="1310"/>
      <c r="H25" s="1309"/>
      <c r="I25" s="1310"/>
      <c r="J25" s="1309"/>
      <c r="K25" s="1309"/>
      <c r="L25" s="1311"/>
    </row>
    <row r="26" spans="2:12" ht="45.75" customHeight="1">
      <c r="B26" s="2484" t="s">
        <v>2155</v>
      </c>
      <c r="C26" s="2484"/>
      <c r="D26" s="2484"/>
      <c r="E26" s="2484"/>
      <c r="F26" s="2484"/>
      <c r="G26" s="2484"/>
      <c r="H26" s="2484"/>
      <c r="I26" s="2484"/>
      <c r="J26" s="2484"/>
      <c r="K26" s="2484"/>
      <c r="L26" s="1311"/>
    </row>
    <row r="27" spans="2:12" ht="4.5" customHeight="1">
      <c r="B27" s="1328"/>
      <c r="C27" s="1328"/>
      <c r="L27" s="1311"/>
    </row>
    <row r="28" spans="2:12" ht="13.5" customHeight="1">
      <c r="B28" s="1331" t="s">
        <v>1266</v>
      </c>
      <c r="C28" s="1331"/>
      <c r="D28" s="1309"/>
      <c r="E28" s="1309"/>
      <c r="F28" s="1309"/>
      <c r="G28" s="1310"/>
      <c r="H28" s="1309"/>
      <c r="I28" s="1310"/>
      <c r="J28" s="1309"/>
      <c r="K28" s="1309"/>
      <c r="L28" s="1311"/>
    </row>
    <row r="29" spans="2:12" ht="45.75" customHeight="1">
      <c r="B29" s="2483" t="s">
        <v>2156</v>
      </c>
      <c r="C29" s="2483"/>
      <c r="D29" s="2484"/>
      <c r="E29" s="2484"/>
      <c r="F29" s="2484"/>
      <c r="G29" s="2484"/>
      <c r="H29" s="2484"/>
      <c r="I29" s="2484"/>
      <c r="J29" s="2484"/>
      <c r="K29" s="2484"/>
      <c r="L29" s="1311"/>
    </row>
    <row r="30" spans="2:12" ht="4.5" customHeight="1">
      <c r="B30" s="1332"/>
      <c r="C30" s="1332"/>
      <c r="D30" s="322"/>
      <c r="E30" s="322"/>
      <c r="F30" s="322"/>
      <c r="G30" s="1313"/>
      <c r="H30" s="322"/>
      <c r="I30" s="1313"/>
      <c r="J30" s="322"/>
      <c r="K30" s="322"/>
      <c r="L30" s="1311"/>
    </row>
    <row r="31" spans="2:12" s="322" customFormat="1" ht="13.5" customHeight="1">
      <c r="B31" s="1333" t="s">
        <v>1706</v>
      </c>
      <c r="C31" s="1333"/>
      <c r="D31" s="1308"/>
      <c r="E31" s="1309"/>
      <c r="F31" s="1309"/>
      <c r="G31" s="1310"/>
      <c r="H31" s="1309"/>
      <c r="I31" s="1310"/>
      <c r="J31" s="1309"/>
      <c r="K31" s="1309"/>
      <c r="L31" s="1311"/>
    </row>
    <row r="32" spans="2:12" s="322" customFormat="1" ht="44.25" customHeight="1">
      <c r="B32" s="2483" t="s">
        <v>2157</v>
      </c>
      <c r="C32" s="2483"/>
      <c r="D32" s="2484"/>
      <c r="E32" s="2484"/>
      <c r="F32" s="2484"/>
      <c r="G32" s="2484"/>
      <c r="H32" s="2484"/>
      <c r="I32" s="2484"/>
      <c r="J32" s="2484"/>
      <c r="K32" s="2484"/>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1707</v>
      </c>
      <c r="C35" s="1336"/>
      <c r="D35" s="322"/>
      <c r="E35" s="322"/>
      <c r="F35" s="322"/>
      <c r="L35" s="1311"/>
    </row>
    <row r="36" spans="1:13" ht="9.6" customHeight="1">
      <c r="B36" s="1297" t="s">
        <v>1802</v>
      </c>
      <c r="C36" s="1297"/>
      <c r="L36" s="1311"/>
    </row>
    <row r="37" spans="1:13" ht="9.6" customHeight="1">
      <c r="B37" s="1297" t="s">
        <v>1803</v>
      </c>
      <c r="C37" s="1297"/>
    </row>
    <row r="38" spans="1:13" ht="11.85" customHeight="1">
      <c r="B38" s="1337" t="s">
        <v>1708</v>
      </c>
      <c r="C38" s="1337"/>
    </row>
    <row r="39" spans="1:13" ht="9.6" customHeight="1">
      <c r="B39" s="1297" t="s">
        <v>1265</v>
      </c>
      <c r="C39" s="1297"/>
      <c r="M39" s="1338"/>
    </row>
    <row r="40" spans="1:13" ht="12.95" customHeight="1">
      <c r="B40" s="1337" t="s">
        <v>1709</v>
      </c>
      <c r="C40" s="1337"/>
      <c r="M40" s="1338"/>
    </row>
    <row r="41" spans="1:13" ht="9.6" customHeight="1">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5528-6C7D-46A4-B8ED-2E7A8D1B6041}">
  <dimension ref="A1:M41"/>
  <sheetViews>
    <sheetView showGridLines="0" topLeftCell="A18" zoomScale="110" zoomScaleNormal="110" workbookViewId="0">
      <selection activeCell="T15" sqref="T15:AA15"/>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2" t="str">
        <f>'Single Audit Cover'!A7</f>
        <v>Dixon USD 170</v>
      </c>
      <c r="C1" s="2462"/>
      <c r="D1" s="2462"/>
      <c r="E1" s="2462"/>
      <c r="F1" s="2462"/>
      <c r="G1" s="2462"/>
      <c r="H1" s="2462"/>
      <c r="I1" s="2462"/>
      <c r="J1" s="2462"/>
      <c r="K1" s="2462"/>
      <c r="L1" s="1304"/>
      <c r="M1" s="1304"/>
    </row>
    <row r="2" spans="1:13" ht="12" customHeight="1">
      <c r="B2" s="2464">
        <f>'Single Audit Cover'!E7</f>
        <v>47052170022</v>
      </c>
      <c r="C2" s="2464"/>
      <c r="D2" s="2464"/>
      <c r="E2" s="2464"/>
      <c r="F2" s="2464"/>
      <c r="G2" s="2464"/>
      <c r="H2" s="2464"/>
      <c r="I2" s="2464"/>
      <c r="J2" s="2464"/>
      <c r="K2" s="2464"/>
      <c r="L2" s="1305"/>
      <c r="M2" s="1306"/>
    </row>
    <row r="3" spans="1:13" ht="10.35" customHeight="1">
      <c r="B3" s="2485" t="s">
        <v>1264</v>
      </c>
      <c r="C3" s="2485"/>
      <c r="D3" s="2485"/>
      <c r="E3" s="2485"/>
      <c r="F3" s="2485"/>
      <c r="G3" s="2485"/>
      <c r="H3" s="2485"/>
      <c r="I3" s="2485"/>
      <c r="J3" s="2485"/>
      <c r="K3" s="2485"/>
      <c r="L3" s="1870"/>
      <c r="M3" s="1870"/>
    </row>
    <row r="4" spans="1:13" ht="14.25" customHeight="1">
      <c r="B4" s="2486" t="str">
        <f>'Single Audit Cover'!A4</f>
        <v>Year Ending June 30, 2019</v>
      </c>
      <c r="C4" s="2486"/>
      <c r="D4" s="2486"/>
      <c r="E4" s="2486"/>
      <c r="F4" s="2486"/>
      <c r="G4" s="2486"/>
      <c r="H4" s="2486"/>
      <c r="I4" s="2486"/>
      <c r="J4" s="2486"/>
      <c r="K4" s="2486"/>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3.15" customHeight="1">
      <c r="A7" s="1279"/>
      <c r="B7" s="2486" t="s">
        <v>1275</v>
      </c>
      <c r="C7" s="2486"/>
      <c r="D7" s="2487"/>
      <c r="E7" s="2487"/>
      <c r="F7" s="2487"/>
      <c r="G7" s="2487"/>
      <c r="H7" s="2487"/>
      <c r="I7" s="2487"/>
      <c r="J7" s="2487"/>
      <c r="K7" s="2487"/>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7" customHeight="1">
      <c r="B10" s="1314" t="s">
        <v>1704</v>
      </c>
      <c r="C10" s="1315" t="s">
        <v>1951</v>
      </c>
      <c r="D10" s="1316">
        <v>2</v>
      </c>
      <c r="E10" s="322"/>
      <c r="F10" s="1317" t="s">
        <v>1274</v>
      </c>
      <c r="G10" s="1318"/>
      <c r="H10" s="1319" t="s">
        <v>1273</v>
      </c>
      <c r="I10" s="1318" t="s">
        <v>2051</v>
      </c>
      <c r="J10" s="1320" t="s">
        <v>1272</v>
      </c>
      <c r="K10" s="322"/>
      <c r="L10" s="1311"/>
    </row>
    <row r="11" spans="1:13" ht="13.5" customHeight="1">
      <c r="B11" s="322"/>
      <c r="C11" s="322"/>
      <c r="D11" s="322"/>
      <c r="E11" s="322"/>
      <c r="F11" s="322"/>
      <c r="G11" s="1313"/>
      <c r="H11" s="322"/>
      <c r="I11" s="1321" t="s">
        <v>1271</v>
      </c>
      <c r="J11" s="322"/>
      <c r="K11" s="1322">
        <v>2008</v>
      </c>
      <c r="L11" s="1311"/>
    </row>
    <row r="12" spans="1:13" ht="13.5" customHeight="1">
      <c r="B12" s="1291"/>
      <c r="C12" s="1291"/>
      <c r="D12" s="322"/>
      <c r="E12" s="322"/>
      <c r="F12" s="322"/>
      <c r="G12" s="1313"/>
      <c r="H12" s="322"/>
      <c r="I12" s="1313"/>
      <c r="J12" s="322"/>
      <c r="L12" s="1311"/>
    </row>
    <row r="13" spans="1:13" s="1279" customFormat="1" ht="13.5" customHeight="1">
      <c r="B13" s="1323" t="s">
        <v>1270</v>
      </c>
      <c r="C13" s="1323"/>
      <c r="D13" s="1324"/>
      <c r="E13" s="1324"/>
      <c r="F13" s="1324"/>
      <c r="G13" s="1325"/>
      <c r="H13" s="1324"/>
      <c r="I13" s="1325"/>
      <c r="J13" s="1324"/>
      <c r="K13" s="1324"/>
      <c r="L13" s="1326"/>
    </row>
    <row r="14" spans="1:13" ht="45.75" customHeight="1">
      <c r="B14" s="2484" t="s">
        <v>2158</v>
      </c>
      <c r="C14" s="2484"/>
      <c r="D14" s="2484"/>
      <c r="E14" s="2484"/>
      <c r="F14" s="2484"/>
      <c r="G14" s="2484"/>
      <c r="H14" s="2484"/>
      <c r="I14" s="2484"/>
      <c r="J14" s="2484"/>
      <c r="K14" s="2484"/>
      <c r="L14" s="1327"/>
    </row>
    <row r="15" spans="1:13" ht="4.5" customHeight="1">
      <c r="B15" s="1328"/>
      <c r="C15" s="1328"/>
      <c r="D15" s="1329"/>
      <c r="E15" s="1329"/>
      <c r="F15" s="1329"/>
      <c r="H15" s="1329"/>
      <c r="J15" s="1329"/>
      <c r="K15" s="1329"/>
      <c r="L15" s="1327"/>
    </row>
    <row r="16" spans="1:13" s="1279" customFormat="1" ht="13.5" customHeight="1">
      <c r="B16" s="1323" t="s">
        <v>1269</v>
      </c>
      <c r="C16" s="1323"/>
      <c r="D16" s="1324"/>
      <c r="E16" s="1324"/>
      <c r="F16" s="1324"/>
      <c r="G16" s="1325"/>
      <c r="H16" s="1324"/>
      <c r="I16" s="1325"/>
      <c r="J16" s="1324"/>
      <c r="K16" s="1324"/>
      <c r="L16" s="1326"/>
    </row>
    <row r="17" spans="2:12" ht="45.75" customHeight="1">
      <c r="B17" s="2484" t="s">
        <v>2159</v>
      </c>
      <c r="C17" s="2484"/>
      <c r="D17" s="2484"/>
      <c r="E17" s="2484"/>
      <c r="F17" s="2484"/>
      <c r="G17" s="2484"/>
      <c r="H17" s="2484"/>
      <c r="I17" s="2484"/>
      <c r="J17" s="2484"/>
      <c r="K17" s="2484"/>
      <c r="L17" s="1311"/>
    </row>
    <row r="18" spans="2:12" ht="4.5" customHeight="1">
      <c r="B18" s="1328"/>
      <c r="C18" s="1328"/>
      <c r="L18" s="1311"/>
    </row>
    <row r="19" spans="2:12" s="1279" customFormat="1" ht="13.5" customHeight="1">
      <c r="B19" s="1323" t="s">
        <v>1705</v>
      </c>
      <c r="C19" s="1323"/>
      <c r="D19" s="1324"/>
      <c r="E19" s="1324"/>
      <c r="F19" s="1324"/>
      <c r="G19" s="1325"/>
      <c r="H19" s="1324"/>
      <c r="I19" s="1325"/>
      <c r="J19" s="1324"/>
      <c r="K19" s="1324"/>
      <c r="L19" s="1326"/>
    </row>
    <row r="20" spans="2:12" ht="45.75" customHeight="1">
      <c r="B20" s="2488" t="s">
        <v>2159</v>
      </c>
      <c r="C20" s="2488"/>
      <c r="D20" s="2484"/>
      <c r="E20" s="2484"/>
      <c r="F20" s="2484"/>
      <c r="G20" s="2484"/>
      <c r="H20" s="2484"/>
      <c r="I20" s="2484"/>
      <c r="J20" s="2484"/>
      <c r="K20" s="2484"/>
      <c r="L20" s="1311"/>
    </row>
    <row r="21" spans="2:12" ht="4.5" customHeight="1">
      <c r="B21" s="1330"/>
      <c r="C21" s="1330"/>
      <c r="L21" s="1311"/>
    </row>
    <row r="22" spans="2:12" ht="13.5" customHeight="1">
      <c r="B22" s="1323" t="s">
        <v>1268</v>
      </c>
      <c r="C22" s="1323"/>
      <c r="D22" s="1309"/>
      <c r="E22" s="1309"/>
      <c r="F22" s="1309"/>
      <c r="G22" s="1310"/>
      <c r="H22" s="1309"/>
      <c r="I22" s="1310"/>
      <c r="J22" s="1309"/>
      <c r="K22" s="1309"/>
      <c r="L22" s="1311"/>
    </row>
    <row r="23" spans="2:12" ht="45.4" customHeight="1">
      <c r="B23" s="2484" t="s">
        <v>2160</v>
      </c>
      <c r="C23" s="2484"/>
      <c r="D23" s="2484"/>
      <c r="E23" s="2484"/>
      <c r="F23" s="2484"/>
      <c r="G23" s="2484"/>
      <c r="H23" s="2484"/>
      <c r="I23" s="2484"/>
      <c r="J23" s="2484"/>
      <c r="K23" s="2484"/>
      <c r="L23" s="1311"/>
    </row>
    <row r="24" spans="2:12" ht="4.5" customHeight="1">
      <c r="B24" s="1328"/>
      <c r="C24" s="1328"/>
      <c r="L24" s="1311"/>
    </row>
    <row r="25" spans="2:12" ht="13.5" customHeight="1">
      <c r="B25" s="1323" t="s">
        <v>1267</v>
      </c>
      <c r="C25" s="1323"/>
      <c r="D25" s="1309"/>
      <c r="E25" s="1309"/>
      <c r="F25" s="1309"/>
      <c r="G25" s="1310"/>
      <c r="H25" s="1309"/>
      <c r="I25" s="1310"/>
      <c r="J25" s="1309"/>
      <c r="K25" s="1309"/>
      <c r="L25" s="1311"/>
    </row>
    <row r="26" spans="2:12" ht="45.75" customHeight="1">
      <c r="B26" s="2484" t="s">
        <v>2161</v>
      </c>
      <c r="C26" s="2484"/>
      <c r="D26" s="2484"/>
      <c r="E26" s="2484"/>
      <c r="F26" s="2484"/>
      <c r="G26" s="2484"/>
      <c r="H26" s="2484"/>
      <c r="I26" s="2484"/>
      <c r="J26" s="2484"/>
      <c r="K26" s="2484"/>
      <c r="L26" s="1311"/>
    </row>
    <row r="27" spans="2:12" ht="4.5" customHeight="1">
      <c r="B27" s="1328"/>
      <c r="C27" s="1328"/>
      <c r="L27" s="1311"/>
    </row>
    <row r="28" spans="2:12" ht="13.5" customHeight="1">
      <c r="B28" s="1331" t="s">
        <v>1266</v>
      </c>
      <c r="C28" s="1331"/>
      <c r="D28" s="1309"/>
      <c r="E28" s="1309"/>
      <c r="F28" s="1309"/>
      <c r="G28" s="1310"/>
      <c r="H28" s="1309"/>
      <c r="I28" s="1310"/>
      <c r="J28" s="1309"/>
      <c r="K28" s="1309"/>
      <c r="L28" s="1311"/>
    </row>
    <row r="29" spans="2:12" ht="45.75" customHeight="1">
      <c r="B29" s="2483" t="s">
        <v>2162</v>
      </c>
      <c r="C29" s="2483"/>
      <c r="D29" s="2484"/>
      <c r="E29" s="2484"/>
      <c r="F29" s="2484"/>
      <c r="G29" s="2484"/>
      <c r="H29" s="2484"/>
      <c r="I29" s="2484"/>
      <c r="J29" s="2484"/>
      <c r="K29" s="2484"/>
      <c r="L29" s="1311"/>
    </row>
    <row r="30" spans="2:12" ht="4.5" customHeight="1">
      <c r="B30" s="1332"/>
      <c r="C30" s="1332"/>
      <c r="D30" s="322"/>
      <c r="E30" s="322"/>
      <c r="F30" s="322"/>
      <c r="G30" s="1313"/>
      <c r="H30" s="322"/>
      <c r="I30" s="1313"/>
      <c r="J30" s="322"/>
      <c r="K30" s="322"/>
      <c r="L30" s="1311"/>
    </row>
    <row r="31" spans="2:12" s="322" customFormat="1" ht="13.5" customHeight="1">
      <c r="B31" s="1333" t="s">
        <v>1706</v>
      </c>
      <c r="C31" s="1333"/>
      <c r="D31" s="1308"/>
      <c r="E31" s="1309"/>
      <c r="F31" s="1309"/>
      <c r="G31" s="1310"/>
      <c r="H31" s="1309"/>
      <c r="I31" s="1310"/>
      <c r="J31" s="1309"/>
      <c r="K31" s="1309"/>
      <c r="L31" s="1311"/>
    </row>
    <row r="32" spans="2:12" s="322" customFormat="1" ht="44.25" customHeight="1">
      <c r="B32" s="2483" t="s">
        <v>2162</v>
      </c>
      <c r="C32" s="2483"/>
      <c r="D32" s="2484"/>
      <c r="E32" s="2484"/>
      <c r="F32" s="2484"/>
      <c r="G32" s="2484"/>
      <c r="H32" s="2484"/>
      <c r="I32" s="2484"/>
      <c r="J32" s="2484"/>
      <c r="K32" s="2484"/>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1707</v>
      </c>
      <c r="C35" s="1336"/>
      <c r="D35" s="322"/>
      <c r="E35" s="322"/>
      <c r="F35" s="322"/>
      <c r="L35" s="1311"/>
    </row>
    <row r="36" spans="1:13" ht="9.6" customHeight="1">
      <c r="B36" s="1297" t="s">
        <v>1802</v>
      </c>
      <c r="C36" s="1297"/>
      <c r="L36" s="1311"/>
    </row>
    <row r="37" spans="1:13" ht="9.6" customHeight="1">
      <c r="B37" s="1297" t="s">
        <v>1803</v>
      </c>
      <c r="C37" s="1297"/>
    </row>
    <row r="38" spans="1:13" ht="11.85" customHeight="1">
      <c r="B38" s="1337" t="s">
        <v>1708</v>
      </c>
      <c r="C38" s="1337"/>
    </row>
    <row r="39" spans="1:13" ht="9.6" customHeight="1">
      <c r="B39" s="1297" t="s">
        <v>1265</v>
      </c>
      <c r="C39" s="1297"/>
      <c r="M39" s="1338"/>
    </row>
    <row r="40" spans="1:13" ht="12.95" customHeight="1">
      <c r="B40" s="1337" t="s">
        <v>1709</v>
      </c>
      <c r="C40" s="1337"/>
      <c r="M40" s="1338"/>
    </row>
    <row r="41" spans="1:13" ht="9.6" customHeight="1">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B611-6F4B-4517-9505-244A687F014A}">
  <dimension ref="A1:M41"/>
  <sheetViews>
    <sheetView showGridLines="0" topLeftCell="A13" zoomScale="110" zoomScaleNormal="110" workbookViewId="0">
      <selection activeCell="T15" sqref="T15:AA15"/>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2" t="str">
        <f>'Single Audit Cover'!A7</f>
        <v>Dixon USD 170</v>
      </c>
      <c r="C1" s="2462"/>
      <c r="D1" s="2462"/>
      <c r="E1" s="2462"/>
      <c r="F1" s="2462"/>
      <c r="G1" s="2462"/>
      <c r="H1" s="2462"/>
      <c r="I1" s="2462"/>
      <c r="J1" s="2462"/>
      <c r="K1" s="2462"/>
      <c r="L1" s="1304"/>
      <c r="M1" s="1304"/>
    </row>
    <row r="2" spans="1:13" ht="12" customHeight="1">
      <c r="B2" s="2464">
        <f>'Single Audit Cover'!E7</f>
        <v>47052170022</v>
      </c>
      <c r="C2" s="2464"/>
      <c r="D2" s="2464"/>
      <c r="E2" s="2464"/>
      <c r="F2" s="2464"/>
      <c r="G2" s="2464"/>
      <c r="H2" s="2464"/>
      <c r="I2" s="2464"/>
      <c r="J2" s="2464"/>
      <c r="K2" s="2464"/>
      <c r="L2" s="1305"/>
      <c r="M2" s="1306"/>
    </row>
    <row r="3" spans="1:13" ht="10.35" customHeight="1">
      <c r="B3" s="2485" t="s">
        <v>1264</v>
      </c>
      <c r="C3" s="2485"/>
      <c r="D3" s="2485"/>
      <c r="E3" s="2485"/>
      <c r="F3" s="2485"/>
      <c r="G3" s="2485"/>
      <c r="H3" s="2485"/>
      <c r="I3" s="2485"/>
      <c r="J3" s="2485"/>
      <c r="K3" s="2485"/>
      <c r="L3" s="1870"/>
      <c r="M3" s="1870"/>
    </row>
    <row r="4" spans="1:13" ht="14.25" customHeight="1">
      <c r="B4" s="2486" t="str">
        <f>'Single Audit Cover'!A4</f>
        <v>Year Ending June 30, 2019</v>
      </c>
      <c r="C4" s="2486"/>
      <c r="D4" s="2486"/>
      <c r="E4" s="2486"/>
      <c r="F4" s="2486"/>
      <c r="G4" s="2486"/>
      <c r="H4" s="2486"/>
      <c r="I4" s="2486"/>
      <c r="J4" s="2486"/>
      <c r="K4" s="2486"/>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3.15" customHeight="1">
      <c r="A7" s="1279"/>
      <c r="B7" s="2486" t="s">
        <v>1275</v>
      </c>
      <c r="C7" s="2486"/>
      <c r="D7" s="2487"/>
      <c r="E7" s="2487"/>
      <c r="F7" s="2487"/>
      <c r="G7" s="2487"/>
      <c r="H7" s="2487"/>
      <c r="I7" s="2487"/>
      <c r="J7" s="2487"/>
      <c r="K7" s="2487"/>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7" customHeight="1">
      <c r="B10" s="1314" t="s">
        <v>1704</v>
      </c>
      <c r="C10" s="1315" t="s">
        <v>1951</v>
      </c>
      <c r="D10" s="1316">
        <v>3</v>
      </c>
      <c r="E10" s="322"/>
      <c r="F10" s="1317" t="s">
        <v>1274</v>
      </c>
      <c r="G10" s="1318"/>
      <c r="H10" s="1319" t="s">
        <v>1273</v>
      </c>
      <c r="I10" s="1318"/>
      <c r="J10" s="1320" t="s">
        <v>1272</v>
      </c>
      <c r="K10" s="322"/>
      <c r="L10" s="1311"/>
    </row>
    <row r="11" spans="1:13" ht="13.5" customHeight="1">
      <c r="B11" s="322"/>
      <c r="C11" s="322"/>
      <c r="D11" s="322"/>
      <c r="E11" s="322"/>
      <c r="F11" s="322"/>
      <c r="G11" s="1313"/>
      <c r="H11" s="322"/>
      <c r="I11" s="1321" t="s">
        <v>1271</v>
      </c>
      <c r="J11" s="322"/>
      <c r="K11" s="1322">
        <v>2017</v>
      </c>
      <c r="L11" s="1311"/>
    </row>
    <row r="12" spans="1:13" ht="13.5" customHeight="1">
      <c r="B12" s="1291"/>
      <c r="C12" s="1291"/>
      <c r="D12" s="322"/>
      <c r="E12" s="322"/>
      <c r="F12" s="322"/>
      <c r="G12" s="1313"/>
      <c r="H12" s="322"/>
      <c r="I12" s="1313"/>
      <c r="J12" s="322"/>
      <c r="L12" s="1311"/>
    </row>
    <row r="13" spans="1:13" s="1279" customFormat="1" ht="13.5" customHeight="1">
      <c r="B13" s="1323" t="s">
        <v>1270</v>
      </c>
      <c r="C13" s="1323"/>
      <c r="D13" s="1324"/>
      <c r="E13" s="1324"/>
      <c r="F13" s="1324"/>
      <c r="G13" s="1325"/>
      <c r="H13" s="1324"/>
      <c r="I13" s="1325"/>
      <c r="J13" s="1324"/>
      <c r="K13" s="1324"/>
      <c r="L13" s="1326"/>
    </row>
    <row r="14" spans="1:13" ht="45.75" customHeight="1">
      <c r="B14" s="2484" t="s">
        <v>2181</v>
      </c>
      <c r="C14" s="2484"/>
      <c r="D14" s="2484"/>
      <c r="E14" s="2484"/>
      <c r="F14" s="2484"/>
      <c r="G14" s="2484"/>
      <c r="H14" s="2484"/>
      <c r="I14" s="2484"/>
      <c r="J14" s="2484"/>
      <c r="K14" s="2484"/>
      <c r="L14" s="1327"/>
    </row>
    <row r="15" spans="1:13" ht="4.5" customHeight="1">
      <c r="B15" s="1328"/>
      <c r="C15" s="1328"/>
      <c r="D15" s="1329"/>
      <c r="E15" s="1329"/>
      <c r="F15" s="1329"/>
      <c r="H15" s="1329"/>
      <c r="J15" s="1329"/>
      <c r="K15" s="1329"/>
      <c r="L15" s="1327"/>
    </row>
    <row r="16" spans="1:13" s="1279" customFormat="1" ht="13.5" customHeight="1">
      <c r="B16" s="1323" t="s">
        <v>1269</v>
      </c>
      <c r="C16" s="1323"/>
      <c r="D16" s="1324"/>
      <c r="E16" s="1324"/>
      <c r="F16" s="1324"/>
      <c r="G16" s="1325"/>
      <c r="H16" s="1324"/>
      <c r="I16" s="1325"/>
      <c r="J16" s="1324"/>
      <c r="K16" s="1324"/>
      <c r="L16" s="1326"/>
    </row>
    <row r="17" spans="2:12" ht="45.75" customHeight="1">
      <c r="B17" s="2484" t="s">
        <v>2167</v>
      </c>
      <c r="C17" s="2484"/>
      <c r="D17" s="2484"/>
      <c r="E17" s="2484"/>
      <c r="F17" s="2484"/>
      <c r="G17" s="2484"/>
      <c r="H17" s="2484"/>
      <c r="I17" s="2484"/>
      <c r="J17" s="2484"/>
      <c r="K17" s="2484"/>
      <c r="L17" s="1311"/>
    </row>
    <row r="18" spans="2:12" ht="4.5" customHeight="1">
      <c r="B18" s="1328"/>
      <c r="C18" s="1328"/>
      <c r="L18" s="1311"/>
    </row>
    <row r="19" spans="2:12" s="1279" customFormat="1" ht="13.5" customHeight="1">
      <c r="B19" s="1323" t="s">
        <v>1705</v>
      </c>
      <c r="C19" s="1323"/>
      <c r="D19" s="1324"/>
      <c r="E19" s="1324"/>
      <c r="F19" s="1324"/>
      <c r="G19" s="1325"/>
      <c r="H19" s="1324"/>
      <c r="I19" s="1325"/>
      <c r="J19" s="1324"/>
      <c r="K19" s="1324"/>
      <c r="L19" s="1326"/>
    </row>
    <row r="20" spans="2:12" ht="45.75" customHeight="1">
      <c r="B20" s="2488" t="s">
        <v>2168</v>
      </c>
      <c r="C20" s="2488"/>
      <c r="D20" s="2484"/>
      <c r="E20" s="2484"/>
      <c r="F20" s="2484"/>
      <c r="G20" s="2484"/>
      <c r="H20" s="2484"/>
      <c r="I20" s="2484"/>
      <c r="J20" s="2484"/>
      <c r="K20" s="2484"/>
      <c r="L20" s="1311"/>
    </row>
    <row r="21" spans="2:12" ht="4.5" customHeight="1">
      <c r="B21" s="1330"/>
      <c r="C21" s="1330"/>
      <c r="L21" s="1311"/>
    </row>
    <row r="22" spans="2:12" ht="13.5" customHeight="1">
      <c r="B22" s="1323" t="s">
        <v>1268</v>
      </c>
      <c r="C22" s="1323"/>
      <c r="D22" s="1309"/>
      <c r="E22" s="1309"/>
      <c r="F22" s="1309"/>
      <c r="G22" s="1310"/>
      <c r="H22" s="1309"/>
      <c r="I22" s="1310"/>
      <c r="J22" s="1309"/>
      <c r="K22" s="1309"/>
      <c r="L22" s="1311"/>
    </row>
    <row r="23" spans="2:12" ht="45.4" customHeight="1">
      <c r="B23" s="2484" t="s">
        <v>2163</v>
      </c>
      <c r="C23" s="2484"/>
      <c r="D23" s="2484"/>
      <c r="E23" s="2484"/>
      <c r="F23" s="2484"/>
      <c r="G23" s="2484"/>
      <c r="H23" s="2484"/>
      <c r="I23" s="2484"/>
      <c r="J23" s="2484"/>
      <c r="K23" s="2484"/>
      <c r="L23" s="1311"/>
    </row>
    <row r="24" spans="2:12" ht="4.5" customHeight="1">
      <c r="B24" s="1328"/>
      <c r="C24" s="1328"/>
      <c r="L24" s="1311"/>
    </row>
    <row r="25" spans="2:12" ht="13.5" customHeight="1">
      <c r="B25" s="1323" t="s">
        <v>1267</v>
      </c>
      <c r="C25" s="1323"/>
      <c r="D25" s="1309"/>
      <c r="E25" s="1309"/>
      <c r="F25" s="1309"/>
      <c r="G25" s="1310"/>
      <c r="H25" s="1309"/>
      <c r="I25" s="1310"/>
      <c r="J25" s="1309"/>
      <c r="K25" s="1309"/>
      <c r="L25" s="1311"/>
    </row>
    <row r="26" spans="2:12" ht="45.75" customHeight="1">
      <c r="B26" s="2484" t="s">
        <v>2164</v>
      </c>
      <c r="C26" s="2484"/>
      <c r="D26" s="2484"/>
      <c r="E26" s="2484"/>
      <c r="F26" s="2484"/>
      <c r="G26" s="2484"/>
      <c r="H26" s="2484"/>
      <c r="I26" s="2484"/>
      <c r="J26" s="2484"/>
      <c r="K26" s="2484"/>
      <c r="L26" s="1311"/>
    </row>
    <row r="27" spans="2:12" ht="4.5" customHeight="1">
      <c r="B27" s="1328"/>
      <c r="C27" s="1328"/>
      <c r="L27" s="1311"/>
    </row>
    <row r="28" spans="2:12" ht="13.5" customHeight="1">
      <c r="B28" s="1331" t="s">
        <v>1266</v>
      </c>
      <c r="C28" s="1331"/>
      <c r="D28" s="1309"/>
      <c r="E28" s="1309"/>
      <c r="F28" s="1309"/>
      <c r="G28" s="1310"/>
      <c r="H28" s="1309"/>
      <c r="I28" s="1310"/>
      <c r="J28" s="1309"/>
      <c r="K28" s="1309"/>
      <c r="L28" s="1311"/>
    </row>
    <row r="29" spans="2:12" ht="45.75" customHeight="1">
      <c r="B29" s="2483" t="s">
        <v>2165</v>
      </c>
      <c r="C29" s="2483"/>
      <c r="D29" s="2484"/>
      <c r="E29" s="2484"/>
      <c r="F29" s="2484"/>
      <c r="G29" s="2484"/>
      <c r="H29" s="2484"/>
      <c r="I29" s="2484"/>
      <c r="J29" s="2484"/>
      <c r="K29" s="2484"/>
      <c r="L29" s="1311"/>
    </row>
    <row r="30" spans="2:12" ht="4.5" customHeight="1">
      <c r="B30" s="1332"/>
      <c r="C30" s="1332"/>
      <c r="D30" s="322"/>
      <c r="E30" s="322"/>
      <c r="F30" s="322"/>
      <c r="G30" s="1313"/>
      <c r="H30" s="322"/>
      <c r="I30" s="1313"/>
      <c r="J30" s="322"/>
      <c r="K30" s="322"/>
      <c r="L30" s="1311"/>
    </row>
    <row r="31" spans="2:12" s="322" customFormat="1" ht="13.5" customHeight="1">
      <c r="B31" s="1333" t="s">
        <v>1706</v>
      </c>
      <c r="C31" s="1333"/>
      <c r="D31" s="1308"/>
      <c r="E31" s="1309"/>
      <c r="F31" s="1309"/>
      <c r="G31" s="1310"/>
      <c r="H31" s="1309"/>
      <c r="I31" s="1310"/>
      <c r="J31" s="1309"/>
      <c r="K31" s="1309"/>
      <c r="L31" s="1311"/>
    </row>
    <row r="32" spans="2:12" s="322" customFormat="1" ht="44.25" customHeight="1">
      <c r="B32" s="2483" t="s">
        <v>2166</v>
      </c>
      <c r="C32" s="2483"/>
      <c r="D32" s="2484"/>
      <c r="E32" s="2484"/>
      <c r="F32" s="2484"/>
      <c r="G32" s="2484"/>
      <c r="H32" s="2484"/>
      <c r="I32" s="2484"/>
      <c r="J32" s="2484"/>
      <c r="K32" s="2484"/>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1707</v>
      </c>
      <c r="C35" s="1336"/>
      <c r="D35" s="322"/>
      <c r="E35" s="322"/>
      <c r="F35" s="322"/>
      <c r="L35" s="1311"/>
    </row>
    <row r="36" spans="1:13" ht="9.6" customHeight="1">
      <c r="B36" s="1297" t="s">
        <v>1802</v>
      </c>
      <c r="C36" s="1297"/>
      <c r="L36" s="1311"/>
    </row>
    <row r="37" spans="1:13" ht="9.6" customHeight="1">
      <c r="B37" s="1297" t="s">
        <v>1803</v>
      </c>
      <c r="C37" s="1297"/>
    </row>
    <row r="38" spans="1:13" ht="11.85" customHeight="1">
      <c r="B38" s="1337" t="s">
        <v>1708</v>
      </c>
      <c r="C38" s="1337"/>
    </row>
    <row r="39" spans="1:13" ht="9.6" customHeight="1">
      <c r="B39" s="1297" t="s">
        <v>1265</v>
      </c>
      <c r="C39" s="1297"/>
      <c r="M39" s="1338"/>
    </row>
    <row r="40" spans="1:13" ht="12.95" customHeight="1">
      <c r="B40" s="1337" t="s">
        <v>1709</v>
      </c>
      <c r="C40" s="1337"/>
      <c r="M40" s="1338"/>
    </row>
    <row r="41" spans="1:13" ht="9.6" customHeight="1">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T15" sqref="T15:AA15"/>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3.15" customHeight="1">
      <c r="B1" s="2489" t="str">
        <f>'Single Audit Cover'!A7</f>
        <v>Dixon USD 170</v>
      </c>
      <c r="C1" s="2489"/>
      <c r="D1" s="2489"/>
      <c r="E1" s="2489"/>
      <c r="F1" s="2489"/>
      <c r="G1" s="2489"/>
      <c r="H1" s="2489"/>
      <c r="I1" s="2489"/>
      <c r="J1" s="2489"/>
      <c r="K1" s="2489"/>
      <c r="L1" s="1382"/>
    </row>
    <row r="2" spans="1:12" ht="13.15" customHeight="1">
      <c r="B2" s="2490">
        <f>'Single Audit Cover'!E7</f>
        <v>47052170022</v>
      </c>
      <c r="C2" s="2490"/>
      <c r="D2" s="2490"/>
      <c r="E2" s="2490"/>
      <c r="F2" s="2490"/>
      <c r="G2" s="2490"/>
      <c r="H2" s="2490"/>
      <c r="I2" s="2490"/>
      <c r="J2" s="2490"/>
      <c r="K2" s="2490"/>
      <c r="L2" s="1383"/>
    </row>
    <row r="3" spans="1:12" ht="13.15" customHeight="1">
      <c r="B3" s="2485" t="s">
        <v>1264</v>
      </c>
      <c r="C3" s="2485"/>
      <c r="D3" s="2485"/>
      <c r="E3" s="2485"/>
      <c r="F3" s="2485"/>
      <c r="G3" s="2485"/>
      <c r="H3" s="2485"/>
      <c r="I3" s="2485"/>
      <c r="J3" s="2485"/>
      <c r="K3" s="2485"/>
      <c r="L3" s="1307"/>
    </row>
    <row r="4" spans="1:12" ht="13.15" customHeight="1">
      <c r="B4" s="2485" t="str">
        <f>'Single Audit Cover'!A4</f>
        <v>Year Ending June 30, 2019</v>
      </c>
      <c r="C4" s="2485"/>
      <c r="D4" s="2485"/>
      <c r="E4" s="2485"/>
      <c r="F4" s="2485"/>
      <c r="G4" s="2485"/>
      <c r="H4" s="2485"/>
      <c r="I4" s="2485"/>
      <c r="J4" s="2485"/>
      <c r="K4" s="2485"/>
      <c r="L4" s="1307"/>
    </row>
    <row r="5" spans="1:12" ht="5.25" customHeight="1">
      <c r="B5" s="1257" t="s">
        <v>1169</v>
      </c>
      <c r="C5" s="1257"/>
      <c r="L5" s="322"/>
    </row>
    <row r="6" spans="1:12" ht="31.15" customHeight="1">
      <c r="A6" s="322"/>
      <c r="B6" s="2491" t="s">
        <v>1287</v>
      </c>
      <c r="C6" s="2491"/>
      <c r="D6" s="2491"/>
      <c r="E6" s="2491"/>
      <c r="F6" s="2491"/>
      <c r="G6" s="2491"/>
      <c r="H6" s="2491"/>
      <c r="I6" s="2491"/>
      <c r="J6" s="2491"/>
      <c r="K6" s="2491"/>
      <c r="L6" s="322"/>
    </row>
    <row r="7" spans="1:12" ht="4.5" customHeight="1">
      <c r="B7" s="1309"/>
      <c r="C7" s="1309"/>
      <c r="D7" s="1309"/>
      <c r="E7" s="1309"/>
      <c r="F7" s="1309"/>
      <c r="G7" s="1310"/>
      <c r="H7" s="1309"/>
      <c r="I7" s="1310"/>
      <c r="J7" s="1309"/>
      <c r="K7" s="1309"/>
      <c r="L7" s="322"/>
    </row>
    <row r="8" spans="1:12" ht="13.5" customHeight="1">
      <c r="B8" s="1317" t="s">
        <v>1718</v>
      </c>
      <c r="C8" s="1384" t="s">
        <v>1951</v>
      </c>
      <c r="D8" s="1385"/>
      <c r="E8" s="322"/>
      <c r="F8" s="1314" t="s">
        <v>1274</v>
      </c>
      <c r="G8" s="1386"/>
      <c r="H8" s="1387" t="s">
        <v>1286</v>
      </c>
      <c r="I8" s="1386"/>
      <c r="J8" s="1388" t="s">
        <v>1285</v>
      </c>
      <c r="L8" s="322"/>
    </row>
    <row r="9" spans="1:12" ht="13.5" customHeight="1">
      <c r="D9" s="322"/>
      <c r="E9" s="322"/>
      <c r="F9" s="322"/>
      <c r="G9" s="1313"/>
      <c r="H9" s="322"/>
      <c r="I9" s="1389" t="s">
        <v>1271</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1284</v>
      </c>
      <c r="C12" s="1314"/>
      <c r="D12" s="304"/>
      <c r="E12" s="322"/>
      <c r="F12" s="2469"/>
      <c r="G12" s="2469"/>
      <c r="H12" s="2469"/>
      <c r="I12" s="2469"/>
      <c r="J12" s="2469"/>
      <c r="K12" s="2469"/>
      <c r="L12" s="322"/>
    </row>
    <row r="13" spans="1:12" ht="9.6" customHeight="1">
      <c r="B13" s="1254"/>
      <c r="C13" s="1254"/>
      <c r="D13" s="304"/>
      <c r="E13" s="322"/>
      <c r="F13" s="322"/>
      <c r="G13" s="1313"/>
      <c r="H13" s="322"/>
      <c r="I13" s="1313"/>
      <c r="J13" s="322"/>
      <c r="K13" s="1349"/>
      <c r="L13" s="322"/>
    </row>
    <row r="14" spans="1:12" ht="13.5" customHeight="1">
      <c r="B14" s="1317" t="s">
        <v>1283</v>
      </c>
      <c r="C14" s="1317"/>
      <c r="D14" s="2492"/>
      <c r="E14" s="2492"/>
      <c r="F14" s="2492"/>
      <c r="H14" s="1392" t="s">
        <v>1282</v>
      </c>
      <c r="I14" s="2493"/>
      <c r="J14" s="2493"/>
      <c r="K14" s="2493"/>
      <c r="L14" s="322"/>
    </row>
    <row r="15" spans="1:12" ht="9.6" customHeight="1">
      <c r="B15" s="1317"/>
      <c r="C15" s="1317"/>
      <c r="D15" s="1303"/>
      <c r="E15" s="1257"/>
      <c r="F15" s="1257"/>
      <c r="G15" s="1283"/>
      <c r="H15" s="1257"/>
      <c r="I15" s="1393"/>
      <c r="J15" s="1291"/>
      <c r="K15" s="1288"/>
      <c r="L15" s="322"/>
    </row>
    <row r="16" spans="1:12" ht="13.5" customHeight="1">
      <c r="B16" s="1317" t="s">
        <v>1281</v>
      </c>
      <c r="C16" s="1317"/>
      <c r="D16" s="2493"/>
      <c r="E16" s="2493"/>
      <c r="F16" s="2493"/>
      <c r="G16" s="2493"/>
      <c r="H16" s="2493"/>
      <c r="I16" s="2493"/>
      <c r="J16" s="2493"/>
      <c r="K16" s="2493"/>
      <c r="L16" s="322"/>
    </row>
    <row r="17" spans="2:12" ht="13.5" customHeight="1">
      <c r="B17" s="1317" t="s">
        <v>1280</v>
      </c>
      <c r="C17" s="1317"/>
      <c r="D17" s="2494"/>
      <c r="E17" s="2494"/>
      <c r="F17" s="2494"/>
      <c r="G17" s="2494"/>
      <c r="H17" s="2494"/>
      <c r="I17" s="2494"/>
      <c r="J17" s="2494"/>
      <c r="K17" s="2494"/>
      <c r="L17" s="322"/>
    </row>
    <row r="18" spans="2:12" ht="9.6" customHeight="1">
      <c r="B18" s="1344"/>
      <c r="C18" s="1344"/>
      <c r="D18" s="1344"/>
      <c r="E18" s="1344"/>
      <c r="F18" s="1344"/>
      <c r="G18" s="1345"/>
      <c r="H18" s="1344"/>
      <c r="I18" s="1345"/>
      <c r="J18" s="1344"/>
      <c r="K18" s="1344"/>
      <c r="L18" s="322"/>
    </row>
    <row r="19" spans="2:12" ht="13.5" customHeight="1">
      <c r="B19" s="1394" t="s">
        <v>1279</v>
      </c>
      <c r="C19" s="1394"/>
      <c r="D19" s="328"/>
      <c r="E19" s="328"/>
      <c r="F19" s="328"/>
      <c r="G19" s="1395"/>
      <c r="H19" s="328"/>
      <c r="I19" s="1395"/>
      <c r="J19" s="322"/>
      <c r="K19" s="322"/>
      <c r="L19" s="322"/>
    </row>
    <row r="20" spans="2:12" ht="35.25" customHeight="1">
      <c r="B20" s="2484"/>
      <c r="C20" s="2484"/>
      <c r="D20" s="2484"/>
      <c r="E20" s="2484"/>
      <c r="F20" s="2484"/>
      <c r="G20" s="2484"/>
      <c r="H20" s="2484"/>
      <c r="I20" s="2484"/>
      <c r="J20" s="2484"/>
      <c r="K20" s="2484"/>
      <c r="L20" s="1349"/>
    </row>
    <row r="21" spans="2:12" ht="4.5" customHeight="1">
      <c r="B21" s="1396"/>
      <c r="C21" s="1396"/>
      <c r="D21" s="1397"/>
      <c r="E21" s="1397"/>
      <c r="F21" s="1397"/>
      <c r="G21" s="1345"/>
      <c r="H21" s="1397"/>
      <c r="I21" s="1345"/>
      <c r="J21" s="1397"/>
      <c r="K21" s="1397"/>
      <c r="L21" s="1349"/>
    </row>
    <row r="22" spans="2:12" ht="13.35" customHeight="1">
      <c r="B22" s="1394" t="s">
        <v>1719</v>
      </c>
      <c r="C22" s="1394"/>
      <c r="D22" s="322"/>
      <c r="E22" s="322"/>
      <c r="F22" s="322"/>
      <c r="G22" s="1313"/>
      <c r="H22" s="322"/>
      <c r="I22" s="1313"/>
      <c r="J22" s="322"/>
      <c r="K22" s="322"/>
      <c r="L22" s="322"/>
    </row>
    <row r="23" spans="2:12" ht="37.5" customHeight="1">
      <c r="B23" s="2484"/>
      <c r="C23" s="2484"/>
      <c r="D23" s="2484"/>
      <c r="E23" s="2484"/>
      <c r="F23" s="2484"/>
      <c r="G23" s="2484"/>
      <c r="H23" s="2484"/>
      <c r="I23" s="2484"/>
      <c r="J23" s="2484"/>
      <c r="K23" s="2484"/>
      <c r="L23" s="322"/>
    </row>
    <row r="24" spans="2:12" ht="4.5" customHeight="1">
      <c r="B24" s="1396"/>
      <c r="C24" s="1396"/>
      <c r="D24" s="1344"/>
      <c r="E24" s="1344"/>
      <c r="F24" s="1344"/>
      <c r="G24" s="1345"/>
      <c r="H24" s="1344"/>
      <c r="I24" s="1345"/>
      <c r="J24" s="1344"/>
      <c r="K24" s="1344"/>
      <c r="L24" s="322"/>
    </row>
    <row r="25" spans="2:12" ht="13.5" customHeight="1">
      <c r="B25" s="1394" t="s">
        <v>1720</v>
      </c>
      <c r="C25" s="1394"/>
      <c r="D25" s="322"/>
      <c r="E25" s="322"/>
      <c r="F25" s="322"/>
      <c r="G25" s="1313"/>
      <c r="H25" s="322"/>
      <c r="I25" s="1313"/>
      <c r="J25" s="322"/>
      <c r="K25" s="322"/>
      <c r="L25" s="322"/>
    </row>
    <row r="26" spans="2:12" ht="37.5" customHeight="1">
      <c r="B26" s="2484"/>
      <c r="C26" s="2484"/>
      <c r="D26" s="2484"/>
      <c r="E26" s="2484"/>
      <c r="F26" s="2484"/>
      <c r="G26" s="2484"/>
      <c r="H26" s="2484"/>
      <c r="I26" s="2484"/>
      <c r="J26" s="2484"/>
      <c r="K26" s="2484"/>
      <c r="L26" s="322"/>
    </row>
    <row r="27" spans="2:12" ht="4.5" customHeight="1">
      <c r="B27" s="1398"/>
      <c r="C27" s="1398"/>
      <c r="D27" s="1398"/>
      <c r="E27" s="1344"/>
      <c r="F27" s="1344"/>
      <c r="G27" s="1345"/>
      <c r="H27" s="1344"/>
      <c r="I27" s="1345"/>
      <c r="J27" s="1344"/>
      <c r="K27" s="1344"/>
      <c r="L27" s="322"/>
    </row>
    <row r="28" spans="2:12" ht="13.5" customHeight="1">
      <c r="B28" s="1394" t="s">
        <v>1721</v>
      </c>
      <c r="C28" s="1394"/>
      <c r="D28" s="322"/>
      <c r="E28" s="322"/>
      <c r="F28" s="322"/>
      <c r="G28" s="1313"/>
      <c r="H28" s="322"/>
      <c r="I28" s="1313"/>
      <c r="J28" s="322"/>
      <c r="K28" s="322"/>
      <c r="L28" s="322"/>
    </row>
    <row r="29" spans="2:12" ht="37.5" customHeight="1">
      <c r="B29" s="2484"/>
      <c r="C29" s="2484"/>
      <c r="D29" s="2484"/>
      <c r="E29" s="2484"/>
      <c r="F29" s="2484"/>
      <c r="G29" s="2484"/>
      <c r="H29" s="2484"/>
      <c r="I29" s="2484"/>
      <c r="J29" s="2484"/>
      <c r="K29" s="2484"/>
      <c r="L29" s="322"/>
    </row>
    <row r="30" spans="2:12" ht="4.5" customHeight="1">
      <c r="B30" s="1396"/>
      <c r="C30" s="1396"/>
      <c r="D30" s="1344"/>
      <c r="E30" s="1344"/>
      <c r="F30" s="1344"/>
      <c r="G30" s="1345"/>
      <c r="H30" s="1344"/>
      <c r="I30" s="1345"/>
      <c r="J30" s="1344"/>
      <c r="K30" s="1344"/>
      <c r="L30" s="322"/>
    </row>
    <row r="31" spans="2:12" ht="13.5" customHeight="1">
      <c r="B31" s="1394" t="s">
        <v>1278</v>
      </c>
      <c r="C31" s="1394"/>
      <c r="D31" s="322"/>
      <c r="E31" s="322"/>
      <c r="F31" s="322"/>
      <c r="G31" s="1313"/>
      <c r="H31" s="322"/>
      <c r="I31" s="1313"/>
      <c r="J31" s="322"/>
      <c r="K31" s="322"/>
      <c r="L31" s="322"/>
    </row>
    <row r="32" spans="2:12" ht="37.5" customHeight="1">
      <c r="B32" s="2484"/>
      <c r="C32" s="2484"/>
      <c r="D32" s="2484"/>
      <c r="E32" s="2484"/>
      <c r="F32" s="2484"/>
      <c r="G32" s="2484"/>
      <c r="H32" s="2484"/>
      <c r="I32" s="2484"/>
      <c r="J32" s="2484"/>
      <c r="K32" s="2484"/>
      <c r="L32" s="322"/>
    </row>
    <row r="33" spans="2:12" ht="4.5" customHeight="1">
      <c r="B33" s="1396"/>
      <c r="C33" s="1396"/>
      <c r="D33" s="1344"/>
      <c r="E33" s="1344"/>
      <c r="F33" s="1344"/>
      <c r="G33" s="1345"/>
      <c r="H33" s="1344"/>
      <c r="I33" s="1345"/>
      <c r="J33" s="1344"/>
      <c r="K33" s="1344"/>
      <c r="L33" s="322"/>
    </row>
    <row r="34" spans="2:12" ht="13.5" customHeight="1">
      <c r="B34" s="1314" t="s">
        <v>1277</v>
      </c>
      <c r="C34" s="1314"/>
      <c r="D34" s="322"/>
      <c r="E34" s="322"/>
      <c r="F34" s="322"/>
      <c r="G34" s="1313"/>
      <c r="H34" s="322"/>
      <c r="I34" s="1313"/>
      <c r="J34" s="322"/>
      <c r="K34" s="322"/>
      <c r="L34" s="322"/>
    </row>
    <row r="35" spans="2:12" ht="37.5" customHeight="1">
      <c r="B35" s="2484"/>
      <c r="C35" s="2484"/>
      <c r="D35" s="2484"/>
      <c r="E35" s="2484"/>
      <c r="F35" s="2484"/>
      <c r="G35" s="2484"/>
      <c r="H35" s="2484"/>
      <c r="I35" s="2484"/>
      <c r="J35" s="2484"/>
      <c r="K35" s="2484"/>
      <c r="L35" s="322"/>
    </row>
    <row r="36" spans="2:12" ht="4.5" customHeight="1">
      <c r="B36" s="1396"/>
      <c r="C36" s="1396"/>
      <c r="D36" s="1344"/>
      <c r="E36" s="1344"/>
      <c r="F36" s="1344"/>
      <c r="G36" s="1345"/>
      <c r="H36" s="1344"/>
      <c r="I36" s="1345"/>
      <c r="J36" s="1344"/>
      <c r="K36" s="1344"/>
      <c r="L36" s="322"/>
    </row>
    <row r="37" spans="2:12" ht="13.5" customHeight="1">
      <c r="B37" s="1314" t="s">
        <v>1276</v>
      </c>
      <c r="C37" s="1314"/>
      <c r="D37" s="322"/>
      <c r="E37" s="322"/>
      <c r="F37" s="322"/>
      <c r="G37" s="1313"/>
      <c r="H37" s="322"/>
      <c r="I37" s="1313"/>
      <c r="J37" s="322"/>
      <c r="K37" s="322"/>
      <c r="L37" s="322"/>
    </row>
    <row r="38" spans="2:12" ht="35.25" customHeight="1">
      <c r="B38" s="2484"/>
      <c r="C38" s="2484"/>
      <c r="D38" s="2484"/>
      <c r="E38" s="2484"/>
      <c r="F38" s="2484"/>
      <c r="G38" s="2484"/>
      <c r="H38" s="2484"/>
      <c r="I38" s="2484"/>
      <c r="J38" s="2484"/>
      <c r="K38" s="2484"/>
      <c r="L38" s="322"/>
    </row>
    <row r="39" spans="2:12" ht="4.5" customHeight="1">
      <c r="B39" s="1332"/>
      <c r="C39" s="1332"/>
      <c r="D39" s="322"/>
      <c r="E39" s="322"/>
      <c r="F39" s="322"/>
      <c r="G39" s="1313"/>
      <c r="H39" s="322"/>
      <c r="I39" s="1313"/>
      <c r="J39" s="322"/>
      <c r="K39" s="322"/>
      <c r="L39" s="322"/>
    </row>
    <row r="40" spans="2:12" s="322" customFormat="1" ht="13.5" customHeight="1">
      <c r="B40" s="1333" t="s">
        <v>1722</v>
      </c>
      <c r="C40" s="1333"/>
      <c r="D40" s="1308"/>
      <c r="E40" s="1309"/>
      <c r="F40" s="1309"/>
      <c r="G40" s="1310"/>
      <c r="H40" s="1309"/>
      <c r="I40" s="1310"/>
      <c r="J40" s="1309"/>
      <c r="K40" s="1309"/>
    </row>
    <row r="41" spans="2:12" s="322" customFormat="1" ht="33.75" customHeight="1">
      <c r="B41" s="2484"/>
      <c r="C41" s="2484"/>
      <c r="D41" s="2484"/>
      <c r="E41" s="2484"/>
      <c r="F41" s="2484"/>
      <c r="G41" s="2484"/>
      <c r="H41" s="2484"/>
      <c r="I41" s="2484"/>
      <c r="J41" s="2484"/>
      <c r="K41" s="2484"/>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1723</v>
      </c>
      <c r="C44" s="1336"/>
      <c r="D44" s="322"/>
      <c r="E44" s="322"/>
      <c r="F44" s="322"/>
    </row>
    <row r="45" spans="2:12" ht="10.5" customHeight="1">
      <c r="B45" s="1337" t="s">
        <v>1724</v>
      </c>
      <c r="C45" s="1337"/>
      <c r="G45" s="317"/>
      <c r="I45" s="317"/>
    </row>
    <row r="46" spans="2:12" ht="11.1" customHeight="1">
      <c r="B46" s="1337" t="s">
        <v>1725</v>
      </c>
      <c r="C46" s="1337"/>
      <c r="G46" s="317"/>
      <c r="I46" s="317"/>
    </row>
    <row r="47" spans="2:12" ht="11.1" customHeight="1">
      <c r="B47" s="1337" t="s">
        <v>1726</v>
      </c>
      <c r="C47" s="1337"/>
      <c r="G47" s="317"/>
      <c r="I47" s="317"/>
    </row>
    <row r="48" spans="2:12" ht="11.1" customHeight="1">
      <c r="B48" s="1337" t="s">
        <v>1727</v>
      </c>
      <c r="C48" s="133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T15" sqref="T15:AA15"/>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3.15" customHeight="1">
      <c r="B1" s="2462" t="str">
        <f>'Single Audit Cover'!A7</f>
        <v>Dixon USD 170</v>
      </c>
      <c r="C1" s="2462"/>
      <c r="D1" s="2462"/>
      <c r="E1" s="1402"/>
    </row>
    <row r="2" spans="2:5" s="1279" customFormat="1" ht="13.15" customHeight="1">
      <c r="B2" s="2464">
        <f>'Single Audit Cover'!E7</f>
        <v>47052170022</v>
      </c>
      <c r="C2" s="2464"/>
      <c r="D2" s="2464"/>
      <c r="E2" s="1403"/>
    </row>
    <row r="3" spans="2:5" ht="13.15" customHeight="1">
      <c r="B3" s="2485" t="s">
        <v>1728</v>
      </c>
      <c r="C3" s="2485"/>
      <c r="D3" s="2485"/>
      <c r="E3" s="1271"/>
    </row>
    <row r="4" spans="2:5" s="1279" customFormat="1" ht="13.15" customHeight="1">
      <c r="B4" s="2495" t="str">
        <f>'Single Audit Cover'!A4</f>
        <v>Year Ending June 30, 2019</v>
      </c>
      <c r="C4" s="2495"/>
      <c r="D4" s="2495"/>
      <c r="E4" s="1404"/>
    </row>
    <row r="5" spans="2:5" s="1279" customFormat="1" ht="40.15" customHeight="1">
      <c r="B5" s="1405" t="s">
        <v>1729</v>
      </c>
      <c r="C5" s="328"/>
      <c r="D5" s="328"/>
      <c r="E5" s="328"/>
    </row>
    <row r="6" spans="2:5" s="1279" customFormat="1" ht="13.5" customHeight="1">
      <c r="B6" s="1406" t="s">
        <v>1294</v>
      </c>
      <c r="C6" s="1406" t="s">
        <v>1293</v>
      </c>
      <c r="D6" s="1406" t="s">
        <v>1730</v>
      </c>
    </row>
    <row r="7" spans="2:5" ht="13.5" customHeight="1">
      <c r="B7" s="1407" t="s">
        <v>2169</v>
      </c>
      <c r="C7" s="324" t="s">
        <v>2172</v>
      </c>
      <c r="D7" s="324" t="s">
        <v>2176</v>
      </c>
      <c r="E7" s="324"/>
    </row>
    <row r="8" spans="2:5" ht="13.5" customHeight="1">
      <c r="B8" s="1407"/>
      <c r="C8" s="324"/>
      <c r="D8" s="324"/>
      <c r="E8" s="324"/>
    </row>
    <row r="9" spans="2:5" ht="13.5" customHeight="1">
      <c r="B9" s="1408" t="s">
        <v>2170</v>
      </c>
      <c r="C9" s="1948" t="s">
        <v>2180</v>
      </c>
      <c r="D9" s="323" t="s">
        <v>2176</v>
      </c>
      <c r="E9" s="323"/>
    </row>
    <row r="10" spans="2:5" ht="13.5" customHeight="1">
      <c r="B10" s="1407"/>
      <c r="C10" s="323" t="s">
        <v>2173</v>
      </c>
      <c r="D10" s="323"/>
      <c r="E10" s="323"/>
    </row>
    <row r="11" spans="2:5" ht="13.5" customHeight="1">
      <c r="B11" s="1407" t="s">
        <v>2171</v>
      </c>
      <c r="C11" s="323" t="s">
        <v>2174</v>
      </c>
      <c r="D11" s="323" t="s">
        <v>2176</v>
      </c>
      <c r="E11" s="323"/>
    </row>
    <row r="12" spans="2:5" ht="13.5" customHeight="1">
      <c r="B12" s="1407"/>
      <c r="C12" s="323" t="s">
        <v>2175</v>
      </c>
      <c r="D12" s="323"/>
      <c r="E12" s="323"/>
    </row>
    <row r="13" spans="2:5" ht="13.5" customHeight="1">
      <c r="B13" s="1407"/>
      <c r="C13" s="323"/>
      <c r="D13" s="323"/>
      <c r="E13" s="323"/>
    </row>
    <row r="14" spans="2:5" ht="13.5" customHeight="1">
      <c r="B14" s="1407" t="s">
        <v>2177</v>
      </c>
      <c r="C14" s="323" t="s">
        <v>2172</v>
      </c>
      <c r="D14" s="323" t="s">
        <v>2176</v>
      </c>
      <c r="E14" s="323"/>
    </row>
    <row r="15" spans="2:5" ht="13.5" customHeight="1">
      <c r="B15" s="1407"/>
      <c r="C15" s="323"/>
      <c r="D15" s="323"/>
      <c r="E15" s="323"/>
    </row>
    <row r="16" spans="2:5" ht="13.5" customHeight="1">
      <c r="B16" s="1407" t="s">
        <v>2178</v>
      </c>
      <c r="C16" s="323" t="s">
        <v>2180</v>
      </c>
      <c r="D16" s="323" t="s">
        <v>2176</v>
      </c>
      <c r="E16" s="323"/>
    </row>
    <row r="17" spans="2:5" ht="13.5" customHeight="1">
      <c r="B17" s="1407"/>
      <c r="C17" s="323" t="s">
        <v>2173</v>
      </c>
      <c r="D17" s="323"/>
      <c r="E17" s="323"/>
    </row>
    <row r="18" spans="2:5" ht="13.5" customHeight="1">
      <c r="B18" s="1407" t="s">
        <v>2179</v>
      </c>
      <c r="C18" s="323" t="s">
        <v>2174</v>
      </c>
      <c r="D18" s="323" t="s">
        <v>2176</v>
      </c>
      <c r="E18" s="323"/>
    </row>
    <row r="19" spans="2:5" ht="13.5" customHeight="1">
      <c r="B19" s="1407"/>
      <c r="C19" s="323" t="s">
        <v>2175</v>
      </c>
      <c r="D19" s="323"/>
      <c r="E19" s="323"/>
    </row>
    <row r="20" spans="2:5" ht="13.5" customHeight="1">
      <c r="B20" s="1407"/>
      <c r="C20" s="323"/>
      <c r="D20" s="323"/>
      <c r="E20" s="323"/>
    </row>
    <row r="21" spans="2:5" ht="13.5" customHeight="1">
      <c r="B21" s="1407"/>
      <c r="C21" s="323"/>
      <c r="D21" s="323"/>
      <c r="E21" s="323"/>
    </row>
    <row r="22" spans="2:5" ht="13.5" customHeight="1">
      <c r="B22" s="1407"/>
      <c r="C22" s="323"/>
      <c r="D22" s="323"/>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9"/>
      <c r="C32" s="323"/>
      <c r="D32" s="323"/>
      <c r="E32" s="323"/>
    </row>
    <row r="33" spans="2:5" ht="13.5" customHeight="1">
      <c r="B33" s="1410"/>
      <c r="C33" s="323"/>
      <c r="D33" s="323"/>
      <c r="E33" s="323"/>
    </row>
    <row r="34" spans="2:5" ht="13.5" customHeight="1">
      <c r="B34" s="1411"/>
      <c r="C34" s="323"/>
      <c r="D34" s="323"/>
      <c r="E34" s="323"/>
    </row>
    <row r="35" spans="2:5" ht="13.5" customHeight="1">
      <c r="B35" s="1410"/>
      <c r="C35" s="323"/>
      <c r="D35" s="323"/>
      <c r="E35" s="323"/>
    </row>
    <row r="36" spans="2:5" ht="13.5" customHeight="1">
      <c r="B36" s="1411"/>
      <c r="C36" s="323"/>
      <c r="D36" s="323"/>
      <c r="E36" s="323"/>
    </row>
    <row r="37" spans="2:5" ht="13.5" customHeight="1">
      <c r="B37" s="1411"/>
      <c r="C37" s="323"/>
      <c r="D37" s="323"/>
      <c r="E37" s="323"/>
    </row>
    <row r="38" spans="2:5" ht="13.5" customHeight="1">
      <c r="B38" s="1410"/>
      <c r="C38" s="323"/>
      <c r="D38" s="323"/>
      <c r="E38" s="323"/>
    </row>
    <row r="39" spans="2:5" ht="13.5" customHeight="1">
      <c r="B39" s="1411"/>
      <c r="C39" s="323"/>
      <c r="D39" s="323"/>
      <c r="E39" s="323"/>
    </row>
    <row r="40" spans="2:5" ht="13.5" customHeight="1">
      <c r="B40" s="1410"/>
      <c r="C40" s="323"/>
      <c r="D40" s="323"/>
      <c r="E40" s="323"/>
    </row>
    <row r="41" spans="2:5" ht="13.5" customHeight="1">
      <c r="B41" s="1412"/>
      <c r="C41" s="323"/>
      <c r="D41" s="323"/>
      <c r="E41" s="323"/>
    </row>
    <row r="42" spans="2:5" ht="13.5" customHeight="1">
      <c r="B42" s="1413"/>
      <c r="C42" s="323"/>
      <c r="D42" s="323"/>
      <c r="E42" s="323"/>
    </row>
    <row r="43" spans="2:5" ht="13.15" customHeight="1">
      <c r="B43" s="1414"/>
      <c r="C43" s="1415"/>
      <c r="D43" s="1415"/>
      <c r="E43" s="323"/>
    </row>
    <row r="44" spans="2:5" ht="12.2" customHeight="1">
      <c r="B44" s="1254" t="s">
        <v>1292</v>
      </c>
      <c r="C44" s="322"/>
    </row>
    <row r="45" spans="2:5" ht="12.2" customHeight="1">
      <c r="B45" s="1416" t="s">
        <v>1731</v>
      </c>
    </row>
    <row r="46" spans="2:5" ht="12.2" customHeight="1">
      <c r="B46" s="1416" t="s">
        <v>1732</v>
      </c>
    </row>
    <row r="47" spans="2:5" ht="12.2" customHeight="1">
      <c r="B47" s="1417" t="s">
        <v>1291</v>
      </c>
    </row>
    <row r="48" spans="2:5" ht="12.2" customHeight="1">
      <c r="B48" s="1417" t="s">
        <v>1290</v>
      </c>
    </row>
    <row r="49" spans="2:5" ht="12.2" customHeight="1">
      <c r="B49" s="1417" t="s">
        <v>1289</v>
      </c>
    </row>
    <row r="50" spans="2:5" ht="12.2" customHeight="1">
      <c r="B50" s="1417" t="s">
        <v>1288</v>
      </c>
    </row>
    <row r="53" spans="2:5" ht="13.15" customHeight="1"/>
    <row r="54" spans="2:5" ht="13.15" customHeight="1">
      <c r="B54" s="1264"/>
    </row>
    <row r="55" spans="2:5" ht="13.15" customHeight="1"/>
    <row r="56" spans="2:5" ht="13.15" customHeight="1">
      <c r="B56" s="322"/>
      <c r="C56" s="322"/>
      <c r="D56" s="322"/>
      <c r="E56" s="322"/>
    </row>
    <row r="57" spans="2:5" ht="13.15" customHeight="1">
      <c r="B57" s="322"/>
      <c r="C57" s="322"/>
      <c r="D57" s="322"/>
      <c r="E57" s="322"/>
    </row>
    <row r="58" spans="2:5" ht="13.15" customHeight="1">
      <c r="B58" s="322"/>
      <c r="C58" s="322"/>
      <c r="D58" s="322"/>
      <c r="E58" s="322"/>
    </row>
    <row r="59" spans="2:5" ht="13.15" customHeight="1">
      <c r="B59" s="322"/>
      <c r="C59" s="322"/>
      <c r="D59" s="322"/>
      <c r="E59" s="322"/>
    </row>
    <row r="60" spans="2:5" ht="13.15" customHeight="1">
      <c r="B60" s="322"/>
      <c r="C60" s="322"/>
      <c r="D60" s="322"/>
      <c r="E60" s="322"/>
    </row>
    <row r="61" spans="2:5" ht="13.15" customHeight="1">
      <c r="B61" s="322"/>
      <c r="C61" s="322"/>
      <c r="D61" s="322"/>
      <c r="E61" s="322"/>
    </row>
    <row r="62" spans="2:5" ht="13.15" customHeight="1">
      <c r="B62" s="322"/>
      <c r="C62" s="322"/>
      <c r="D62" s="322"/>
      <c r="E62" s="322"/>
    </row>
    <row r="63" spans="2:5" ht="13.1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FDD4E-E9E6-4780-9CD4-54C3DCA86282}">
  <dimension ref="A1"/>
  <sheetViews>
    <sheetView workbookViewId="0">
      <selection activeCell="T15" sqref="T15:AA15"/>
    </sheetView>
  </sheetViews>
  <sheetFormatPr defaultRowHeight="12.75"/>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15" sqref="T15:AA15"/>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92" t="s">
        <v>386</v>
      </c>
      <c r="B1" s="2092"/>
      <c r="C1" s="2092"/>
      <c r="D1" s="2092"/>
      <c r="E1" s="2092"/>
      <c r="F1" s="2092"/>
      <c r="G1" s="2092"/>
      <c r="H1" s="2092"/>
      <c r="I1" s="2092"/>
      <c r="J1" s="2092"/>
      <c r="K1" s="2092"/>
      <c r="L1" s="2092"/>
      <c r="M1" s="2092"/>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1621</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1908</v>
      </c>
      <c r="E7" s="222"/>
      <c r="F7" s="351" t="s">
        <v>272</v>
      </c>
      <c r="G7" s="222"/>
      <c r="H7" s="222"/>
      <c r="I7" s="222"/>
      <c r="J7" s="352">
        <v>368777593</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2.9499999999999998E-2</v>
      </c>
      <c r="E10" s="356" t="s">
        <v>1005</v>
      </c>
      <c r="F10" s="355">
        <v>5.0000000000000001E-3</v>
      </c>
      <c r="G10" s="356" t="s">
        <v>1005</v>
      </c>
      <c r="H10" s="355">
        <v>2E-3</v>
      </c>
      <c r="I10" s="356" t="s">
        <v>1006</v>
      </c>
      <c r="J10" s="1664">
        <f>ROUND(D10+F10+H10,5)</f>
        <v>3.6499999999999998E-2</v>
      </c>
      <c r="K10" s="222"/>
      <c r="L10" s="355">
        <v>5.0000000000000001E-4</v>
      </c>
      <c r="M10" s="222"/>
    </row>
    <row r="11" spans="1:14" ht="7.5" customHeight="1">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1622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5">
        <f>SUM('Acct Summary 7-8'!C8,'Acct Summary 7-8'!D8,'Acct Summary 7-8'!F8,'Acct Summary 7-8'!I8)</f>
        <v>25893987</v>
      </c>
      <c r="E16" s="356"/>
      <c r="F16" s="1665">
        <f>SUM('Acct Summary 7-8'!C17,'Acct Summary 7-8'!D17,'Acct Summary 7-8'!F17)</f>
        <v>26110783</v>
      </c>
      <c r="G16" s="356"/>
      <c r="H16" s="1665">
        <f>SUM(D16-F16)</f>
        <v>-216796</v>
      </c>
      <c r="I16" s="222"/>
      <c r="J16" s="1665">
        <f>SUM('Acct Summary 7-8'!C81,'Acct Summary 7-8'!D81,'Acct Summary 7-8'!F81,'Acct Summary 7-8'!I81)</f>
        <v>3674856</v>
      </c>
      <c r="K16" s="222"/>
      <c r="L16" s="222"/>
      <c r="M16" s="222"/>
    </row>
    <row r="17" spans="1:13" ht="12.2" customHeight="1">
      <c r="A17" s="349"/>
      <c r="B17" s="260" t="s">
        <v>8</v>
      </c>
      <c r="C17" s="237" t="s">
        <v>1375</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3.15" customHeight="1">
      <c r="A20" s="349" t="s">
        <v>812</v>
      </c>
      <c r="B20" s="349" t="s">
        <v>1623</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c r="A25" s="349"/>
      <c r="B25" s="181" t="s">
        <v>9</v>
      </c>
      <c r="C25" s="237" t="s">
        <v>2023</v>
      </c>
      <c r="D25" s="222"/>
      <c r="E25" s="222"/>
      <c r="F25" s="222"/>
      <c r="G25" s="222"/>
      <c r="H25" s="222"/>
      <c r="I25" s="222"/>
      <c r="J25" s="222"/>
      <c r="K25" s="222"/>
      <c r="L25" s="222"/>
      <c r="M25" s="222"/>
    </row>
    <row r="26" spans="1:13" ht="9.4"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3.1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586</v>
      </c>
      <c r="D31" s="237" t="s">
        <v>1072</v>
      </c>
      <c r="E31" s="222"/>
      <c r="F31" s="222"/>
      <c r="G31" s="363"/>
      <c r="H31" s="1667">
        <f>IF(B31="X",(J7*0.069),IF(B32="X",(J7*0.138),"Enter x in a.or b."))</f>
        <v>50891307.834000006</v>
      </c>
      <c r="I31" s="368"/>
      <c r="J31" s="222"/>
      <c r="K31" s="222"/>
      <c r="L31" s="222"/>
      <c r="M31" s="222"/>
    </row>
    <row r="32" spans="1:13" ht="13.35" customHeight="1">
      <c r="B32" s="369" t="s">
        <v>2032</v>
      </c>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6">
        <f>'Assets-Liab 5-6'!N36</f>
        <v>42810000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3.1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93"/>
      <c r="C54" s="2094"/>
      <c r="D54" s="2094"/>
      <c r="E54" s="2094"/>
      <c r="F54" s="2094"/>
      <c r="G54" s="2094"/>
      <c r="H54" s="2094"/>
      <c r="I54" s="2094"/>
      <c r="J54" s="2094"/>
      <c r="K54" s="2094"/>
      <c r="L54" s="2095"/>
      <c r="M54" s="380"/>
    </row>
    <row r="55" spans="1:13" ht="13.15" customHeight="1">
      <c r="B55" s="2096"/>
      <c r="C55" s="2097"/>
      <c r="D55" s="2097"/>
      <c r="E55" s="2097"/>
      <c r="F55" s="2097"/>
      <c r="G55" s="2097"/>
      <c r="H55" s="2097"/>
      <c r="I55" s="2097"/>
      <c r="J55" s="2097"/>
      <c r="K55" s="2097"/>
      <c r="L55" s="2098"/>
      <c r="M55" s="380"/>
    </row>
    <row r="56" spans="1:13" ht="13.15" customHeight="1">
      <c r="B56" s="2096"/>
      <c r="C56" s="2097"/>
      <c r="D56" s="2097"/>
      <c r="E56" s="2097"/>
      <c r="F56" s="2097"/>
      <c r="G56" s="2097"/>
      <c r="H56" s="2097"/>
      <c r="I56" s="2097"/>
      <c r="J56" s="2097"/>
      <c r="K56" s="2097"/>
      <c r="L56" s="2098"/>
      <c r="M56" s="222"/>
    </row>
    <row r="57" spans="1:13" ht="13.15" customHeight="1">
      <c r="B57" s="2096"/>
      <c r="C57" s="2097"/>
      <c r="D57" s="2097"/>
      <c r="E57" s="2097"/>
      <c r="F57" s="2097"/>
      <c r="G57" s="2097"/>
      <c r="H57" s="2097"/>
      <c r="I57" s="2097"/>
      <c r="J57" s="2097"/>
      <c r="K57" s="2097"/>
      <c r="L57" s="2098"/>
      <c r="M57" s="222"/>
    </row>
    <row r="58" spans="1:13">
      <c r="B58" s="2099"/>
      <c r="C58" s="2100"/>
      <c r="D58" s="2100"/>
      <c r="E58" s="2100"/>
      <c r="F58" s="2100"/>
      <c r="G58" s="2100"/>
      <c r="H58" s="2100"/>
      <c r="I58" s="2100"/>
      <c r="J58" s="2100"/>
      <c r="K58" s="2100"/>
      <c r="L58" s="210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3.15" customHeight="1">
      <c r="A61" s="247"/>
      <c r="B61" s="381"/>
      <c r="C61" s="2104"/>
      <c r="D61" s="210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T15" sqref="T15:AA1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07"/>
      <c r="B1" s="2108"/>
      <c r="C1" s="2108"/>
      <c r="D1" s="384"/>
      <c r="E1" s="384"/>
      <c r="F1" s="384"/>
      <c r="G1" s="384"/>
      <c r="H1" s="384"/>
      <c r="I1" s="384"/>
      <c r="J1" s="384"/>
      <c r="K1" s="384"/>
      <c r="L1" s="384"/>
      <c r="M1" s="384"/>
      <c r="N1" s="384"/>
      <c r="O1" s="2107"/>
      <c r="P1" s="2108"/>
      <c r="Q1" s="2108"/>
    </row>
    <row r="2" spans="1:18" ht="15">
      <c r="A2" s="2111" t="s">
        <v>556</v>
      </c>
      <c r="B2" s="2111"/>
      <c r="C2" s="2111"/>
      <c r="D2" s="2111"/>
      <c r="E2" s="2111"/>
      <c r="F2" s="2111"/>
      <c r="G2" s="2111"/>
      <c r="H2" s="2111"/>
      <c r="I2" s="2111"/>
      <c r="J2" s="2111"/>
      <c r="K2" s="2111"/>
      <c r="L2" s="2111"/>
      <c r="M2" s="2111"/>
      <c r="N2" s="2111"/>
      <c r="O2" s="2111"/>
      <c r="P2" s="2111"/>
      <c r="Q2" s="2111"/>
      <c r="R2" s="2111"/>
    </row>
    <row r="3" spans="1:18" ht="12.75">
      <c r="A3" s="2112" t="s">
        <v>1392</v>
      </c>
      <c r="B3" s="2112"/>
      <c r="C3" s="2112"/>
      <c r="D3" s="2112"/>
      <c r="E3" s="2112"/>
      <c r="F3" s="2112"/>
      <c r="G3" s="2112"/>
      <c r="H3" s="2112"/>
      <c r="I3" s="2112"/>
      <c r="J3" s="2112"/>
      <c r="K3" s="2112"/>
      <c r="L3" s="2112"/>
      <c r="M3" s="2112"/>
      <c r="N3" s="2112"/>
      <c r="O3" s="2112"/>
      <c r="P3" s="2112"/>
      <c r="Q3" s="2112"/>
      <c r="R3" s="2112"/>
    </row>
    <row r="4" spans="1:18">
      <c r="A4" s="2113" t="s">
        <v>1533</v>
      </c>
      <c r="B4" s="2113"/>
      <c r="C4" s="2113"/>
      <c r="D4" s="2113"/>
      <c r="E4" s="2113"/>
      <c r="F4" s="2113"/>
      <c r="G4" s="2113"/>
      <c r="H4" s="2113"/>
      <c r="I4" s="2113"/>
      <c r="J4" s="2113"/>
      <c r="K4" s="2113"/>
      <c r="L4" s="2113"/>
      <c r="M4" s="2113"/>
      <c r="N4" s="2113"/>
      <c r="O4" s="2113"/>
      <c r="P4" s="2113"/>
      <c r="Q4" s="2113"/>
      <c r="R4" s="211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Dixon USD 170</v>
      </c>
      <c r="E7" s="391"/>
      <c r="G7" s="252"/>
      <c r="H7" s="387"/>
      <c r="I7" s="387"/>
      <c r="J7" s="387"/>
      <c r="K7" s="387"/>
      <c r="L7" s="329"/>
      <c r="M7" s="329"/>
      <c r="N7" s="329"/>
      <c r="O7" s="329"/>
      <c r="P7" s="329"/>
    </row>
    <row r="8" spans="1:18" ht="12.75">
      <c r="A8" s="329"/>
      <c r="B8" s="329"/>
      <c r="C8" s="389" t="s">
        <v>1125</v>
      </c>
      <c r="D8" s="392">
        <f>COVER!A13</f>
        <v>47052170022</v>
      </c>
      <c r="E8" s="393"/>
      <c r="G8" s="329"/>
      <c r="H8" s="329"/>
      <c r="I8" s="329"/>
      <c r="J8" s="329"/>
      <c r="K8" s="329"/>
      <c r="L8" s="329"/>
      <c r="M8" s="329"/>
      <c r="N8" s="329"/>
      <c r="O8" s="329"/>
      <c r="P8" s="329"/>
    </row>
    <row r="9" spans="1:18" ht="12.75">
      <c r="A9" s="329"/>
      <c r="B9" s="329"/>
      <c r="C9" s="389" t="s">
        <v>713</v>
      </c>
      <c r="D9" s="394" t="str">
        <f>COVER!A15</f>
        <v>Lee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3674856</v>
      </c>
      <c r="I12" s="404"/>
      <c r="J12" s="404"/>
      <c r="K12" s="405">
        <f>TRUNC((H12/H13*100000),5)/100000</f>
        <v>0.14191928029999998</v>
      </c>
      <c r="L12" s="406"/>
      <c r="M12" s="360" t="s">
        <v>1144</v>
      </c>
      <c r="N12" s="360"/>
      <c r="O12" s="407">
        <v>0.35</v>
      </c>
      <c r="P12" s="218"/>
      <c r="Q12" s="218"/>
    </row>
    <row r="13" spans="1:18" s="408" customFormat="1" ht="12.75">
      <c r="A13" s="218"/>
      <c r="B13" s="401"/>
      <c r="C13" s="2109" t="s">
        <v>1303</v>
      </c>
      <c r="D13" s="2110"/>
      <c r="E13" s="218"/>
      <c r="F13" s="409" t="s">
        <v>793</v>
      </c>
      <c r="G13" s="402"/>
      <c r="H13" s="403">
        <f>SUM('Acct Summary 7-8'!C8+'Acct Summary 7-8'!D8+'Acct Summary 7-8'!F8+'Acct Summary 7-8'!I8)+H14</f>
        <v>25893987</v>
      </c>
      <c r="I13" s="404"/>
      <c r="J13" s="404"/>
      <c r="K13" s="410"/>
      <c r="L13" s="218"/>
      <c r="M13" s="360" t="s">
        <v>1145</v>
      </c>
      <c r="N13" s="360"/>
      <c r="O13" s="411">
        <f>(O11*O12)</f>
        <v>1.0499999999999998</v>
      </c>
      <c r="P13" s="218"/>
      <c r="Q13" s="218"/>
      <c r="R13" s="412"/>
    </row>
    <row r="14" spans="1:18" s="408" customFormat="1" ht="12.75">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1390</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c r="A17" s="218"/>
      <c r="B17" s="401"/>
      <c r="C17" s="218" t="s">
        <v>797</v>
      </c>
      <c r="D17" s="218"/>
      <c r="E17" s="218"/>
      <c r="F17" s="218" t="s">
        <v>444</v>
      </c>
      <c r="G17" s="402"/>
      <c r="H17" s="403">
        <f>SUM('Acct Summary 7-8'!C17+'Acct Summary 7-8'!D17+'Acct Summary 7-8'!F17)</f>
        <v>26110783</v>
      </c>
      <c r="I17" s="404"/>
      <c r="J17" s="416"/>
      <c r="K17" s="405">
        <f>TRUNC((H17/H18*100000),5)/100000</f>
        <v>1.0083724456000001</v>
      </c>
      <c r="L17" s="406"/>
      <c r="M17" s="417" t="s">
        <v>1171</v>
      </c>
      <c r="O17" s="418" t="str">
        <f>IF(AND(O16="2", J20 &gt; 2),"1",IF(AND(O16 = "1", J20 &gt; 2),"2",IF(AND(O16="1", J20 &gt;1),"1","0")))</f>
        <v>0</v>
      </c>
      <c r="P17" s="218"/>
    </row>
    <row r="18" spans="1:18" s="408" customFormat="1" ht="11.25">
      <c r="A18" s="218"/>
      <c r="B18" s="401"/>
      <c r="C18" s="2109" t="s">
        <v>1296</v>
      </c>
      <c r="D18" s="2110"/>
      <c r="E18" s="218"/>
      <c r="F18" s="419" t="s">
        <v>794</v>
      </c>
      <c r="G18" s="402"/>
      <c r="H18" s="403">
        <f>SUM('Acct Summary 7-8'!C8+'Acct Summary 7-8'!D8+'Acct Summary 7-8'!F8+'Acct Summary 7-8'!I8)+H19</f>
        <v>25893987</v>
      </c>
      <c r="I18" s="404"/>
      <c r="J18" s="404"/>
      <c r="K18" s="410"/>
      <c r="L18" s="218"/>
      <c r="M18" s="360" t="s">
        <v>1144</v>
      </c>
      <c r="N18" s="360"/>
      <c r="O18" s="410">
        <v>0.35</v>
      </c>
      <c r="P18" s="218"/>
    </row>
    <row r="19" spans="1:18" s="408" customFormat="1" ht="11.25">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1390</v>
      </c>
      <c r="D20" s="218"/>
      <c r="E20" s="218"/>
      <c r="F20" s="218"/>
      <c r="G20" s="402"/>
      <c r="H20" s="420"/>
      <c r="I20" s="404"/>
      <c r="J20" s="421">
        <f>IF(K17&lt;=1,"0",TRUNC(((K12-0.1)/(K17-1)*100),5)/100)</f>
        <v>5.0068142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c r="A24" s="218"/>
      <c r="B24" s="401"/>
      <c r="C24" s="2106" t="s">
        <v>1391</v>
      </c>
      <c r="D24" s="2106"/>
      <c r="E24" s="218"/>
      <c r="F24" s="218" t="s">
        <v>445</v>
      </c>
      <c r="G24" s="402"/>
      <c r="H24" s="403">
        <f>SUM('Assets-Liab 5-6'!C4+'Assets-Liab 5-6'!D4+'Assets-Liab 5-6'!F4+'Assets-Liab 5-6'!I4+'Assets-Liab 5-6'!C5+'Assets-Liab 5-6'!D5+'Assets-Liab 5-6'!F5+'Assets-Liab 5-6'!I5)</f>
        <v>5994130</v>
      </c>
      <c r="I24" s="422"/>
      <c r="J24" s="422"/>
      <c r="K24" s="423">
        <f>TRUNC(((H24/H25*100000)/100000),2)</f>
        <v>82.64</v>
      </c>
      <c r="L24" s="424"/>
      <c r="M24" s="360" t="s">
        <v>1144</v>
      </c>
      <c r="N24" s="360"/>
      <c r="O24" s="411">
        <v>0.1</v>
      </c>
      <c r="P24" s="218"/>
    </row>
    <row r="25" spans="1:18" s="408" customFormat="1" ht="12.75">
      <c r="A25" s="218"/>
      <c r="B25" s="401"/>
      <c r="C25" s="218" t="s">
        <v>798</v>
      </c>
      <c r="D25" s="218"/>
      <c r="E25" s="218"/>
      <c r="F25" s="218" t="s">
        <v>446</v>
      </c>
      <c r="G25" s="402"/>
      <c r="H25" s="423">
        <f>ROUND((H17/360),5)</f>
        <v>72529.952780000007</v>
      </c>
      <c r="I25" s="425"/>
      <c r="J25" s="425"/>
      <c r="K25" s="410"/>
      <c r="L25" s="218"/>
      <c r="M25" s="360" t="s">
        <v>1145</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11441324.822830001</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c r="A32" s="218"/>
      <c r="B32" s="401"/>
      <c r="C32" s="218" t="s">
        <v>847</v>
      </c>
      <c r="D32" s="218"/>
      <c r="E32" s="218"/>
      <c r="F32" s="218"/>
      <c r="G32" s="402"/>
      <c r="H32" s="403">
        <f>'FP Info 3'!H37</f>
        <v>42810000</v>
      </c>
      <c r="I32" s="420"/>
      <c r="J32" s="420"/>
      <c r="K32" s="423">
        <f>TRUNC(100-((((H32/H33*100))*100)/100),2)</f>
        <v>15.87</v>
      </c>
      <c r="L32" s="406"/>
      <c r="M32" s="360" t="s">
        <v>1144</v>
      </c>
      <c r="N32" s="360"/>
      <c r="O32" s="434">
        <v>0.1</v>
      </c>
    </row>
    <row r="33" spans="1:17" s="408" customFormat="1" ht="11.25">
      <c r="A33" s="218"/>
      <c r="B33" s="401"/>
      <c r="C33" s="218" t="s">
        <v>799</v>
      </c>
      <c r="D33" s="218"/>
      <c r="E33" s="218"/>
      <c r="F33" s="218"/>
      <c r="G33" s="402"/>
      <c r="H33" s="403">
        <f>IF('FP Info 3'!H31="Enter X in a or b"," ",'FP Info 3'!H31)</f>
        <v>50891307.834000006</v>
      </c>
      <c r="I33" s="420"/>
      <c r="J33" s="420"/>
      <c r="K33" s="403"/>
      <c r="L33" s="218"/>
      <c r="M33" s="435" t="s">
        <v>1145</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2.8</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1946</v>
      </c>
      <c r="N37" s="414"/>
      <c r="O37" s="442" t="str">
        <f>IF(O35&gt;3.53,"RECOGNITION",IF(O35&gt;3.07,"REVIEW ",IF(O35&gt;2.61,"WARNING","WATCH")))</f>
        <v>WARNING</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1485</v>
      </c>
      <c r="I40" s="408"/>
      <c r="J40" s="408"/>
      <c r="K40" s="410"/>
      <c r="L40" s="408"/>
      <c r="M40" s="408"/>
      <c r="N40" s="408"/>
      <c r="O40" s="218"/>
      <c r="P40" s="216"/>
      <c r="Q40" s="216"/>
    </row>
    <row r="41" spans="1:17">
      <c r="G41" s="448"/>
      <c r="H41" s="218" t="s">
        <v>1486</v>
      </c>
      <c r="M41" s="216"/>
      <c r="O41" s="216"/>
      <c r="P41" s="216"/>
      <c r="Q41" s="216"/>
    </row>
    <row r="42" spans="1:17">
      <c r="A42" s="385" t="s">
        <v>1487</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Normal="100" workbookViewId="0">
      <pane ySplit="2" topLeftCell="A18" activePane="bottomLeft" state="frozen"/>
      <selection activeCell="T15" sqref="T15:AA15"/>
      <selection pane="bottomLeft" activeCell="T15" sqref="T15:AA15"/>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14"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16" t="s">
        <v>973</v>
      </c>
      <c r="B3" s="2117"/>
      <c r="C3" s="1492"/>
      <c r="D3" s="1493"/>
      <c r="E3" s="1493"/>
      <c r="F3" s="1493"/>
      <c r="G3" s="1493"/>
      <c r="H3" s="1493"/>
      <c r="I3" s="1493"/>
      <c r="J3" s="1493"/>
      <c r="K3" s="1493"/>
      <c r="L3" s="1493"/>
      <c r="M3" s="1494"/>
      <c r="N3" s="1495"/>
    </row>
    <row r="4" spans="1:14" ht="13.5" customHeight="1">
      <c r="A4" s="463" t="s">
        <v>1624</v>
      </c>
      <c r="B4" s="464"/>
      <c r="C4" s="465">
        <f>3153626-C5</f>
        <v>274063</v>
      </c>
      <c r="D4" s="466"/>
      <c r="E4" s="466">
        <f>1425428-E5</f>
        <v>446708</v>
      </c>
      <c r="F4" s="466">
        <v>218996</v>
      </c>
      <c r="G4" s="466">
        <f>608955-G5</f>
        <v>59106</v>
      </c>
      <c r="H4" s="466">
        <f>6857518-H5</f>
        <v>1139690</v>
      </c>
      <c r="I4" s="466">
        <f>2621508-I5</f>
        <v>130959</v>
      </c>
      <c r="J4" s="467">
        <v>371200</v>
      </c>
      <c r="K4" s="466">
        <f>4743354-K5</f>
        <v>335593</v>
      </c>
      <c r="L4" s="466">
        <v>380015</v>
      </c>
      <c r="M4" s="468"/>
      <c r="N4" s="469"/>
    </row>
    <row r="5" spans="1:14">
      <c r="A5" s="463" t="s">
        <v>992</v>
      </c>
      <c r="B5" s="470">
        <v>120</v>
      </c>
      <c r="C5" s="465">
        <v>2879563</v>
      </c>
      <c r="D5" s="466"/>
      <c r="E5" s="466">
        <v>978720</v>
      </c>
      <c r="F5" s="466"/>
      <c r="G5" s="466">
        <v>549849</v>
      </c>
      <c r="H5" s="466">
        <v>5717828</v>
      </c>
      <c r="I5" s="466">
        <v>2490549</v>
      </c>
      <c r="J5" s="467"/>
      <c r="K5" s="471">
        <v>4407761</v>
      </c>
      <c r="L5" s="472"/>
      <c r="M5" s="468"/>
      <c r="N5" s="469"/>
    </row>
    <row r="6" spans="1:14" ht="13.5" customHeight="1">
      <c r="A6" s="473" t="s">
        <v>417</v>
      </c>
      <c r="B6" s="470">
        <v>130</v>
      </c>
      <c r="C6" s="465">
        <v>10671713</v>
      </c>
      <c r="D6" s="466">
        <v>1753826</v>
      </c>
      <c r="E6" s="466">
        <v>1907123</v>
      </c>
      <c r="F6" s="466">
        <v>701530</v>
      </c>
      <c r="G6" s="471">
        <v>587187</v>
      </c>
      <c r="H6" s="471"/>
      <c r="I6" s="466">
        <v>175383</v>
      </c>
      <c r="J6" s="474">
        <v>1173680</v>
      </c>
      <c r="K6" s="471">
        <v>175383</v>
      </c>
      <c r="L6" s="475"/>
      <c r="M6" s="468"/>
      <c r="N6" s="469"/>
    </row>
    <row r="7" spans="1:14" ht="13.5" customHeight="1">
      <c r="A7" s="473" t="s">
        <v>418</v>
      </c>
      <c r="B7" s="470">
        <v>140</v>
      </c>
      <c r="C7" s="476"/>
      <c r="D7" s="467"/>
      <c r="E7" s="467"/>
      <c r="F7" s="467"/>
      <c r="G7" s="467"/>
      <c r="H7" s="467"/>
      <c r="I7" s="467">
        <v>669614</v>
      </c>
      <c r="J7" s="467"/>
      <c r="K7" s="467"/>
      <c r="L7" s="477"/>
      <c r="M7" s="468"/>
      <c r="N7" s="469"/>
    </row>
    <row r="8" spans="1:14" ht="13.5" customHeight="1">
      <c r="A8" s="473" t="s">
        <v>269</v>
      </c>
      <c r="B8" s="470">
        <v>150</v>
      </c>
      <c r="C8" s="476">
        <v>428436</v>
      </c>
      <c r="D8" s="467"/>
      <c r="E8" s="467"/>
      <c r="F8" s="467">
        <v>363658</v>
      </c>
      <c r="G8" s="478"/>
      <c r="H8" s="467"/>
      <c r="I8" s="474"/>
      <c r="J8" s="474"/>
      <c r="K8" s="479"/>
      <c r="L8" s="480"/>
      <c r="M8" s="468"/>
      <c r="N8" s="469"/>
    </row>
    <row r="9" spans="1:14" ht="13.5" customHeight="1">
      <c r="A9" s="473" t="s">
        <v>270</v>
      </c>
      <c r="B9" s="470">
        <v>160</v>
      </c>
      <c r="C9" s="476">
        <v>449643</v>
      </c>
      <c r="D9" s="467">
        <v>120000</v>
      </c>
      <c r="E9" s="467">
        <v>180709</v>
      </c>
      <c r="F9" s="467"/>
      <c r="G9" s="467">
        <v>400</v>
      </c>
      <c r="H9" s="478">
        <v>271471</v>
      </c>
      <c r="I9" s="467">
        <v>1805</v>
      </c>
      <c r="J9" s="467">
        <v>190</v>
      </c>
      <c r="K9" s="467">
        <v>3195</v>
      </c>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8" t="s">
        <v>644</v>
      </c>
      <c r="B13" s="1641"/>
      <c r="C13" s="1669">
        <f>SUM(C4:C12)</f>
        <v>14703418</v>
      </c>
      <c r="D13" s="1669">
        <f t="shared" ref="D13:L13" si="0">SUM(D4:D12)</f>
        <v>1873826</v>
      </c>
      <c r="E13" s="1669">
        <f t="shared" si="0"/>
        <v>3513260</v>
      </c>
      <c r="F13" s="1669">
        <f t="shared" si="0"/>
        <v>1284184</v>
      </c>
      <c r="G13" s="1669">
        <f t="shared" si="0"/>
        <v>1196542</v>
      </c>
      <c r="H13" s="1669">
        <f t="shared" si="0"/>
        <v>7128989</v>
      </c>
      <c r="I13" s="1669">
        <f t="shared" si="0"/>
        <v>3468310</v>
      </c>
      <c r="J13" s="1669">
        <f t="shared" si="0"/>
        <v>1545070</v>
      </c>
      <c r="K13" s="1669">
        <f t="shared" si="0"/>
        <v>4921932</v>
      </c>
      <c r="L13" s="1669">
        <f t="shared" si="0"/>
        <v>380015</v>
      </c>
      <c r="M13" s="468"/>
      <c r="N13" s="469"/>
    </row>
    <row r="14" spans="1:14" ht="18" customHeight="1" thickTop="1">
      <c r="A14" s="2118" t="s">
        <v>147</v>
      </c>
      <c r="B14" s="2119"/>
      <c r="C14" s="1496"/>
      <c r="D14" s="1497"/>
      <c r="E14" s="1497"/>
      <c r="F14" s="1497"/>
      <c r="G14" s="1497"/>
      <c r="H14" s="1497"/>
      <c r="I14" s="1497"/>
      <c r="J14" s="1497"/>
      <c r="K14" s="1497"/>
      <c r="L14" s="1497"/>
      <c r="M14" s="1498"/>
      <c r="N14" s="1499"/>
    </row>
    <row r="15" spans="1:14" s="485" customFormat="1" ht="13.15" customHeight="1">
      <c r="A15" s="482" t="s">
        <v>1380</v>
      </c>
      <c r="B15" s="483">
        <v>210</v>
      </c>
      <c r="C15" s="477"/>
      <c r="D15" s="477"/>
      <c r="E15" s="477"/>
      <c r="F15" s="477"/>
      <c r="G15" s="477"/>
      <c r="H15" s="477"/>
      <c r="I15" s="477"/>
      <c r="J15" s="477"/>
      <c r="K15" s="477"/>
      <c r="L15" s="477"/>
      <c r="M15" s="478"/>
      <c r="N15" s="484"/>
    </row>
    <row r="16" spans="1:14" s="485" customFormat="1" ht="13.15" customHeight="1">
      <c r="A16" s="482" t="s">
        <v>1381</v>
      </c>
      <c r="B16" s="483">
        <v>220</v>
      </c>
      <c r="C16" s="477"/>
      <c r="D16" s="477"/>
      <c r="E16" s="477"/>
      <c r="F16" s="477"/>
      <c r="G16" s="477"/>
      <c r="H16" s="477"/>
      <c r="I16" s="477"/>
      <c r="J16" s="477"/>
      <c r="K16" s="477"/>
      <c r="L16" s="477"/>
      <c r="M16" s="467">
        <v>1191208</v>
      </c>
      <c r="N16" s="484"/>
    </row>
    <row r="17" spans="1:14" s="485" customFormat="1" ht="13.15" customHeight="1">
      <c r="A17" s="482" t="s">
        <v>1382</v>
      </c>
      <c r="B17" s="483">
        <v>230</v>
      </c>
      <c r="C17" s="477"/>
      <c r="D17" s="477"/>
      <c r="E17" s="477"/>
      <c r="F17" s="477"/>
      <c r="G17" s="477"/>
      <c r="H17" s="477"/>
      <c r="I17" s="477"/>
      <c r="J17" s="477"/>
      <c r="K17" s="477"/>
      <c r="L17" s="477"/>
      <c r="M17" s="467">
        <v>14004985</v>
      </c>
      <c r="N17" s="484"/>
    </row>
    <row r="18" spans="1:14" s="485" customFormat="1" ht="13.15" customHeight="1">
      <c r="A18" s="482" t="s">
        <v>1383</v>
      </c>
      <c r="B18" s="483">
        <v>240</v>
      </c>
      <c r="C18" s="477"/>
      <c r="D18" s="477"/>
      <c r="E18" s="477"/>
      <c r="F18" s="477"/>
      <c r="G18" s="477"/>
      <c r="H18" s="477"/>
      <c r="I18" s="477"/>
      <c r="J18" s="477"/>
      <c r="K18" s="477"/>
      <c r="L18" s="477"/>
      <c r="M18" s="467">
        <v>5071226</v>
      </c>
      <c r="N18" s="484"/>
    </row>
    <row r="19" spans="1:14" s="485" customFormat="1" ht="13.15" customHeight="1">
      <c r="A19" s="482" t="s">
        <v>1384</v>
      </c>
      <c r="B19" s="483">
        <v>250</v>
      </c>
      <c r="C19" s="477"/>
      <c r="D19" s="477"/>
      <c r="E19" s="477"/>
      <c r="F19" s="477"/>
      <c r="G19" s="477"/>
      <c r="H19" s="477"/>
      <c r="I19" s="477"/>
      <c r="J19" s="477"/>
      <c r="K19" s="477"/>
      <c r="L19" s="477"/>
      <c r="M19" s="467">
        <v>481526</v>
      </c>
      <c r="N19" s="484"/>
    </row>
    <row r="20" spans="1:14" s="485" customFormat="1" ht="13.15" customHeight="1">
      <c r="A20" s="482" t="s">
        <v>1385</v>
      </c>
      <c r="B20" s="483">
        <v>260</v>
      </c>
      <c r="C20" s="477"/>
      <c r="D20" s="477"/>
      <c r="E20" s="477"/>
      <c r="F20" s="477"/>
      <c r="G20" s="477"/>
      <c r="H20" s="477"/>
      <c r="I20" s="477"/>
      <c r="J20" s="477"/>
      <c r="K20" s="477"/>
      <c r="L20" s="477"/>
      <c r="M20" s="467">
        <v>23170278</v>
      </c>
      <c r="N20" s="484"/>
    </row>
    <row r="21" spans="1:14" s="485" customFormat="1" ht="13.15" customHeight="1">
      <c r="A21" s="482" t="s">
        <v>1386</v>
      </c>
      <c r="B21" s="483">
        <v>340</v>
      </c>
      <c r="C21" s="477"/>
      <c r="D21" s="477"/>
      <c r="E21" s="477"/>
      <c r="F21" s="477"/>
      <c r="G21" s="477"/>
      <c r="H21" s="477"/>
      <c r="I21" s="477"/>
      <c r="J21" s="477"/>
      <c r="K21" s="477"/>
      <c r="L21" s="477"/>
      <c r="M21" s="486"/>
      <c r="N21" s="467">
        <v>724460</v>
      </c>
    </row>
    <row r="22" spans="1:14" s="485" customFormat="1" ht="13.15" customHeight="1">
      <c r="A22" s="482" t="s">
        <v>1387</v>
      </c>
      <c r="B22" s="483">
        <v>350</v>
      </c>
      <c r="C22" s="477"/>
      <c r="D22" s="477"/>
      <c r="E22" s="477"/>
      <c r="F22" s="477"/>
      <c r="G22" s="477"/>
      <c r="H22" s="477"/>
      <c r="I22" s="477"/>
      <c r="J22" s="477"/>
      <c r="K22" s="477"/>
      <c r="L22" s="477"/>
      <c r="M22" s="486"/>
      <c r="N22" s="487">
        <f>'Short-Term Long-Term Debt 24'!J49</f>
        <v>42085540</v>
      </c>
    </row>
    <row r="23" spans="1:14" ht="13.5" customHeight="1" thickBot="1">
      <c r="A23" s="1668" t="s">
        <v>643</v>
      </c>
      <c r="B23" s="1673"/>
      <c r="C23" s="468"/>
      <c r="D23" s="468"/>
      <c r="E23" s="468"/>
      <c r="F23" s="468"/>
      <c r="G23" s="468"/>
      <c r="H23" s="468"/>
      <c r="I23" s="468"/>
      <c r="J23" s="468"/>
      <c r="K23" s="468"/>
      <c r="L23" s="468"/>
      <c r="M23" s="1620">
        <f>SUM(M15:M22)</f>
        <v>43919223</v>
      </c>
      <c r="N23" s="1620">
        <f>SUM(N21:N22)</f>
        <v>42810000</v>
      </c>
    </row>
    <row r="24" spans="1:14" ht="18" customHeight="1" thickTop="1">
      <c r="A24" s="2120" t="s">
        <v>598</v>
      </c>
      <c r="B24" s="2121"/>
      <c r="C24" s="1501"/>
      <c r="D24" s="1498"/>
      <c r="E24" s="1498"/>
      <c r="F24" s="1498"/>
      <c r="G24" s="1498"/>
      <c r="H24" s="1498"/>
      <c r="I24" s="1498"/>
      <c r="J24" s="1498"/>
      <c r="K24" s="1498"/>
      <c r="L24" s="1498"/>
      <c r="M24" s="1497"/>
      <c r="N24" s="1502"/>
    </row>
    <row r="25" spans="1:14">
      <c r="A25" s="473" t="s">
        <v>645</v>
      </c>
      <c r="B25" s="470">
        <v>410</v>
      </c>
      <c r="C25" s="478"/>
      <c r="D25" s="478"/>
      <c r="E25" s="478"/>
      <c r="F25" s="478">
        <v>669614</v>
      </c>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v>228326</v>
      </c>
      <c r="D27" s="467">
        <f>12192+19297</f>
        <v>31489</v>
      </c>
      <c r="E27" s="467"/>
      <c r="F27" s="467">
        <v>56092</v>
      </c>
      <c r="G27" s="467"/>
      <c r="H27" s="467">
        <v>1689273</v>
      </c>
      <c r="I27" s="467"/>
      <c r="J27" s="467">
        <v>43500</v>
      </c>
      <c r="K27" s="467">
        <v>2409667</v>
      </c>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v>2692690</v>
      </c>
      <c r="D30" s="474"/>
      <c r="E30" s="467"/>
      <c r="F30" s="467"/>
      <c r="G30" s="467">
        <v>61140</v>
      </c>
      <c r="H30" s="467"/>
      <c r="I30" s="467"/>
      <c r="J30" s="467">
        <v>43023</v>
      </c>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v>11210839</v>
      </c>
      <c r="D32" s="492">
        <v>1843888</v>
      </c>
      <c r="E32" s="474">
        <v>2006888</v>
      </c>
      <c r="F32" s="474">
        <v>737555</v>
      </c>
      <c r="G32" s="474">
        <v>618071</v>
      </c>
      <c r="H32" s="474"/>
      <c r="I32" s="474">
        <v>184389</v>
      </c>
      <c r="J32" s="474">
        <v>1235405</v>
      </c>
      <c r="K32" s="479">
        <v>184389</v>
      </c>
      <c r="L32" s="468"/>
      <c r="M32" s="468"/>
      <c r="N32" s="468"/>
    </row>
    <row r="33" spans="1:14" ht="13.5" customHeight="1">
      <c r="A33" s="493" t="s">
        <v>303</v>
      </c>
      <c r="B33" s="491">
        <v>493</v>
      </c>
      <c r="C33" s="467"/>
      <c r="D33" s="467"/>
      <c r="E33" s="467"/>
      <c r="F33" s="467"/>
      <c r="G33" s="467"/>
      <c r="H33" s="467"/>
      <c r="I33" s="467"/>
      <c r="J33" s="467"/>
      <c r="K33" s="467"/>
      <c r="L33" s="467">
        <v>380015</v>
      </c>
      <c r="M33" s="468"/>
      <c r="N33" s="469"/>
    </row>
    <row r="34" spans="1:14" ht="13.5" customHeight="1" thickBot="1">
      <c r="A34" s="1670" t="s">
        <v>654</v>
      </c>
      <c r="B34" s="1671"/>
      <c r="C34" s="1672">
        <f>SUM(C25:C33)</f>
        <v>14131855</v>
      </c>
      <c r="D34" s="1672">
        <f t="shared" ref="D34:K34" si="1">SUM(D25:D33)</f>
        <v>1875377</v>
      </c>
      <c r="E34" s="1672">
        <f t="shared" si="1"/>
        <v>2006888</v>
      </c>
      <c r="F34" s="1672">
        <f t="shared" si="1"/>
        <v>1463261</v>
      </c>
      <c r="G34" s="1672">
        <f t="shared" si="1"/>
        <v>679211</v>
      </c>
      <c r="H34" s="1672">
        <f t="shared" si="1"/>
        <v>1689273</v>
      </c>
      <c r="I34" s="1672">
        <f t="shared" si="1"/>
        <v>184389</v>
      </c>
      <c r="J34" s="1672">
        <f t="shared" si="1"/>
        <v>1321928</v>
      </c>
      <c r="K34" s="1672">
        <f t="shared" si="1"/>
        <v>2594056</v>
      </c>
      <c r="L34" s="1653">
        <f>SUM(L33)</f>
        <v>380015</v>
      </c>
      <c r="M34" s="468"/>
      <c r="N34" s="480"/>
    </row>
    <row r="35" spans="1:14" ht="18" customHeight="1" thickTop="1">
      <c r="A35" s="2122" t="s">
        <v>529</v>
      </c>
      <c r="B35" s="2123"/>
      <c r="C35" s="1503"/>
      <c r="D35" s="1504"/>
      <c r="E35" s="1504"/>
      <c r="F35" s="1504"/>
      <c r="G35" s="1504"/>
      <c r="H35" s="1504"/>
      <c r="I35" s="1504"/>
      <c r="J35" s="1504"/>
      <c r="K35" s="1504"/>
      <c r="L35" s="1504"/>
      <c r="M35" s="1498"/>
      <c r="N35" s="1502"/>
    </row>
    <row r="36" spans="1:14">
      <c r="A36" s="494" t="s">
        <v>1</v>
      </c>
      <c r="B36" s="470">
        <v>511</v>
      </c>
      <c r="C36" s="477"/>
      <c r="D36" s="477"/>
      <c r="E36" s="477"/>
      <c r="F36" s="477"/>
      <c r="G36" s="477"/>
      <c r="H36" s="477"/>
      <c r="I36" s="477"/>
      <c r="J36" s="477"/>
      <c r="K36" s="477"/>
      <c r="L36" s="468"/>
      <c r="M36" s="468"/>
      <c r="N36" s="495">
        <f>'Short-Term Long-Term Debt 24'!I49</f>
        <v>42810000</v>
      </c>
    </row>
    <row r="37" spans="1:14" ht="13.5" thickBot="1">
      <c r="A37" s="1668" t="s">
        <v>653</v>
      </c>
      <c r="B37" s="1673"/>
      <c r="C37" s="477"/>
      <c r="D37" s="477"/>
      <c r="E37" s="477"/>
      <c r="F37" s="477"/>
      <c r="G37" s="477"/>
      <c r="H37" s="477"/>
      <c r="I37" s="477"/>
      <c r="J37" s="477"/>
      <c r="K37" s="477"/>
      <c r="L37" s="480"/>
      <c r="M37" s="468"/>
      <c r="N37" s="1620">
        <f>SUM(N36:N36)</f>
        <v>42810000</v>
      </c>
    </row>
    <row r="38" spans="1:14" s="329" customFormat="1" ht="13.5" customHeight="1" thickTop="1">
      <c r="A38" s="496" t="s">
        <v>420</v>
      </c>
      <c r="B38" s="483">
        <v>714</v>
      </c>
      <c r="C38" s="466"/>
      <c r="D38" s="466"/>
      <c r="E38" s="466">
        <v>781912</v>
      </c>
      <c r="F38" s="466"/>
      <c r="G38" s="466"/>
      <c r="H38" s="466">
        <f>1918960+2944756</f>
        <v>4863716</v>
      </c>
      <c r="I38" s="466"/>
      <c r="J38" s="467"/>
      <c r="K38" s="466">
        <v>1108941</v>
      </c>
      <c r="L38" s="481"/>
      <c r="M38" s="497"/>
      <c r="N38" s="497"/>
    </row>
    <row r="39" spans="1:14" s="329" customFormat="1" ht="13.5" customHeight="1">
      <c r="A39" s="496" t="s">
        <v>342</v>
      </c>
      <c r="B39" s="483">
        <v>730</v>
      </c>
      <c r="C39" s="466">
        <v>571563</v>
      </c>
      <c r="D39" s="466">
        <v>-1551</v>
      </c>
      <c r="E39" s="466">
        <f>1506372-E38</f>
        <v>724460</v>
      </c>
      <c r="F39" s="466">
        <v>-179077</v>
      </c>
      <c r="G39" s="466">
        <v>517331</v>
      </c>
      <c r="H39" s="466">
        <f>5439716-H38</f>
        <v>576000</v>
      </c>
      <c r="I39" s="466">
        <v>3283921</v>
      </c>
      <c r="J39" s="467">
        <v>223142</v>
      </c>
      <c r="K39" s="466">
        <f>2327876-K38</f>
        <v>1218935</v>
      </c>
      <c r="L39" s="466"/>
      <c r="M39" s="497"/>
      <c r="N39" s="497"/>
    </row>
    <row r="40" spans="1:14" s="329" customFormat="1" ht="13.5" customHeight="1">
      <c r="A40" s="498" t="s">
        <v>148</v>
      </c>
      <c r="B40" s="499"/>
      <c r="C40" s="500"/>
      <c r="D40" s="500"/>
      <c r="E40" s="500"/>
      <c r="F40" s="500"/>
      <c r="G40" s="500"/>
      <c r="H40" s="500"/>
      <c r="I40" s="500"/>
      <c r="J40" s="500"/>
      <c r="K40" s="500"/>
      <c r="L40" s="500"/>
      <c r="M40" s="467">
        <v>43919223</v>
      </c>
      <c r="N40" s="497"/>
    </row>
    <row r="41" spans="1:14" ht="13.5" customHeight="1" thickBot="1">
      <c r="A41" s="1668" t="s">
        <v>655</v>
      </c>
      <c r="B41" s="1638"/>
      <c r="C41" s="1620">
        <f>(SUM(C34,C37,C38,C39))</f>
        <v>14703418</v>
      </c>
      <c r="D41" s="1620">
        <f t="shared" ref="D41:L41" si="2">SUM(D34,D37,D38:D39)</f>
        <v>1873826</v>
      </c>
      <c r="E41" s="1620">
        <f t="shared" si="2"/>
        <v>3513260</v>
      </c>
      <c r="F41" s="1620">
        <f t="shared" si="2"/>
        <v>1284184</v>
      </c>
      <c r="G41" s="1620">
        <f t="shared" si="2"/>
        <v>1196542</v>
      </c>
      <c r="H41" s="1620">
        <f t="shared" si="2"/>
        <v>7128989</v>
      </c>
      <c r="I41" s="1620">
        <f t="shared" si="2"/>
        <v>3468310</v>
      </c>
      <c r="J41" s="1620">
        <f t="shared" si="2"/>
        <v>1545070</v>
      </c>
      <c r="K41" s="1620">
        <f t="shared" si="2"/>
        <v>4921932</v>
      </c>
      <c r="L41" s="1620">
        <f t="shared" si="2"/>
        <v>380015</v>
      </c>
      <c r="M41" s="1620">
        <f>SUM(M40)</f>
        <v>43919223</v>
      </c>
      <c r="N41" s="1620">
        <f>SUM(N37)</f>
        <v>42810000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activeCell="T15" sqref="T15:AA15"/>
      <selection pane="bottomLeft" activeCell="T15" sqref="T15:AA15"/>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3.15" customHeight="1">
      <c r="A1" s="2132"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44" t="s">
        <v>1175</v>
      </c>
      <c r="B3" s="2145"/>
      <c r="C3" s="1506"/>
      <c r="D3" s="1507"/>
      <c r="E3" s="1507"/>
      <c r="F3" s="1507"/>
      <c r="G3" s="1507"/>
      <c r="H3" s="1507"/>
      <c r="I3" s="1507"/>
      <c r="J3" s="1507"/>
      <c r="K3" s="1508"/>
      <c r="L3" s="506"/>
    </row>
    <row r="4" spans="1:13" ht="15.75" customHeight="1">
      <c r="A4" s="1860" t="s">
        <v>1478</v>
      </c>
      <c r="B4" s="1861">
        <v>1000</v>
      </c>
      <c r="C4" s="1674">
        <f>'Revenues 9-14'!C109</f>
        <v>13439250</v>
      </c>
      <c r="D4" s="1674">
        <f>'Revenues 9-14'!D109</f>
        <v>2132779</v>
      </c>
      <c r="E4" s="1674">
        <f>'Revenues 9-14'!E109</f>
        <v>2653345</v>
      </c>
      <c r="F4" s="1674">
        <f>'Revenues 9-14'!F109</f>
        <v>725959</v>
      </c>
      <c r="G4" s="1674">
        <f>'Revenues 9-14'!G109</f>
        <v>735072</v>
      </c>
      <c r="H4" s="1674">
        <f>'Revenues 9-14'!H109</f>
        <v>954735</v>
      </c>
      <c r="I4" s="1674">
        <f>'Revenues 9-14'!I109</f>
        <v>225684</v>
      </c>
      <c r="J4" s="1674">
        <f>'Revenues 9-14'!J109</f>
        <v>1194587</v>
      </c>
      <c r="K4" s="1674">
        <f>'Revenues 9-14'!K109</f>
        <v>342762</v>
      </c>
      <c r="L4" s="347"/>
    </row>
    <row r="5" spans="1:13" ht="15.75" customHeight="1">
      <c r="A5" s="1509" t="s">
        <v>1479</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c r="A6" s="1509" t="s">
        <v>1480</v>
      </c>
      <c r="B6" s="1511">
        <v>3000</v>
      </c>
      <c r="C6" s="1675">
        <f>'Revenues 9-14'!C170</f>
        <v>6223426</v>
      </c>
      <c r="D6" s="1675">
        <f>'Revenues 9-14'!D170</f>
        <v>0</v>
      </c>
      <c r="E6" s="1675">
        <f>'Revenues 9-14'!E170</f>
        <v>0</v>
      </c>
      <c r="F6" s="1675">
        <f>'Revenues 9-14'!F170</f>
        <v>1467270</v>
      </c>
      <c r="G6" s="1675">
        <f>'Revenues 9-14'!G170</f>
        <v>0</v>
      </c>
      <c r="H6" s="1675">
        <f>'Revenues 9-14'!H170</f>
        <v>0</v>
      </c>
      <c r="I6" s="1675">
        <f>'Revenues 9-14'!I170</f>
        <v>0</v>
      </c>
      <c r="J6" s="1675">
        <f>'Revenues 9-14'!J170</f>
        <v>0</v>
      </c>
      <c r="K6" s="1675">
        <f>'Revenues 9-14'!K170</f>
        <v>0</v>
      </c>
      <c r="L6" s="347"/>
      <c r="M6" s="513"/>
    </row>
    <row r="7" spans="1:13" ht="15.75" customHeight="1">
      <c r="A7" s="1509" t="s">
        <v>1481</v>
      </c>
      <c r="B7" s="1511">
        <v>4000</v>
      </c>
      <c r="C7" s="1675">
        <f>'Revenues 9-14'!C267</f>
        <v>1679619</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c r="A8" s="1668" t="s">
        <v>1172</v>
      </c>
      <c r="B8" s="1641"/>
      <c r="C8" s="1620">
        <f>SUM(C4:C7)</f>
        <v>21342295</v>
      </c>
      <c r="D8" s="1620">
        <f t="shared" ref="D8:K8" si="0">SUM(D4:D7)</f>
        <v>2132779</v>
      </c>
      <c r="E8" s="1620">
        <f t="shared" si="0"/>
        <v>2653345</v>
      </c>
      <c r="F8" s="1620">
        <f t="shared" si="0"/>
        <v>2193229</v>
      </c>
      <c r="G8" s="1620">
        <f t="shared" si="0"/>
        <v>735072</v>
      </c>
      <c r="H8" s="1620">
        <f t="shared" si="0"/>
        <v>954735</v>
      </c>
      <c r="I8" s="1620">
        <f t="shared" si="0"/>
        <v>225684</v>
      </c>
      <c r="J8" s="1620">
        <f t="shared" si="0"/>
        <v>1194587</v>
      </c>
      <c r="K8" s="1620">
        <f t="shared" si="0"/>
        <v>342762</v>
      </c>
      <c r="L8" s="347"/>
    </row>
    <row r="9" spans="1:13" ht="15.75" thickTop="1">
      <c r="A9" s="514" t="s">
        <v>1626</v>
      </c>
      <c r="B9" s="515">
        <v>3998</v>
      </c>
      <c r="C9" s="481">
        <v>8868468</v>
      </c>
      <c r="D9" s="516"/>
      <c r="E9" s="481"/>
      <c r="F9" s="481"/>
      <c r="G9" s="517"/>
      <c r="H9" s="481"/>
      <c r="I9" s="509" t="s">
        <v>1169</v>
      </c>
      <c r="J9" s="478"/>
      <c r="K9" s="481"/>
      <c r="L9" s="347"/>
    </row>
    <row r="10" spans="1:13" s="519" customFormat="1" ht="13.5" thickBot="1">
      <c r="A10" s="1668" t="s">
        <v>1173</v>
      </c>
      <c r="B10" s="1641"/>
      <c r="C10" s="1620">
        <f>SUM(C8:C9)</f>
        <v>30210763</v>
      </c>
      <c r="D10" s="1620">
        <f t="shared" ref="D10:K10" si="1">SUM(D8:D9)</f>
        <v>2132779</v>
      </c>
      <c r="E10" s="1620">
        <f t="shared" si="1"/>
        <v>2653345</v>
      </c>
      <c r="F10" s="1620">
        <f t="shared" si="1"/>
        <v>2193229</v>
      </c>
      <c r="G10" s="1620">
        <f t="shared" si="1"/>
        <v>735072</v>
      </c>
      <c r="H10" s="1620">
        <f t="shared" si="1"/>
        <v>954735</v>
      </c>
      <c r="I10" s="1620">
        <f t="shared" si="1"/>
        <v>225684</v>
      </c>
      <c r="J10" s="1620">
        <f t="shared" si="1"/>
        <v>1194587</v>
      </c>
      <c r="K10" s="1620">
        <f t="shared" si="1"/>
        <v>342762</v>
      </c>
      <c r="L10" s="518"/>
    </row>
    <row r="11" spans="1:13" s="519" customFormat="1" ht="16.7" customHeight="1" thickTop="1">
      <c r="A11" s="2118" t="s">
        <v>1176</v>
      </c>
      <c r="B11" s="2119"/>
      <c r="C11" s="1503"/>
      <c r="D11" s="1504"/>
      <c r="E11" s="1504"/>
      <c r="F11" s="1504"/>
      <c r="G11" s="1504"/>
      <c r="H11" s="1504"/>
      <c r="I11" s="1504"/>
      <c r="J11" s="1504"/>
      <c r="K11" s="1505"/>
      <c r="L11" s="518"/>
    </row>
    <row r="12" spans="1:13" ht="15.75" customHeight="1">
      <c r="A12" s="1509" t="s">
        <v>456</v>
      </c>
      <c r="B12" s="1511">
        <v>1000</v>
      </c>
      <c r="C12" s="1674">
        <f>'Expenditures 15-22'!K33</f>
        <v>14895841</v>
      </c>
      <c r="D12" s="520" t="s">
        <v>1169</v>
      </c>
      <c r="E12" s="468" t="s">
        <v>1169</v>
      </c>
      <c r="F12" s="468" t="s">
        <v>1169</v>
      </c>
      <c r="G12" s="1674">
        <f>'Expenditures 15-22'!K229</f>
        <v>322425</v>
      </c>
      <c r="H12" s="521"/>
      <c r="I12" s="468" t="s">
        <v>1169</v>
      </c>
      <c r="J12" s="468" t="s">
        <v>1169</v>
      </c>
      <c r="K12" s="521" t="s">
        <v>1169</v>
      </c>
      <c r="L12" s="347"/>
    </row>
    <row r="13" spans="1:13" ht="15.75" customHeight="1">
      <c r="A13" s="1509" t="s">
        <v>457</v>
      </c>
      <c r="B13" s="1511">
        <v>2000</v>
      </c>
      <c r="C13" s="1675">
        <f>'Expenditures 15-22'!K74</f>
        <v>4687182</v>
      </c>
      <c r="D13" s="1675">
        <f>'Expenditures 15-22'!K129</f>
        <v>2114861</v>
      </c>
      <c r="E13" s="469" t="s">
        <v>1169</v>
      </c>
      <c r="F13" s="1675">
        <f>'Expenditures 15-22'!K184</f>
        <v>2263387</v>
      </c>
      <c r="G13" s="1675">
        <f>'Expenditures 15-22'!K279</f>
        <v>367597</v>
      </c>
      <c r="H13" s="1675">
        <f>'Expenditures 15-22'!K303</f>
        <v>8642776</v>
      </c>
      <c r="I13" s="468" t="s">
        <v>1169</v>
      </c>
      <c r="J13" s="1675">
        <f>'Expenditures 15-22'!K330</f>
        <v>1142858</v>
      </c>
      <c r="K13" s="1679">
        <f>'Expenditures 15-22'!K352</f>
        <v>12938571</v>
      </c>
      <c r="L13" s="347"/>
    </row>
    <row r="14" spans="1:13" ht="15.75" customHeight="1">
      <c r="A14" s="1509" t="s">
        <v>449</v>
      </c>
      <c r="B14" s="1511">
        <v>3000</v>
      </c>
      <c r="C14" s="1675">
        <f>'Expenditures 15-22'!K75</f>
        <v>51307</v>
      </c>
      <c r="D14" s="1675">
        <f>'Expenditures 15-22'!K130</f>
        <v>0</v>
      </c>
      <c r="E14" s="520" t="s">
        <v>1169</v>
      </c>
      <c r="F14" s="1675">
        <f>'Expenditures 15-22'!K185</f>
        <v>0</v>
      </c>
      <c r="G14" s="1675">
        <f>'Expenditures 15-22'!K280</f>
        <v>4440</v>
      </c>
      <c r="H14" s="512"/>
      <c r="I14" s="468" t="s">
        <v>1169</v>
      </c>
      <c r="J14" s="468" t="s">
        <v>1169</v>
      </c>
      <c r="K14" s="512" t="s">
        <v>1169</v>
      </c>
      <c r="L14" s="347"/>
    </row>
    <row r="15" spans="1:13" ht="15.75" customHeight="1">
      <c r="A15" s="1509" t="s">
        <v>107</v>
      </c>
      <c r="B15" s="1511">
        <v>4000</v>
      </c>
      <c r="C15" s="1675">
        <f>'Expenditures 15-22'!K102</f>
        <v>2074061</v>
      </c>
      <c r="D15" s="1675">
        <f>'Expenditures 15-22'!K139</f>
        <v>24144</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c r="A16" s="1509" t="s">
        <v>450</v>
      </c>
      <c r="B16" s="1511">
        <v>5000</v>
      </c>
      <c r="C16" s="1675">
        <f>'Expenditures 15-22'!K112</f>
        <v>0</v>
      </c>
      <c r="D16" s="1675">
        <f>'Expenditures 15-22'!K149</f>
        <v>0</v>
      </c>
      <c r="E16" s="1675">
        <f>'Expenditures 15-22'!K172</f>
        <v>2303657</v>
      </c>
      <c r="F16" s="1675">
        <f>'Expenditures 15-22'!K208</f>
        <v>0</v>
      </c>
      <c r="G16" s="1675">
        <f>'Expenditures 15-22'!K293</f>
        <v>0</v>
      </c>
      <c r="H16" s="523"/>
      <c r="I16" s="468" t="s">
        <v>1169</v>
      </c>
      <c r="J16" s="1680">
        <f>'Expenditures 15-22'!K340</f>
        <v>0</v>
      </c>
      <c r="K16" s="1675">
        <f>'Expenditures 15-22'!K365</f>
        <v>50919</v>
      </c>
      <c r="L16" s="347"/>
    </row>
    <row r="17" spans="1:12" ht="13.5" thickBot="1">
      <c r="A17" s="1640" t="s">
        <v>48</v>
      </c>
      <c r="B17" s="1641"/>
      <c r="C17" s="1620">
        <f t="shared" ref="C17:H17" si="2">SUM(C12:C16)</f>
        <v>21708391</v>
      </c>
      <c r="D17" s="1620">
        <f t="shared" si="2"/>
        <v>2139005</v>
      </c>
      <c r="E17" s="1620">
        <f t="shared" si="2"/>
        <v>2303657</v>
      </c>
      <c r="F17" s="1620">
        <f t="shared" si="2"/>
        <v>2263387</v>
      </c>
      <c r="G17" s="1620">
        <f t="shared" si="2"/>
        <v>694462</v>
      </c>
      <c r="H17" s="1620">
        <f t="shared" si="2"/>
        <v>8642776</v>
      </c>
      <c r="I17" s="468"/>
      <c r="J17" s="1620">
        <f>SUM(J12:J16)</f>
        <v>1142858</v>
      </c>
      <c r="K17" s="1620">
        <f>SUM(K12:K16)</f>
        <v>12989490</v>
      </c>
      <c r="L17" s="347"/>
    </row>
    <row r="18" spans="1:12" ht="15" customHeight="1" thickTop="1">
      <c r="A18" s="1676" t="s">
        <v>1627</v>
      </c>
      <c r="B18" s="1677">
        <v>4180</v>
      </c>
      <c r="C18" s="1674">
        <f t="shared" ref="C18:H18" si="3">C9</f>
        <v>8868468</v>
      </c>
      <c r="D18" s="1674">
        <f t="shared" si="3"/>
        <v>0</v>
      </c>
      <c r="E18" s="1674">
        <f t="shared" si="3"/>
        <v>0</v>
      </c>
      <c r="F18" s="1674">
        <f t="shared" si="3"/>
        <v>0</v>
      </c>
      <c r="G18" s="1674">
        <f t="shared" si="3"/>
        <v>0</v>
      </c>
      <c r="H18" s="1674">
        <f t="shared" si="3"/>
        <v>0</v>
      </c>
      <c r="I18" s="468"/>
      <c r="J18" s="1674">
        <f>J9</f>
        <v>0</v>
      </c>
      <c r="K18" s="1674">
        <f>K9</f>
        <v>0</v>
      </c>
      <c r="L18" s="347"/>
    </row>
    <row r="19" spans="1:12" ht="13.5" thickBot="1">
      <c r="A19" s="1640" t="s">
        <v>505</v>
      </c>
      <c r="B19" s="1641"/>
      <c r="C19" s="1620">
        <f t="shared" ref="C19:H19" si="4">SUM(C17:C18)</f>
        <v>30576859</v>
      </c>
      <c r="D19" s="1620">
        <f t="shared" si="4"/>
        <v>2139005</v>
      </c>
      <c r="E19" s="1620">
        <f t="shared" si="4"/>
        <v>2303657</v>
      </c>
      <c r="F19" s="1620">
        <f t="shared" si="4"/>
        <v>2263387</v>
      </c>
      <c r="G19" s="1620">
        <f t="shared" si="4"/>
        <v>694462</v>
      </c>
      <c r="H19" s="1620">
        <f t="shared" si="4"/>
        <v>8642776</v>
      </c>
      <c r="I19" s="468"/>
      <c r="J19" s="1620">
        <f>SUM(J17:J18)</f>
        <v>1142858</v>
      </c>
      <c r="K19" s="1620">
        <f>SUM(K17:K18)</f>
        <v>12989490</v>
      </c>
      <c r="L19" s="347"/>
    </row>
    <row r="20" spans="1:12" ht="16.5" thickTop="1" thickBot="1">
      <c r="A20" s="2134" t="s">
        <v>1628</v>
      </c>
      <c r="B20" s="2135"/>
      <c r="C20" s="1678">
        <f>C8-C17</f>
        <v>-366096</v>
      </c>
      <c r="D20" s="1678">
        <f t="shared" ref="D20:K20" si="5">D8-D17</f>
        <v>-6226</v>
      </c>
      <c r="E20" s="1678">
        <f t="shared" si="5"/>
        <v>349688</v>
      </c>
      <c r="F20" s="1678">
        <f t="shared" si="5"/>
        <v>-70158</v>
      </c>
      <c r="G20" s="1678">
        <f t="shared" si="5"/>
        <v>40610</v>
      </c>
      <c r="H20" s="1678">
        <f t="shared" si="5"/>
        <v>-7688041</v>
      </c>
      <c r="I20" s="1678">
        <f t="shared" si="5"/>
        <v>225684</v>
      </c>
      <c r="J20" s="1678">
        <f t="shared" si="5"/>
        <v>51729</v>
      </c>
      <c r="K20" s="1678">
        <f t="shared" si="5"/>
        <v>-12646728</v>
      </c>
      <c r="L20" s="347"/>
    </row>
    <row r="21" spans="1:12" ht="16.7" customHeight="1" thickTop="1">
      <c r="A21" s="2146" t="s">
        <v>595</v>
      </c>
      <c r="B21" s="2147"/>
      <c r="C21" s="1503"/>
      <c r="D21" s="1504"/>
      <c r="E21" s="1504"/>
      <c r="F21" s="1504"/>
      <c r="G21" s="1504"/>
      <c r="H21" s="1504"/>
      <c r="I21" s="1504"/>
      <c r="J21" s="1504"/>
      <c r="K21" s="1505"/>
      <c r="L21" s="524"/>
    </row>
    <row r="22" spans="1:12" ht="15.75" customHeight="1" collapsed="1">
      <c r="A22" s="2142" t="s">
        <v>596</v>
      </c>
      <c r="B22" s="2143"/>
      <c r="C22" s="477"/>
      <c r="D22" s="477"/>
      <c r="E22" s="477"/>
      <c r="F22" s="477"/>
      <c r="G22" s="477"/>
      <c r="H22" s="477"/>
      <c r="I22" s="477"/>
      <c r="J22" s="477"/>
      <c r="K22" s="477"/>
      <c r="L22" s="347"/>
    </row>
    <row r="23" spans="1:12" s="485" customFormat="1" ht="15.75" customHeight="1">
      <c r="A23" s="2138" t="s">
        <v>293</v>
      </c>
      <c r="B23" s="2139"/>
      <c r="C23" s="480"/>
      <c r="D23" s="477"/>
      <c r="E23" s="477"/>
      <c r="F23" s="477"/>
      <c r="G23" s="477"/>
      <c r="H23" s="477"/>
      <c r="I23" s="477"/>
      <c r="J23" s="477"/>
      <c r="K23" s="477"/>
      <c r="L23" s="524"/>
    </row>
    <row r="24" spans="1:12" s="485" customFormat="1" ht="13.5" customHeight="1">
      <c r="A24" s="1422" t="s">
        <v>1629</v>
      </c>
      <c r="B24" s="525">
        <v>7110</v>
      </c>
      <c r="C24" s="467"/>
      <c r="D24" s="477"/>
      <c r="E24" s="477"/>
      <c r="F24" s="477"/>
      <c r="G24" s="477"/>
      <c r="H24" s="477"/>
      <c r="I24" s="477"/>
      <c r="J24" s="477"/>
      <c r="K24" s="477"/>
      <c r="L24" s="524"/>
    </row>
    <row r="25" spans="1:12" s="485" customFormat="1" ht="13.5" customHeight="1">
      <c r="A25" s="1422" t="s">
        <v>1630</v>
      </c>
      <c r="B25" s="525">
        <v>7110</v>
      </c>
      <c r="C25" s="467"/>
      <c r="D25" s="467"/>
      <c r="E25" s="467"/>
      <c r="F25" s="467"/>
      <c r="G25" s="467"/>
      <c r="H25" s="467"/>
      <c r="I25" s="477"/>
      <c r="J25" s="467"/>
      <c r="K25" s="467"/>
      <c r="L25" s="524"/>
    </row>
    <row r="26" spans="1:12" s="485" customFormat="1" ht="13.5" customHeight="1">
      <c r="A26" s="1422" t="s">
        <v>184</v>
      </c>
      <c r="B26" s="483">
        <v>7120</v>
      </c>
      <c r="C26" s="467">
        <v>47531</v>
      </c>
      <c r="D26" s="467"/>
      <c r="E26" s="467"/>
      <c r="F26" s="467"/>
      <c r="G26" s="467"/>
      <c r="H26" s="467"/>
      <c r="I26" s="477"/>
      <c r="J26" s="467"/>
      <c r="K26" s="467"/>
      <c r="L26" s="524"/>
    </row>
    <row r="27" spans="1:12" s="485" customFormat="1" ht="13.5" customHeight="1">
      <c r="A27" s="1422" t="s">
        <v>185</v>
      </c>
      <c r="B27" s="483">
        <v>7130</v>
      </c>
      <c r="C27" s="467"/>
      <c r="D27" s="467"/>
      <c r="E27" s="526"/>
      <c r="F27" s="467"/>
      <c r="G27" s="480"/>
      <c r="H27" s="480"/>
      <c r="I27" s="480"/>
      <c r="J27" s="480"/>
      <c r="K27" s="480"/>
      <c r="L27" s="524"/>
    </row>
    <row r="28" spans="1:12" s="485" customFormat="1" ht="13.5" customHeight="1">
      <c r="A28" s="1422" t="s">
        <v>1377</v>
      </c>
      <c r="B28" s="483">
        <v>7140</v>
      </c>
      <c r="C28" s="467"/>
      <c r="D28" s="467"/>
      <c r="E28" s="467"/>
      <c r="F28" s="467"/>
      <c r="G28" s="467"/>
      <c r="H28" s="467"/>
      <c r="I28" s="467"/>
      <c r="J28" s="467"/>
      <c r="K28" s="467"/>
      <c r="L28" s="524"/>
    </row>
    <row r="29" spans="1:12" s="485" customFormat="1" ht="13.5" customHeight="1">
      <c r="A29" s="1422" t="s">
        <v>294</v>
      </c>
      <c r="B29" s="483">
        <v>7150</v>
      </c>
      <c r="C29" s="475"/>
      <c r="D29" s="467"/>
      <c r="E29" s="475"/>
      <c r="F29" s="475"/>
      <c r="G29" s="475"/>
      <c r="H29" s="475"/>
      <c r="I29" s="475"/>
      <c r="J29" s="475"/>
      <c r="K29" s="475"/>
      <c r="L29" s="524"/>
    </row>
    <row r="30" spans="1:12" s="485" customFormat="1" ht="26.25">
      <c r="A30" s="1422" t="s">
        <v>1756</v>
      </c>
      <c r="B30" s="527">
        <v>7160</v>
      </c>
      <c r="C30" s="477"/>
      <c r="D30" s="467"/>
      <c r="E30" s="477"/>
      <c r="F30" s="477"/>
      <c r="G30" s="477"/>
      <c r="H30" s="477"/>
      <c r="I30" s="477"/>
      <c r="J30" s="477"/>
      <c r="K30" s="477"/>
      <c r="L30" s="524"/>
    </row>
    <row r="31" spans="1:12" s="485" customFormat="1" ht="26.25">
      <c r="A31" s="1422" t="s">
        <v>1760</v>
      </c>
      <c r="B31" s="527">
        <v>7170</v>
      </c>
      <c r="C31" s="477"/>
      <c r="D31" s="477"/>
      <c r="E31" s="474"/>
      <c r="F31" s="477"/>
      <c r="G31" s="477"/>
      <c r="H31" s="477"/>
      <c r="I31" s="477"/>
      <c r="J31" s="477"/>
      <c r="K31" s="477"/>
      <c r="L31" s="524"/>
    </row>
    <row r="32" spans="1:12" s="485" customFormat="1" ht="15.75" customHeight="1">
      <c r="A32" s="2140" t="s">
        <v>981</v>
      </c>
      <c r="B32" s="2141"/>
      <c r="C32" s="477"/>
      <c r="D32" s="477"/>
      <c r="E32" s="475"/>
      <c r="F32" s="477"/>
      <c r="G32" s="477"/>
      <c r="H32" s="477"/>
      <c r="I32" s="477"/>
      <c r="J32" s="477"/>
      <c r="K32" s="477"/>
      <c r="L32" s="524"/>
    </row>
    <row r="33" spans="1:12" s="485" customFormat="1">
      <c r="A33" s="1422" t="s">
        <v>412</v>
      </c>
      <c r="B33" s="525">
        <v>7210</v>
      </c>
      <c r="C33" s="467"/>
      <c r="D33" s="467"/>
      <c r="E33" s="467">
        <v>68503</v>
      </c>
      <c r="F33" s="467"/>
      <c r="G33" s="477"/>
      <c r="H33" s="467">
        <v>4215000</v>
      </c>
      <c r="I33" s="467"/>
      <c r="J33" s="467"/>
      <c r="K33" s="467">
        <v>2391497</v>
      </c>
      <c r="L33" s="524"/>
    </row>
    <row r="34" spans="1:12" s="485" customFormat="1">
      <c r="A34" s="1422" t="s">
        <v>1001</v>
      </c>
      <c r="B34" s="525">
        <v>7220</v>
      </c>
      <c r="C34" s="467"/>
      <c r="D34" s="467"/>
      <c r="E34" s="467"/>
      <c r="F34" s="467"/>
      <c r="G34" s="477"/>
      <c r="H34" s="478">
        <v>225168</v>
      </c>
      <c r="I34" s="478"/>
      <c r="J34" s="478"/>
      <c r="K34" s="478">
        <v>146914</v>
      </c>
      <c r="L34" s="524"/>
    </row>
    <row r="35" spans="1:12" s="485" customFormat="1">
      <c r="A35" s="1422" t="s">
        <v>990</v>
      </c>
      <c r="B35" s="525">
        <v>7230</v>
      </c>
      <c r="C35" s="467"/>
      <c r="D35" s="467"/>
      <c r="E35" s="467"/>
      <c r="F35" s="467"/>
      <c r="G35" s="480"/>
      <c r="H35" s="467"/>
      <c r="I35" s="467"/>
      <c r="J35" s="467"/>
      <c r="K35" s="467"/>
      <c r="L35" s="524"/>
    </row>
    <row r="36" spans="1:12" s="485" customFormat="1" ht="15">
      <c r="A36" s="1422" t="s">
        <v>1631</v>
      </c>
      <c r="B36" s="525">
        <v>7300</v>
      </c>
      <c r="C36" s="467"/>
      <c r="D36" s="467"/>
      <c r="E36" s="467"/>
      <c r="F36" s="467"/>
      <c r="G36" s="467"/>
      <c r="H36" s="467"/>
      <c r="I36" s="475"/>
      <c r="J36" s="467"/>
      <c r="K36" s="467"/>
      <c r="L36" s="524"/>
    </row>
    <row r="37" spans="1:12" s="485" customFormat="1">
      <c r="A37" s="1422" t="s">
        <v>441</v>
      </c>
      <c r="B37" s="525">
        <v>7400</v>
      </c>
      <c r="C37" s="475"/>
      <c r="D37" s="475"/>
      <c r="E37" s="1675">
        <f>SUM(C54:D57,H54:H57)</f>
        <v>0</v>
      </c>
      <c r="F37" s="475"/>
      <c r="G37" s="475"/>
      <c r="H37" s="475"/>
      <c r="I37" s="477"/>
      <c r="J37" s="475"/>
      <c r="K37" s="475"/>
      <c r="L37" s="524"/>
    </row>
    <row r="38" spans="1:12" s="485" customFormat="1">
      <c r="A38" s="1422" t="s">
        <v>442</v>
      </c>
      <c r="B38" s="525">
        <v>7500</v>
      </c>
      <c r="C38" s="477"/>
      <c r="D38" s="477"/>
      <c r="E38" s="1675">
        <f>SUM(C58:D61,H58:H61)</f>
        <v>0</v>
      </c>
      <c r="F38" s="477"/>
      <c r="G38" s="477"/>
      <c r="H38" s="477"/>
      <c r="I38" s="477"/>
      <c r="J38" s="477"/>
      <c r="K38" s="477"/>
      <c r="L38" s="524"/>
    </row>
    <row r="39" spans="1:12" s="485" customFormat="1">
      <c r="A39" s="1422" t="s">
        <v>443</v>
      </c>
      <c r="B39" s="525">
        <v>7600</v>
      </c>
      <c r="C39" s="477"/>
      <c r="D39" s="477"/>
      <c r="E39" s="1675">
        <f>SUM(C62:D65)</f>
        <v>0</v>
      </c>
      <c r="F39" s="477"/>
      <c r="G39" s="477"/>
      <c r="H39" s="477"/>
      <c r="I39" s="477"/>
      <c r="J39" s="477"/>
      <c r="K39" s="477"/>
      <c r="L39" s="524"/>
    </row>
    <row r="40" spans="1:12" s="485" customFormat="1" ht="13.5" customHeight="1">
      <c r="A40" s="1422" t="s">
        <v>642</v>
      </c>
      <c r="B40" s="483">
        <v>7700</v>
      </c>
      <c r="C40" s="477"/>
      <c r="D40" s="477"/>
      <c r="E40" s="1675">
        <f>SUM(C66:D69)</f>
        <v>0</v>
      </c>
      <c r="F40" s="477"/>
      <c r="G40" s="477"/>
      <c r="H40" s="480"/>
      <c r="I40" s="477"/>
      <c r="J40" s="477"/>
      <c r="K40" s="477"/>
      <c r="L40" s="524"/>
    </row>
    <row r="41" spans="1:12" s="485" customFormat="1" ht="13.5" customHeight="1">
      <c r="A41" s="1422" t="s">
        <v>640</v>
      </c>
      <c r="B41" s="483">
        <v>7800</v>
      </c>
      <c r="C41" s="480"/>
      <c r="D41" s="480"/>
      <c r="E41" s="526"/>
      <c r="F41" s="480"/>
      <c r="G41" s="480"/>
      <c r="H41" s="1675">
        <f>SUM(C70:D73)</f>
        <v>0</v>
      </c>
      <c r="I41" s="477"/>
      <c r="J41" s="477"/>
      <c r="K41" s="480"/>
      <c r="L41" s="524"/>
    </row>
    <row r="42" spans="1:12" s="485" customFormat="1" ht="13.5" customHeight="1">
      <c r="A42" s="1422" t="s">
        <v>641</v>
      </c>
      <c r="B42" s="483">
        <v>7900</v>
      </c>
      <c r="C42" s="467"/>
      <c r="D42" s="467"/>
      <c r="E42" s="467"/>
      <c r="F42" s="467"/>
      <c r="G42" s="467"/>
      <c r="H42" s="467"/>
      <c r="I42" s="480"/>
      <c r="J42" s="480"/>
      <c r="K42" s="467"/>
      <c r="L42" s="524"/>
    </row>
    <row r="43" spans="1:12" s="485" customFormat="1" ht="13.5" customHeight="1">
      <c r="A43" s="1422" t="s">
        <v>373</v>
      </c>
      <c r="B43" s="483">
        <v>7990</v>
      </c>
      <c r="C43" s="467"/>
      <c r="D43" s="467"/>
      <c r="E43" s="467"/>
      <c r="F43" s="467"/>
      <c r="G43" s="467"/>
      <c r="H43" s="467"/>
      <c r="I43" s="467"/>
      <c r="J43" s="467"/>
      <c r="K43" s="467"/>
      <c r="L43" s="524"/>
    </row>
    <row r="44" spans="1:12" s="485" customFormat="1" ht="13.5" customHeight="1" thickBot="1">
      <c r="A44" s="2148" t="s">
        <v>374</v>
      </c>
      <c r="B44" s="2149"/>
      <c r="C44" s="1635">
        <f>SUM(C24:C43)</f>
        <v>47531</v>
      </c>
      <c r="D44" s="1635">
        <f t="shared" ref="D44:K44" si="6">SUM(D24:D43)</f>
        <v>0</v>
      </c>
      <c r="E44" s="1635">
        <f t="shared" si="6"/>
        <v>68503</v>
      </c>
      <c r="F44" s="1635">
        <f t="shared" si="6"/>
        <v>0</v>
      </c>
      <c r="G44" s="1635">
        <f t="shared" si="6"/>
        <v>0</v>
      </c>
      <c r="H44" s="1635">
        <f t="shared" si="6"/>
        <v>4440168</v>
      </c>
      <c r="I44" s="1635">
        <f t="shared" si="6"/>
        <v>0</v>
      </c>
      <c r="J44" s="1635">
        <f t="shared" si="6"/>
        <v>0</v>
      </c>
      <c r="K44" s="1635">
        <f t="shared" si="6"/>
        <v>2538411</v>
      </c>
      <c r="L44" s="524"/>
    </row>
    <row r="45" spans="1:12" ht="15.75" customHeight="1" thickTop="1">
      <c r="A45" s="2142" t="s">
        <v>108</v>
      </c>
      <c r="B45" s="2143"/>
      <c r="C45" s="528"/>
      <c r="D45" s="528"/>
      <c r="E45" s="528"/>
      <c r="F45" s="528"/>
      <c r="G45" s="528"/>
      <c r="H45" s="528"/>
      <c r="I45" s="528"/>
      <c r="J45" s="528"/>
      <c r="K45" s="528"/>
      <c r="L45" s="347"/>
    </row>
    <row r="46" spans="1:12" s="485" customFormat="1" ht="15.75" customHeight="1">
      <c r="A46" s="2150" t="s">
        <v>109</v>
      </c>
      <c r="B46" s="2151"/>
      <c r="C46" s="477"/>
      <c r="D46" s="477"/>
      <c r="E46" s="477"/>
      <c r="F46" s="477"/>
      <c r="G46" s="477"/>
      <c r="H46" s="477"/>
      <c r="I46" s="480"/>
      <c r="J46" s="477"/>
      <c r="K46" s="477"/>
      <c r="L46" s="529"/>
    </row>
    <row r="47" spans="1:12" s="485" customFormat="1" ht="15">
      <c r="A47" s="1423" t="s">
        <v>1632</v>
      </c>
      <c r="B47" s="483">
        <v>8110</v>
      </c>
      <c r="C47" s="477"/>
      <c r="D47" s="477"/>
      <c r="E47" s="477"/>
      <c r="F47" s="477"/>
      <c r="G47" s="477"/>
      <c r="H47" s="477"/>
      <c r="I47" s="1675">
        <f>SUM(C24,C25:H25,J25:K25)</f>
        <v>0</v>
      </c>
      <c r="J47" s="477"/>
      <c r="K47" s="477"/>
      <c r="L47" s="529"/>
    </row>
    <row r="48" spans="1:12" s="485" customFormat="1" ht="15">
      <c r="A48" s="1423" t="s">
        <v>1633</v>
      </c>
      <c r="B48" s="483">
        <v>8120</v>
      </c>
      <c r="C48" s="480"/>
      <c r="D48" s="480"/>
      <c r="E48" s="477"/>
      <c r="F48" s="480"/>
      <c r="G48" s="477"/>
      <c r="H48" s="477"/>
      <c r="I48" s="1675">
        <f>SUM(C26:H26,J26,K26)</f>
        <v>47531</v>
      </c>
      <c r="J48" s="477"/>
      <c r="K48" s="477"/>
      <c r="L48" s="529"/>
    </row>
    <row r="49" spans="1:12" s="485" customFormat="1">
      <c r="A49" s="1423" t="s">
        <v>185</v>
      </c>
      <c r="B49" s="483">
        <v>8130</v>
      </c>
      <c r="C49" s="467"/>
      <c r="D49" s="467"/>
      <c r="E49" s="480"/>
      <c r="F49" s="467"/>
      <c r="G49" s="480"/>
      <c r="H49" s="480"/>
      <c r="I49" s="477"/>
      <c r="J49" s="480"/>
      <c r="K49" s="477"/>
      <c r="L49" s="524"/>
    </row>
    <row r="50" spans="1:12" s="485" customFormat="1">
      <c r="A50" s="1423" t="s">
        <v>1377</v>
      </c>
      <c r="B50" s="483">
        <v>8140</v>
      </c>
      <c r="C50" s="467"/>
      <c r="D50" s="467"/>
      <c r="E50" s="467"/>
      <c r="F50" s="467"/>
      <c r="G50" s="467"/>
      <c r="H50" s="467"/>
      <c r="I50" s="477"/>
      <c r="J50" s="467"/>
      <c r="K50" s="477"/>
      <c r="L50" s="524"/>
    </row>
    <row r="51" spans="1:12" s="485" customFormat="1">
      <c r="A51" s="1423" t="s">
        <v>294</v>
      </c>
      <c r="B51" s="483">
        <v>8150</v>
      </c>
      <c r="C51" s="475"/>
      <c r="D51" s="475"/>
      <c r="E51" s="475"/>
      <c r="F51" s="475"/>
      <c r="G51" s="475"/>
      <c r="H51" s="1675">
        <f>SUM(D29)</f>
        <v>0</v>
      </c>
      <c r="I51" s="477"/>
      <c r="J51" s="475"/>
      <c r="K51" s="480"/>
      <c r="L51" s="524"/>
    </row>
    <row r="52" spans="1:12" s="485" customFormat="1" ht="26.25">
      <c r="A52" s="1423" t="s">
        <v>1759</v>
      </c>
      <c r="B52" s="483">
        <v>8160</v>
      </c>
      <c r="C52" s="477"/>
      <c r="D52" s="477"/>
      <c r="E52" s="477"/>
      <c r="F52" s="477"/>
      <c r="G52" s="477"/>
      <c r="H52" s="477"/>
      <c r="I52" s="477"/>
      <c r="J52" s="477"/>
      <c r="K52" s="1675">
        <f>D30</f>
        <v>0</v>
      </c>
      <c r="L52" s="524"/>
    </row>
    <row r="53" spans="1:12" s="485" customFormat="1" ht="26.25">
      <c r="A53" s="1423" t="s">
        <v>1758</v>
      </c>
      <c r="B53" s="483">
        <v>8170</v>
      </c>
      <c r="C53" s="480"/>
      <c r="D53" s="480"/>
      <c r="E53" s="477"/>
      <c r="F53" s="477"/>
      <c r="G53" s="477"/>
      <c r="H53" s="480"/>
      <c r="I53" s="477"/>
      <c r="J53" s="477"/>
      <c r="K53" s="1675">
        <f>E31</f>
        <v>0</v>
      </c>
      <c r="L53" s="524"/>
    </row>
    <row r="54" spans="1:12" s="485" customFormat="1" ht="13.5" thickBot="1">
      <c r="A54" s="1423" t="s">
        <v>692</v>
      </c>
      <c r="B54" s="483">
        <v>8410</v>
      </c>
      <c r="C54" s="530"/>
      <c r="D54" s="530"/>
      <c r="E54" s="477"/>
      <c r="F54" s="477"/>
      <c r="G54" s="477"/>
      <c r="H54" s="530"/>
      <c r="I54" s="477"/>
      <c r="J54" s="477"/>
      <c r="K54" s="475"/>
      <c r="L54" s="524"/>
    </row>
    <row r="55" spans="1:12" s="485" customFormat="1" ht="14.25" thickTop="1" thickBot="1">
      <c r="A55" s="1424" t="s">
        <v>693</v>
      </c>
      <c r="B55" s="483">
        <v>8420</v>
      </c>
      <c r="C55" s="531"/>
      <c r="D55" s="531"/>
      <c r="E55" s="477"/>
      <c r="F55" s="477"/>
      <c r="G55" s="477"/>
      <c r="H55" s="530"/>
      <c r="I55" s="477"/>
      <c r="J55" s="477"/>
      <c r="K55" s="477"/>
      <c r="L55" s="524"/>
    </row>
    <row r="56" spans="1:12" s="485" customFormat="1" ht="14.25" thickTop="1" thickBot="1">
      <c r="A56" s="1423" t="s">
        <v>581</v>
      </c>
      <c r="B56" s="483">
        <v>8430</v>
      </c>
      <c r="C56" s="531"/>
      <c r="D56" s="531"/>
      <c r="E56" s="477"/>
      <c r="F56" s="477"/>
      <c r="G56" s="477"/>
      <c r="H56" s="530"/>
      <c r="I56" s="477"/>
      <c r="J56" s="477"/>
      <c r="K56" s="477"/>
      <c r="L56" s="524"/>
    </row>
    <row r="57" spans="1:12" s="485" customFormat="1" ht="14.25" thickTop="1" thickBot="1">
      <c r="A57" s="1424" t="s">
        <v>578</v>
      </c>
      <c r="B57" s="483">
        <v>8440</v>
      </c>
      <c r="C57" s="531"/>
      <c r="D57" s="531"/>
      <c r="E57" s="477"/>
      <c r="F57" s="477"/>
      <c r="G57" s="477"/>
      <c r="H57" s="530"/>
      <c r="I57" s="477"/>
      <c r="J57" s="477"/>
      <c r="K57" s="477"/>
      <c r="L57" s="524"/>
    </row>
    <row r="58" spans="1:12" s="485" customFormat="1" ht="14.25" thickTop="1" thickBot="1">
      <c r="A58" s="1423" t="s">
        <v>579</v>
      </c>
      <c r="B58" s="483">
        <v>8510</v>
      </c>
      <c r="C58" s="531"/>
      <c r="D58" s="531"/>
      <c r="E58" s="477"/>
      <c r="F58" s="477"/>
      <c r="G58" s="477"/>
      <c r="H58" s="530"/>
      <c r="I58" s="477"/>
      <c r="J58" s="477"/>
      <c r="K58" s="477"/>
      <c r="L58" s="524"/>
    </row>
    <row r="59" spans="1:12" s="485" customFormat="1" ht="14.25" thickTop="1" thickBot="1">
      <c r="A59" s="1425" t="s">
        <v>694</v>
      </c>
      <c r="B59" s="483">
        <v>8520</v>
      </c>
      <c r="C59" s="531"/>
      <c r="D59" s="531"/>
      <c r="E59" s="477"/>
      <c r="F59" s="477"/>
      <c r="G59" s="477"/>
      <c r="H59" s="530"/>
      <c r="I59" s="477"/>
      <c r="J59" s="477"/>
      <c r="K59" s="477"/>
      <c r="L59" s="524"/>
    </row>
    <row r="60" spans="1:12" s="485" customFormat="1" ht="14.25" thickTop="1" thickBot="1">
      <c r="A60" s="1423" t="s">
        <v>580</v>
      </c>
      <c r="B60" s="483">
        <v>8530</v>
      </c>
      <c r="C60" s="531"/>
      <c r="D60" s="531"/>
      <c r="E60" s="477"/>
      <c r="F60" s="477"/>
      <c r="G60" s="477"/>
      <c r="H60" s="530"/>
      <c r="I60" s="477"/>
      <c r="J60" s="477"/>
      <c r="K60" s="477"/>
      <c r="L60" s="524"/>
    </row>
    <row r="61" spans="1:12" s="485" customFormat="1" ht="14.25" thickTop="1" thickBot="1">
      <c r="A61" s="1424" t="s">
        <v>743</v>
      </c>
      <c r="B61" s="483">
        <v>8540</v>
      </c>
      <c r="C61" s="531"/>
      <c r="D61" s="531"/>
      <c r="E61" s="477"/>
      <c r="F61" s="477"/>
      <c r="G61" s="477"/>
      <c r="H61" s="530"/>
      <c r="I61" s="477"/>
      <c r="J61" s="477"/>
      <c r="K61" s="477"/>
      <c r="L61" s="524"/>
    </row>
    <row r="62" spans="1:12" s="485" customFormat="1" ht="13.5" customHeight="1" thickTop="1" thickBot="1">
      <c r="A62" s="1423" t="s">
        <v>744</v>
      </c>
      <c r="B62" s="483">
        <v>8610</v>
      </c>
      <c r="C62" s="531"/>
      <c r="D62" s="531"/>
      <c r="E62" s="477"/>
      <c r="F62" s="477"/>
      <c r="G62" s="477"/>
      <c r="H62" s="477"/>
      <c r="I62" s="477"/>
      <c r="J62" s="477"/>
      <c r="K62" s="477"/>
      <c r="L62" s="524"/>
    </row>
    <row r="63" spans="1:12" s="485" customFormat="1" ht="14.25" thickTop="1" thickBot="1">
      <c r="A63" s="1424" t="s">
        <v>695</v>
      </c>
      <c r="B63" s="483">
        <v>8620</v>
      </c>
      <c r="C63" s="531"/>
      <c r="D63" s="531"/>
      <c r="E63" s="477"/>
      <c r="F63" s="477"/>
      <c r="G63" s="477"/>
      <c r="H63" s="477"/>
      <c r="I63" s="477"/>
      <c r="J63" s="477"/>
      <c r="K63" s="477"/>
      <c r="L63" s="524"/>
    </row>
    <row r="64" spans="1:12" s="485" customFormat="1" ht="13.5" customHeight="1" thickTop="1" thickBot="1">
      <c r="A64" s="1423" t="s">
        <v>745</v>
      </c>
      <c r="B64" s="483">
        <v>8630</v>
      </c>
      <c r="C64" s="531"/>
      <c r="D64" s="531"/>
      <c r="E64" s="477"/>
      <c r="F64" s="477"/>
      <c r="G64" s="477"/>
      <c r="H64" s="477"/>
      <c r="I64" s="477"/>
      <c r="J64" s="477"/>
      <c r="K64" s="477"/>
      <c r="L64" s="524"/>
    </row>
    <row r="65" spans="1:12" s="485" customFormat="1" ht="14.25" thickTop="1" thickBot="1">
      <c r="A65" s="1424" t="s">
        <v>746</v>
      </c>
      <c r="B65" s="483">
        <v>8640</v>
      </c>
      <c r="C65" s="531"/>
      <c r="D65" s="531"/>
      <c r="E65" s="477"/>
      <c r="F65" s="477"/>
      <c r="G65" s="477"/>
      <c r="H65" s="477"/>
      <c r="I65" s="477"/>
      <c r="J65" s="477"/>
      <c r="K65" s="477"/>
      <c r="L65" s="524"/>
    </row>
    <row r="66" spans="1:12" s="485" customFormat="1" ht="14.25" thickTop="1" thickBot="1">
      <c r="A66" s="1423" t="s">
        <v>747</v>
      </c>
      <c r="B66" s="483">
        <v>8710</v>
      </c>
      <c r="C66" s="531"/>
      <c r="D66" s="531"/>
      <c r="E66" s="477"/>
      <c r="F66" s="477"/>
      <c r="G66" s="477"/>
      <c r="H66" s="477"/>
      <c r="I66" s="477"/>
      <c r="J66" s="477"/>
      <c r="K66" s="477"/>
      <c r="L66" s="524"/>
    </row>
    <row r="67" spans="1:12" s="485" customFormat="1" ht="14.25" thickTop="1" thickBot="1">
      <c r="A67" s="1424" t="s">
        <v>696</v>
      </c>
      <c r="B67" s="483">
        <v>8720</v>
      </c>
      <c r="C67" s="531"/>
      <c r="D67" s="531"/>
      <c r="E67" s="477"/>
      <c r="F67" s="477"/>
      <c r="G67" s="477"/>
      <c r="H67" s="477"/>
      <c r="I67" s="477"/>
      <c r="J67" s="477"/>
      <c r="K67" s="477"/>
      <c r="L67" s="524"/>
    </row>
    <row r="68" spans="1:12" s="485" customFormat="1" ht="14.25" thickTop="1" thickBot="1">
      <c r="A68" s="1425" t="s">
        <v>748</v>
      </c>
      <c r="B68" s="483">
        <v>8730</v>
      </c>
      <c r="C68" s="531"/>
      <c r="D68" s="531"/>
      <c r="E68" s="477"/>
      <c r="F68" s="477"/>
      <c r="G68" s="477"/>
      <c r="H68" s="477"/>
      <c r="I68" s="477"/>
      <c r="J68" s="477"/>
      <c r="K68" s="477"/>
      <c r="L68" s="524"/>
    </row>
    <row r="69" spans="1:12" s="485" customFormat="1" ht="14.25" thickTop="1" thickBot="1">
      <c r="A69" s="1424" t="s">
        <v>749</v>
      </c>
      <c r="B69" s="483">
        <v>8740</v>
      </c>
      <c r="C69" s="531"/>
      <c r="D69" s="531"/>
      <c r="E69" s="477"/>
      <c r="F69" s="477"/>
      <c r="G69" s="477"/>
      <c r="H69" s="477"/>
      <c r="I69" s="477"/>
      <c r="J69" s="477"/>
      <c r="K69" s="477"/>
      <c r="L69" s="524"/>
    </row>
    <row r="70" spans="1:12" s="485" customFormat="1" ht="14.25" thickTop="1" thickBot="1">
      <c r="A70" s="1423" t="s">
        <v>750</v>
      </c>
      <c r="B70" s="483">
        <v>8810</v>
      </c>
      <c r="C70" s="531"/>
      <c r="D70" s="531"/>
      <c r="E70" s="477"/>
      <c r="F70" s="477"/>
      <c r="G70" s="477"/>
      <c r="H70" s="477"/>
      <c r="I70" s="477"/>
      <c r="J70" s="477"/>
      <c r="K70" s="477"/>
      <c r="L70" s="524"/>
    </row>
    <row r="71" spans="1:12" s="485" customFormat="1" ht="14.25" thickTop="1" thickBot="1">
      <c r="A71" s="1423" t="s">
        <v>754</v>
      </c>
      <c r="B71" s="483">
        <v>8820</v>
      </c>
      <c r="C71" s="531"/>
      <c r="D71" s="531"/>
      <c r="E71" s="477"/>
      <c r="F71" s="477"/>
      <c r="G71" s="477"/>
      <c r="H71" s="477"/>
      <c r="I71" s="477"/>
      <c r="J71" s="477"/>
      <c r="K71" s="477"/>
      <c r="L71" s="524"/>
    </row>
    <row r="72" spans="1:12" s="485" customFormat="1" ht="14.25" thickTop="1" thickBot="1">
      <c r="A72" s="1423" t="s">
        <v>751</v>
      </c>
      <c r="B72" s="483">
        <v>8830</v>
      </c>
      <c r="C72" s="531"/>
      <c r="D72" s="531"/>
      <c r="E72" s="477"/>
      <c r="F72" s="477"/>
      <c r="G72" s="477"/>
      <c r="H72" s="477"/>
      <c r="I72" s="477"/>
      <c r="J72" s="477"/>
      <c r="K72" s="477"/>
      <c r="L72" s="524"/>
    </row>
    <row r="73" spans="1:12" s="485" customFormat="1" ht="14.25" thickTop="1" thickBot="1">
      <c r="A73" s="1423" t="s">
        <v>752</v>
      </c>
      <c r="B73" s="483">
        <v>8840</v>
      </c>
      <c r="C73" s="531"/>
      <c r="D73" s="531"/>
      <c r="E73" s="477"/>
      <c r="F73" s="477"/>
      <c r="G73" s="477"/>
      <c r="H73" s="477"/>
      <c r="I73" s="477"/>
      <c r="J73" s="477"/>
      <c r="K73" s="480"/>
      <c r="L73" s="524"/>
    </row>
    <row r="74" spans="1:12" s="485" customFormat="1" ht="14.25" thickTop="1" thickBot="1">
      <c r="A74" s="1423" t="s">
        <v>375</v>
      </c>
      <c r="B74" s="483">
        <v>8910</v>
      </c>
      <c r="C74" s="531"/>
      <c r="D74" s="531"/>
      <c r="E74" s="480"/>
      <c r="F74" s="530"/>
      <c r="G74" s="530"/>
      <c r="H74" s="530"/>
      <c r="I74" s="480"/>
      <c r="J74" s="480"/>
      <c r="K74" s="530"/>
      <c r="L74" s="524"/>
    </row>
    <row r="75" spans="1:12" s="485" customFormat="1" ht="14.25" thickTop="1" thickBot="1">
      <c r="A75" s="1426" t="s">
        <v>439</v>
      </c>
      <c r="B75" s="483">
        <v>8990</v>
      </c>
      <c r="C75" s="531"/>
      <c r="D75" s="531"/>
      <c r="E75" s="530"/>
      <c r="F75" s="532"/>
      <c r="G75" s="532"/>
      <c r="H75" s="532">
        <v>88509</v>
      </c>
      <c r="I75" s="530"/>
      <c r="J75" s="530"/>
      <c r="K75" s="532"/>
      <c r="L75" s="524"/>
    </row>
    <row r="76" spans="1:12" s="485" customFormat="1" ht="14.25" thickTop="1" thickBot="1">
      <c r="A76" s="2124" t="s">
        <v>440</v>
      </c>
      <c r="B76" s="2125"/>
      <c r="C76" s="1635">
        <f t="shared" ref="C76:K76" si="7">SUM(C47:C75)</f>
        <v>0</v>
      </c>
      <c r="D76" s="1635">
        <f t="shared" si="7"/>
        <v>0</v>
      </c>
      <c r="E76" s="1635">
        <f t="shared" si="7"/>
        <v>0</v>
      </c>
      <c r="F76" s="1635">
        <f t="shared" si="7"/>
        <v>0</v>
      </c>
      <c r="G76" s="1635">
        <f t="shared" si="7"/>
        <v>0</v>
      </c>
      <c r="H76" s="1635">
        <f t="shared" si="7"/>
        <v>88509</v>
      </c>
      <c r="I76" s="1635">
        <f t="shared" si="7"/>
        <v>47531</v>
      </c>
      <c r="J76" s="1635">
        <f t="shared" si="7"/>
        <v>0</v>
      </c>
      <c r="K76" s="1635">
        <f t="shared" si="7"/>
        <v>0</v>
      </c>
      <c r="L76" s="524"/>
    </row>
    <row r="77" spans="1:12" ht="14.25" thickTop="1" thickBot="1">
      <c r="A77" s="2126" t="s">
        <v>1177</v>
      </c>
      <c r="B77" s="2127"/>
      <c r="C77" s="1635">
        <f t="shared" ref="C77:K77" si="8">C44-C76</f>
        <v>47531</v>
      </c>
      <c r="D77" s="1635">
        <f t="shared" si="8"/>
        <v>0</v>
      </c>
      <c r="E77" s="1635">
        <f t="shared" si="8"/>
        <v>68503</v>
      </c>
      <c r="F77" s="1635">
        <f t="shared" si="8"/>
        <v>0</v>
      </c>
      <c r="G77" s="1635">
        <f t="shared" si="8"/>
        <v>0</v>
      </c>
      <c r="H77" s="1635">
        <f t="shared" si="8"/>
        <v>4351659</v>
      </c>
      <c r="I77" s="1635">
        <f t="shared" si="8"/>
        <v>-47531</v>
      </c>
      <c r="J77" s="1635">
        <f t="shared" si="8"/>
        <v>0</v>
      </c>
      <c r="K77" s="1635">
        <f t="shared" si="8"/>
        <v>2538411</v>
      </c>
      <c r="L77" s="347"/>
    </row>
    <row r="78" spans="1:12" ht="21.75" customHeight="1" thickTop="1" thickBot="1">
      <c r="A78" s="2130" t="s">
        <v>597</v>
      </c>
      <c r="B78" s="2131"/>
      <c r="C78" s="1634">
        <f t="shared" ref="C78:K78" si="9">C20+C77</f>
        <v>-318565</v>
      </c>
      <c r="D78" s="1634">
        <f t="shared" si="9"/>
        <v>-6226</v>
      </c>
      <c r="E78" s="1634">
        <f t="shared" si="9"/>
        <v>418191</v>
      </c>
      <c r="F78" s="1634">
        <f t="shared" si="9"/>
        <v>-70158</v>
      </c>
      <c r="G78" s="1634">
        <f t="shared" si="9"/>
        <v>40610</v>
      </c>
      <c r="H78" s="1634">
        <f t="shared" si="9"/>
        <v>-3336382</v>
      </c>
      <c r="I78" s="1634">
        <f t="shared" si="9"/>
        <v>178153</v>
      </c>
      <c r="J78" s="1634">
        <f t="shared" si="9"/>
        <v>51729</v>
      </c>
      <c r="K78" s="1634">
        <f t="shared" si="9"/>
        <v>-10108317</v>
      </c>
      <c r="L78" s="533"/>
    </row>
    <row r="79" spans="1:12" ht="13.5" thickTop="1">
      <c r="A79" s="1427" t="s">
        <v>1909</v>
      </c>
      <c r="B79" s="534"/>
      <c r="C79" s="478">
        <v>890128</v>
      </c>
      <c r="D79" s="535">
        <v>4675</v>
      </c>
      <c r="E79" s="535">
        <v>1088181</v>
      </c>
      <c r="F79" s="535">
        <v>-108919</v>
      </c>
      <c r="G79" s="535">
        <v>476721</v>
      </c>
      <c r="H79" s="535">
        <v>8776098</v>
      </c>
      <c r="I79" s="535">
        <v>3105768</v>
      </c>
      <c r="J79" s="535">
        <v>171413</v>
      </c>
      <c r="K79" s="535">
        <v>12436193</v>
      </c>
      <c r="L79" s="347"/>
    </row>
    <row r="80" spans="1:12">
      <c r="A80" s="2136" t="s">
        <v>1757</v>
      </c>
      <c r="B80" s="2137"/>
      <c r="C80" s="467"/>
      <c r="D80" s="467"/>
      <c r="E80" s="467"/>
      <c r="F80" s="467"/>
      <c r="G80" s="467"/>
      <c r="H80" s="467"/>
      <c r="I80" s="467"/>
      <c r="J80" s="467"/>
      <c r="K80" s="467"/>
      <c r="L80" s="347"/>
    </row>
    <row r="81" spans="1:12" ht="13.5" thickBot="1">
      <c r="A81" s="2128" t="s">
        <v>1910</v>
      </c>
      <c r="B81" s="2129"/>
      <c r="C81" s="1620">
        <f>(SUM(C78:C80))</f>
        <v>571563</v>
      </c>
      <c r="D81" s="1620">
        <f>SUM(D78:D80)</f>
        <v>-1551</v>
      </c>
      <c r="E81" s="1620">
        <f t="shared" ref="E81:K81" si="10">SUM(E78:E80)</f>
        <v>1506372</v>
      </c>
      <c r="F81" s="1620">
        <f t="shared" si="10"/>
        <v>-179077</v>
      </c>
      <c r="G81" s="1620">
        <f t="shared" si="10"/>
        <v>517331</v>
      </c>
      <c r="H81" s="1620">
        <f t="shared" si="10"/>
        <v>5439716</v>
      </c>
      <c r="I81" s="1620">
        <f t="shared" si="10"/>
        <v>3283921</v>
      </c>
      <c r="J81" s="1620">
        <f t="shared" si="10"/>
        <v>223142</v>
      </c>
      <c r="K81" s="1620">
        <f t="shared" si="10"/>
        <v>2327876</v>
      </c>
      <c r="L81" s="347"/>
    </row>
    <row r="82" spans="1:12" ht="0.75" customHeight="1" thickTop="1" thickBot="1">
      <c r="A82" s="536" t="s">
        <v>343</v>
      </c>
      <c r="B82" s="537"/>
      <c r="C82" s="538">
        <f>(C81-C79)</f>
        <v>-318565</v>
      </c>
      <c r="D82" s="538">
        <f t="shared" ref="D82:K82" si="11">(D81-D79)</f>
        <v>-6226</v>
      </c>
      <c r="E82" s="538">
        <f t="shared" si="11"/>
        <v>418191</v>
      </c>
      <c r="F82" s="538">
        <f t="shared" si="11"/>
        <v>-70158</v>
      </c>
      <c r="G82" s="538">
        <f t="shared" si="11"/>
        <v>40610</v>
      </c>
      <c r="H82" s="538">
        <f t="shared" si="11"/>
        <v>-3336382</v>
      </c>
      <c r="I82" s="538">
        <f t="shared" si="11"/>
        <v>178153</v>
      </c>
      <c r="J82" s="538">
        <f t="shared" si="11"/>
        <v>51729</v>
      </c>
      <c r="K82" s="538">
        <f t="shared" si="11"/>
        <v>-10108317</v>
      </c>
    </row>
    <row r="83" spans="1:12" ht="14.25" hidden="1" thickTop="1" thickBot="1">
      <c r="A83" s="539" t="s">
        <v>344</v>
      </c>
      <c r="B83" s="464"/>
      <c r="C83" s="540">
        <f>C82/C81</f>
        <v>-0.55735763161716201</v>
      </c>
      <c r="D83" s="540">
        <f t="shared" ref="D83:K83" si="12">D82/D81</f>
        <v>4.0141843971631204</v>
      </c>
      <c r="E83" s="540">
        <f t="shared" si="12"/>
        <v>0.27761469278504913</v>
      </c>
      <c r="F83" s="540">
        <f t="shared" si="12"/>
        <v>0.39177560490738622</v>
      </c>
      <c r="G83" s="540">
        <f t="shared" si="12"/>
        <v>7.8499065395269185E-2</v>
      </c>
      <c r="H83" s="540">
        <f t="shared" si="12"/>
        <v>-0.61333753453305284</v>
      </c>
      <c r="I83" s="540">
        <f t="shared" si="12"/>
        <v>5.4250087014882514E-2</v>
      </c>
      <c r="J83" s="540">
        <f t="shared" si="12"/>
        <v>0.23182099291034408</v>
      </c>
      <c r="K83" s="540">
        <f t="shared" si="12"/>
        <v>-4.3422918574700713</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 activePane="bottomLeft" state="frozen"/>
      <selection activeCell="T15" sqref="T15:AA15"/>
      <selection pane="bottomLeft" activeCell="C7" sqref="C7"/>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32" t="s">
        <v>1764</v>
      </c>
      <c r="B1" s="452"/>
      <c r="C1" s="453" t="s">
        <v>425</v>
      </c>
      <c r="D1" s="453" t="s">
        <v>426</v>
      </c>
      <c r="E1" s="453" t="s">
        <v>427</v>
      </c>
      <c r="F1" s="453" t="s">
        <v>428</v>
      </c>
      <c r="G1" s="453" t="s">
        <v>429</v>
      </c>
      <c r="H1" s="453" t="s">
        <v>430</v>
      </c>
      <c r="I1" s="453" t="s">
        <v>431</v>
      </c>
      <c r="J1" s="453" t="s">
        <v>432</v>
      </c>
      <c r="K1" s="453" t="s">
        <v>756</v>
      </c>
    </row>
    <row r="2" spans="1:12" ht="36">
      <c r="A2" s="2133"/>
      <c r="B2" s="541" t="s">
        <v>378</v>
      </c>
      <c r="C2" s="542" t="s">
        <v>1155</v>
      </c>
      <c r="D2" s="542" t="s">
        <v>870</v>
      </c>
      <c r="E2" s="542" t="s">
        <v>438</v>
      </c>
      <c r="F2" s="542" t="s">
        <v>155</v>
      </c>
      <c r="G2" s="542" t="s">
        <v>989</v>
      </c>
      <c r="H2" s="542" t="s">
        <v>437</v>
      </c>
      <c r="I2" s="542" t="s">
        <v>407</v>
      </c>
      <c r="J2" s="542" t="s">
        <v>436</v>
      </c>
      <c r="K2" s="542" t="s">
        <v>157</v>
      </c>
    </row>
    <row r="3" spans="1:12" ht="16.7" customHeight="1">
      <c r="A3" s="1512" t="s">
        <v>113</v>
      </c>
      <c r="B3" s="1513"/>
      <c r="C3" s="1514"/>
      <c r="D3" s="1514"/>
      <c r="E3" s="1514"/>
      <c r="F3" s="1515"/>
      <c r="G3" s="1516"/>
      <c r="H3" s="1515"/>
      <c r="I3" s="1515"/>
      <c r="J3" s="1515"/>
      <c r="K3" s="1517"/>
    </row>
    <row r="4" spans="1:12" ht="15.75" customHeight="1">
      <c r="A4" s="1523" t="s">
        <v>379</v>
      </c>
      <c r="B4" s="1524">
        <v>1100</v>
      </c>
      <c r="C4" s="543"/>
      <c r="D4" s="543"/>
      <c r="E4" s="543"/>
      <c r="F4" s="544"/>
      <c r="G4" s="545"/>
      <c r="H4" s="546"/>
      <c r="I4" s="546"/>
      <c r="J4" s="546"/>
      <c r="K4" s="546"/>
    </row>
    <row r="5" spans="1:12" ht="15">
      <c r="A5" s="493" t="s">
        <v>1634</v>
      </c>
      <c r="B5" s="547"/>
      <c r="C5" s="481">
        <v>10615512</v>
      </c>
      <c r="D5" s="481">
        <v>1797856</v>
      </c>
      <c r="E5" s="466">
        <v>2026976</v>
      </c>
      <c r="F5" s="548">
        <v>719141</v>
      </c>
      <c r="G5" s="466">
        <v>297171</v>
      </c>
      <c r="H5" s="466"/>
      <c r="I5" s="466">
        <v>179788</v>
      </c>
      <c r="J5" s="467">
        <v>1187576</v>
      </c>
      <c r="K5" s="466">
        <v>179788</v>
      </c>
    </row>
    <row r="6" spans="1:12" ht="15">
      <c r="A6" s="463" t="s">
        <v>1635</v>
      </c>
      <c r="B6" s="470">
        <v>1130</v>
      </c>
      <c r="C6" s="466">
        <v>179924</v>
      </c>
      <c r="D6" s="466"/>
      <c r="E6" s="475"/>
      <c r="F6" s="475"/>
      <c r="G6" s="468"/>
      <c r="H6" s="468"/>
      <c r="I6" s="468"/>
      <c r="J6" s="468"/>
      <c r="K6" s="468"/>
    </row>
    <row r="7" spans="1:12">
      <c r="A7" s="463" t="s">
        <v>110</v>
      </c>
      <c r="B7" s="549">
        <v>1140</v>
      </c>
      <c r="C7" s="466">
        <v>143945</v>
      </c>
      <c r="D7" s="466"/>
      <c r="E7" s="468"/>
      <c r="F7" s="467"/>
      <c r="G7" s="467"/>
      <c r="H7" s="467"/>
      <c r="I7" s="468"/>
      <c r="J7" s="468"/>
      <c r="K7" s="468"/>
    </row>
    <row r="8" spans="1:12">
      <c r="A8" s="463" t="s">
        <v>413</v>
      </c>
      <c r="B8" s="470">
        <v>1150</v>
      </c>
      <c r="C8" s="475"/>
      <c r="D8" s="475"/>
      <c r="E8" s="477"/>
      <c r="F8" s="477"/>
      <c r="G8" s="481">
        <v>324195</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3.15" customHeight="1" thickBot="1">
      <c r="A12" s="1637" t="s">
        <v>29</v>
      </c>
      <c r="B12" s="1638"/>
      <c r="C12" s="1639">
        <f t="shared" ref="C12:K12" si="0">SUM(C5:C11)</f>
        <v>10939381</v>
      </c>
      <c r="D12" s="1639">
        <f t="shared" si="0"/>
        <v>1797856</v>
      </c>
      <c r="E12" s="1639">
        <f t="shared" si="0"/>
        <v>2026976</v>
      </c>
      <c r="F12" s="1639">
        <f t="shared" si="0"/>
        <v>719141</v>
      </c>
      <c r="G12" s="1639">
        <f t="shared" si="0"/>
        <v>621366</v>
      </c>
      <c r="H12" s="1639">
        <f t="shared" si="0"/>
        <v>0</v>
      </c>
      <c r="I12" s="1639">
        <f t="shared" si="0"/>
        <v>179788</v>
      </c>
      <c r="J12" s="1639">
        <f t="shared" si="0"/>
        <v>1187576</v>
      </c>
      <c r="K12" s="1620">
        <f t="shared" si="0"/>
        <v>179788</v>
      </c>
    </row>
    <row r="13" spans="1:12" ht="15.75" customHeight="1" thickTop="1">
      <c r="A13" s="1525" t="s">
        <v>451</v>
      </c>
      <c r="B13" s="1526">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3.15" customHeight="1">
      <c r="A15" s="463" t="s">
        <v>95</v>
      </c>
      <c r="B15" s="470">
        <v>1220</v>
      </c>
      <c r="C15" s="551"/>
      <c r="D15" s="466"/>
      <c r="E15" s="466"/>
      <c r="F15" s="466"/>
      <c r="G15" s="466"/>
      <c r="H15" s="466"/>
      <c r="I15" s="466"/>
      <c r="J15" s="467"/>
      <c r="K15" s="466"/>
    </row>
    <row r="16" spans="1:12" ht="15" customHeight="1">
      <c r="A16" s="463" t="s">
        <v>1636</v>
      </c>
      <c r="B16" s="549">
        <v>1230</v>
      </c>
      <c r="C16" s="551">
        <v>1720662</v>
      </c>
      <c r="D16" s="466">
        <v>120000</v>
      </c>
      <c r="E16" s="466"/>
      <c r="F16" s="466"/>
      <c r="G16" s="466">
        <v>100362</v>
      </c>
      <c r="H16" s="466"/>
      <c r="I16" s="466"/>
      <c r="J16" s="467"/>
      <c r="K16" s="466"/>
    </row>
    <row r="17" spans="1:11" ht="13.15" customHeight="1">
      <c r="A17" s="463" t="s">
        <v>807</v>
      </c>
      <c r="B17" s="470">
        <v>1290</v>
      </c>
      <c r="C17" s="551"/>
      <c r="D17" s="466"/>
      <c r="E17" s="466"/>
      <c r="F17" s="466"/>
      <c r="G17" s="466"/>
      <c r="H17" s="466"/>
      <c r="I17" s="466"/>
      <c r="J17" s="467"/>
      <c r="K17" s="466"/>
    </row>
    <row r="18" spans="1:11" ht="13.15" customHeight="1" thickBot="1">
      <c r="A18" s="1640" t="s">
        <v>537</v>
      </c>
      <c r="B18" s="1641"/>
      <c r="C18" s="1642">
        <f>SUM(C14:C17)</f>
        <v>1720662</v>
      </c>
      <c r="D18" s="1642">
        <f t="shared" ref="D18:K18" si="1">SUM(D14:D17)</f>
        <v>120000</v>
      </c>
      <c r="E18" s="1642">
        <f t="shared" si="1"/>
        <v>0</v>
      </c>
      <c r="F18" s="1642">
        <f t="shared" si="1"/>
        <v>0</v>
      </c>
      <c r="G18" s="1642">
        <f t="shared" si="1"/>
        <v>100362</v>
      </c>
      <c r="H18" s="1642">
        <f t="shared" si="1"/>
        <v>0</v>
      </c>
      <c r="I18" s="1642">
        <f t="shared" si="1"/>
        <v>0</v>
      </c>
      <c r="J18" s="1642">
        <f t="shared" si="1"/>
        <v>0</v>
      </c>
      <c r="K18" s="1643">
        <f t="shared" si="1"/>
        <v>0</v>
      </c>
    </row>
    <row r="19" spans="1:11" ht="15.75" customHeight="1" thickTop="1">
      <c r="A19" s="1525" t="s">
        <v>452</v>
      </c>
      <c r="B19" s="1526">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3.15" customHeight="1">
      <c r="A21" s="463" t="s">
        <v>832</v>
      </c>
      <c r="B21" s="470">
        <v>1312</v>
      </c>
      <c r="C21" s="551"/>
      <c r="D21" s="468"/>
      <c r="E21" s="468"/>
      <c r="F21" s="468"/>
      <c r="G21" s="468"/>
      <c r="H21" s="468"/>
      <c r="I21" s="468"/>
      <c r="J21" s="468"/>
      <c r="K21" s="468"/>
    </row>
    <row r="22" spans="1:11" ht="13.15" customHeight="1">
      <c r="A22" s="463" t="s">
        <v>1074</v>
      </c>
      <c r="B22" s="470">
        <v>1313</v>
      </c>
      <c r="C22" s="551"/>
      <c r="D22" s="468"/>
      <c r="E22" s="468"/>
      <c r="F22" s="468"/>
      <c r="G22" s="468"/>
      <c r="H22" s="468"/>
      <c r="I22" s="468"/>
      <c r="J22" s="468"/>
      <c r="K22" s="468"/>
    </row>
    <row r="23" spans="1:11" ht="13.15" customHeight="1">
      <c r="A23" s="463" t="s">
        <v>1075</v>
      </c>
      <c r="B23" s="470">
        <v>1314</v>
      </c>
      <c r="C23" s="489"/>
      <c r="D23" s="468"/>
      <c r="E23" s="468"/>
      <c r="F23" s="468"/>
      <c r="G23" s="468"/>
      <c r="H23" s="468"/>
      <c r="I23" s="468"/>
      <c r="J23" s="468"/>
      <c r="K23" s="468"/>
    </row>
    <row r="24" spans="1:11" ht="13.15" customHeight="1">
      <c r="A24" s="463" t="s">
        <v>1027</v>
      </c>
      <c r="B24" s="470">
        <v>1321</v>
      </c>
      <c r="C24" s="551"/>
      <c r="D24" s="468"/>
      <c r="E24" s="468"/>
      <c r="F24" s="468"/>
      <c r="G24" s="468"/>
      <c r="H24" s="468"/>
      <c r="I24" s="468"/>
      <c r="J24" s="468"/>
      <c r="K24" s="468"/>
    </row>
    <row r="25" spans="1:11" ht="13.15" customHeight="1">
      <c r="A25" s="463" t="s">
        <v>833</v>
      </c>
      <c r="B25" s="470">
        <v>1322</v>
      </c>
      <c r="C25" s="551"/>
      <c r="D25" s="468"/>
      <c r="E25" s="468"/>
      <c r="F25" s="468"/>
      <c r="G25" s="468"/>
      <c r="H25" s="468"/>
      <c r="I25" s="468"/>
      <c r="J25" s="468"/>
      <c r="K25" s="468"/>
    </row>
    <row r="26" spans="1:11" ht="13.15" customHeight="1">
      <c r="A26" s="463" t="s">
        <v>1101</v>
      </c>
      <c r="B26" s="470">
        <v>1323</v>
      </c>
      <c r="C26" s="551"/>
      <c r="D26" s="468"/>
      <c r="E26" s="468"/>
      <c r="F26" s="468"/>
      <c r="G26" s="468"/>
      <c r="H26" s="468"/>
      <c r="I26" s="468"/>
      <c r="J26" s="468"/>
      <c r="K26" s="468"/>
    </row>
    <row r="27" spans="1:11" ht="13.15" customHeight="1">
      <c r="A27" s="463" t="s">
        <v>1023</v>
      </c>
      <c r="B27" s="470">
        <v>1324</v>
      </c>
      <c r="C27" s="489"/>
      <c r="D27" s="468"/>
      <c r="E27" s="468"/>
      <c r="F27" s="468"/>
      <c r="G27" s="468"/>
      <c r="H27" s="468"/>
      <c r="I27" s="468"/>
      <c r="J27" s="468"/>
      <c r="K27" s="468"/>
    </row>
    <row r="28" spans="1:11" ht="13.15" customHeight="1">
      <c r="A28" s="463" t="s">
        <v>1024</v>
      </c>
      <c r="B28" s="470">
        <v>1331</v>
      </c>
      <c r="C28" s="551"/>
      <c r="D28" s="468"/>
      <c r="E28" s="468"/>
      <c r="F28" s="468"/>
      <c r="G28" s="468"/>
      <c r="H28" s="468"/>
      <c r="I28" s="468"/>
      <c r="J28" s="468"/>
      <c r="K28" s="468"/>
    </row>
    <row r="29" spans="1:11" ht="13.15" customHeight="1">
      <c r="A29" s="463" t="s">
        <v>834</v>
      </c>
      <c r="B29" s="470">
        <v>1332</v>
      </c>
      <c r="C29" s="551"/>
      <c r="D29" s="468"/>
      <c r="E29" s="468"/>
      <c r="F29" s="468"/>
      <c r="G29" s="468"/>
      <c r="H29" s="468"/>
      <c r="I29" s="468"/>
      <c r="J29" s="468"/>
      <c r="K29" s="468"/>
    </row>
    <row r="30" spans="1:11" ht="13.15" customHeight="1">
      <c r="A30" s="463" t="s">
        <v>1026</v>
      </c>
      <c r="B30" s="470">
        <v>1333</v>
      </c>
      <c r="C30" s="551"/>
      <c r="D30" s="468"/>
      <c r="E30" s="468"/>
      <c r="F30" s="468"/>
      <c r="G30" s="468"/>
      <c r="H30" s="468"/>
      <c r="I30" s="468"/>
      <c r="J30" s="468"/>
      <c r="K30" s="468"/>
    </row>
    <row r="31" spans="1:11" ht="13.15" customHeight="1">
      <c r="A31" s="463" t="s">
        <v>1025</v>
      </c>
      <c r="B31" s="470">
        <v>1334</v>
      </c>
      <c r="C31" s="489"/>
      <c r="D31" s="468"/>
      <c r="E31" s="468"/>
      <c r="F31" s="468"/>
      <c r="G31" s="468"/>
      <c r="H31" s="468"/>
      <c r="I31" s="468"/>
      <c r="J31" s="468"/>
      <c r="K31" s="468"/>
    </row>
    <row r="32" spans="1:11" ht="13.15" customHeight="1">
      <c r="A32" s="463" t="s">
        <v>494</v>
      </c>
      <c r="B32" s="470">
        <v>1341</v>
      </c>
      <c r="C32" s="551"/>
      <c r="D32" s="468"/>
      <c r="E32" s="468"/>
      <c r="F32" s="468"/>
      <c r="G32" s="468"/>
      <c r="H32" s="468"/>
      <c r="I32" s="468"/>
      <c r="J32" s="468"/>
      <c r="K32" s="468"/>
    </row>
    <row r="33" spans="1:11" ht="13.15" customHeight="1">
      <c r="A33" s="463" t="s">
        <v>835</v>
      </c>
      <c r="B33" s="470">
        <v>1342</v>
      </c>
      <c r="C33" s="551"/>
      <c r="D33" s="468"/>
      <c r="E33" s="468"/>
      <c r="F33" s="468"/>
      <c r="G33" s="468"/>
      <c r="H33" s="468"/>
      <c r="I33" s="468"/>
      <c r="J33" s="468"/>
      <c r="K33" s="468"/>
    </row>
    <row r="34" spans="1:11" ht="13.15" customHeight="1">
      <c r="A34" s="463" t="s">
        <v>495</v>
      </c>
      <c r="B34" s="470">
        <v>1343</v>
      </c>
      <c r="C34" s="551"/>
      <c r="D34" s="468"/>
      <c r="E34" s="468"/>
      <c r="F34" s="468"/>
      <c r="G34" s="468"/>
      <c r="H34" s="468"/>
      <c r="I34" s="468"/>
      <c r="J34" s="468"/>
      <c r="K34" s="468"/>
    </row>
    <row r="35" spans="1:11" ht="13.15" customHeight="1">
      <c r="A35" s="463" t="s">
        <v>493</v>
      </c>
      <c r="B35" s="470">
        <v>1344</v>
      </c>
      <c r="C35" s="489"/>
      <c r="D35" s="468"/>
      <c r="E35" s="468"/>
      <c r="F35" s="468"/>
      <c r="G35" s="468"/>
      <c r="H35" s="468"/>
      <c r="I35" s="468"/>
      <c r="J35" s="468"/>
      <c r="K35" s="468"/>
    </row>
    <row r="36" spans="1:11" ht="13.15" customHeight="1">
      <c r="A36" s="463" t="s">
        <v>831</v>
      </c>
      <c r="B36" s="470">
        <v>1351</v>
      </c>
      <c r="C36" s="551"/>
      <c r="D36" s="468"/>
      <c r="E36" s="468"/>
      <c r="F36" s="468"/>
      <c r="G36" s="468"/>
      <c r="H36" s="468"/>
      <c r="I36" s="468"/>
      <c r="J36" s="468"/>
      <c r="K36" s="468"/>
    </row>
    <row r="37" spans="1:11" ht="13.15" customHeight="1">
      <c r="A37" s="463" t="s">
        <v>836</v>
      </c>
      <c r="B37" s="470">
        <v>1352</v>
      </c>
      <c r="C37" s="551"/>
      <c r="D37" s="468"/>
      <c r="E37" s="468"/>
      <c r="F37" s="468"/>
      <c r="G37" s="468"/>
      <c r="H37" s="468"/>
      <c r="I37" s="468"/>
      <c r="J37" s="468"/>
      <c r="K37" s="468"/>
    </row>
    <row r="38" spans="1:11" ht="13.15" customHeight="1">
      <c r="A38" s="463" t="s">
        <v>593</v>
      </c>
      <c r="B38" s="470">
        <v>1353</v>
      </c>
      <c r="C38" s="551"/>
      <c r="D38" s="468"/>
      <c r="E38" s="468"/>
      <c r="F38" s="468"/>
      <c r="G38" s="468"/>
      <c r="H38" s="468"/>
      <c r="I38" s="468"/>
      <c r="J38" s="468"/>
      <c r="K38" s="468"/>
    </row>
    <row r="39" spans="1:11" ht="13.15" customHeight="1">
      <c r="A39" s="1428" t="s">
        <v>594</v>
      </c>
      <c r="B39" s="556">
        <v>1354</v>
      </c>
      <c r="C39" s="489"/>
      <c r="D39" s="468"/>
      <c r="E39" s="468"/>
      <c r="F39" s="468"/>
      <c r="G39" s="468"/>
      <c r="H39" s="468"/>
      <c r="I39" s="468"/>
      <c r="J39" s="468"/>
      <c r="K39" s="468"/>
    </row>
    <row r="40" spans="1:11" ht="13.15" customHeight="1" thickBot="1">
      <c r="A40" s="1640" t="s">
        <v>538</v>
      </c>
      <c r="B40" s="1641"/>
      <c r="C40" s="1620">
        <f>SUM(C20:C39)</f>
        <v>0</v>
      </c>
      <c r="D40" s="468"/>
      <c r="E40" s="468"/>
      <c r="F40" s="468"/>
      <c r="G40" s="468"/>
      <c r="H40" s="468"/>
      <c r="I40" s="468"/>
      <c r="J40" s="468"/>
      <c r="K40" s="468"/>
    </row>
    <row r="41" spans="1:11" ht="15.75" customHeight="1" thickTop="1">
      <c r="A41" s="1525" t="s">
        <v>274</v>
      </c>
      <c r="B41" s="1526">
        <v>1400</v>
      </c>
      <c r="C41" s="468"/>
      <c r="D41" s="468"/>
      <c r="E41" s="468"/>
      <c r="F41" s="521"/>
      <c r="G41" s="468"/>
      <c r="H41" s="468"/>
      <c r="I41" s="468"/>
      <c r="J41" s="468"/>
      <c r="K41" s="468"/>
    </row>
    <row r="42" spans="1:11" ht="13.15" customHeight="1">
      <c r="A42" s="463" t="s">
        <v>1076</v>
      </c>
      <c r="B42" s="470">
        <v>1411</v>
      </c>
      <c r="C42" s="468"/>
      <c r="D42" s="468"/>
      <c r="E42" s="468"/>
      <c r="F42" s="481"/>
      <c r="G42" s="468"/>
      <c r="H42" s="468"/>
      <c r="I42" s="468"/>
      <c r="J42" s="468"/>
      <c r="K42" s="468"/>
    </row>
    <row r="43" spans="1:11" ht="13.15" customHeight="1">
      <c r="A43" s="463" t="s">
        <v>837</v>
      </c>
      <c r="B43" s="470">
        <v>1412</v>
      </c>
      <c r="C43" s="468"/>
      <c r="D43" s="468"/>
      <c r="E43" s="468"/>
      <c r="F43" s="466"/>
      <c r="G43" s="468"/>
      <c r="H43" s="468"/>
      <c r="I43" s="468"/>
      <c r="J43" s="468"/>
      <c r="K43" s="468"/>
    </row>
    <row r="44" spans="1:11" ht="13.15" customHeight="1">
      <c r="A44" s="463" t="s">
        <v>384</v>
      </c>
      <c r="B44" s="470">
        <v>1413</v>
      </c>
      <c r="C44" s="468"/>
      <c r="D44" s="468"/>
      <c r="E44" s="468"/>
      <c r="F44" s="466"/>
      <c r="G44" s="468"/>
      <c r="H44" s="468"/>
      <c r="I44" s="468"/>
      <c r="J44" s="468"/>
      <c r="K44" s="468"/>
    </row>
    <row r="45" spans="1:11" ht="13.15" customHeight="1">
      <c r="A45" s="463" t="s">
        <v>240</v>
      </c>
      <c r="B45" s="470">
        <v>1415</v>
      </c>
      <c r="C45" s="468"/>
      <c r="D45" s="468"/>
      <c r="E45" s="468"/>
      <c r="F45" s="466"/>
      <c r="G45" s="468"/>
      <c r="H45" s="468"/>
      <c r="I45" s="468"/>
      <c r="J45" s="468"/>
      <c r="K45" s="468"/>
    </row>
    <row r="46" spans="1:11" ht="13.15" customHeight="1">
      <c r="A46" s="463" t="s">
        <v>1174</v>
      </c>
      <c r="B46" s="470">
        <v>1416</v>
      </c>
      <c r="C46" s="468"/>
      <c r="D46" s="468"/>
      <c r="E46" s="468"/>
      <c r="F46" s="467"/>
      <c r="G46" s="468"/>
      <c r="H46" s="468"/>
      <c r="I46" s="468"/>
      <c r="J46" s="468"/>
      <c r="K46" s="468"/>
    </row>
    <row r="47" spans="1:11" ht="13.15" customHeight="1">
      <c r="A47" s="463" t="s">
        <v>57</v>
      </c>
      <c r="B47" s="470">
        <v>1421</v>
      </c>
      <c r="C47" s="468"/>
      <c r="D47" s="468"/>
      <c r="E47" s="468"/>
      <c r="F47" s="466"/>
      <c r="G47" s="468"/>
      <c r="H47" s="468"/>
      <c r="I47" s="468"/>
      <c r="J47" s="468"/>
      <c r="K47" s="468"/>
    </row>
    <row r="48" spans="1:11" ht="13.15" customHeight="1">
      <c r="A48" s="463" t="s">
        <v>838</v>
      </c>
      <c r="B48" s="470">
        <v>1422</v>
      </c>
      <c r="C48" s="468"/>
      <c r="D48" s="468"/>
      <c r="E48" s="468"/>
      <c r="F48" s="466"/>
      <c r="G48" s="468"/>
      <c r="H48" s="468"/>
      <c r="I48" s="468"/>
      <c r="J48" s="468"/>
      <c r="K48" s="468"/>
    </row>
    <row r="49" spans="1:11" ht="13.15" customHeight="1">
      <c r="A49" s="463" t="s">
        <v>58</v>
      </c>
      <c r="B49" s="470">
        <v>1423</v>
      </c>
      <c r="C49" s="468"/>
      <c r="D49" s="468"/>
      <c r="E49" s="468"/>
      <c r="F49" s="466"/>
      <c r="G49" s="468"/>
      <c r="H49" s="468"/>
      <c r="I49" s="468"/>
      <c r="J49" s="468"/>
      <c r="K49" s="468"/>
    </row>
    <row r="50" spans="1:11" ht="13.15" customHeight="1">
      <c r="A50" s="463" t="s">
        <v>59</v>
      </c>
      <c r="B50" s="470">
        <v>1424</v>
      </c>
      <c r="C50" s="468"/>
      <c r="D50" s="468"/>
      <c r="E50" s="468"/>
      <c r="F50" s="467"/>
      <c r="G50" s="468"/>
      <c r="H50" s="468"/>
      <c r="I50" s="468"/>
      <c r="J50" s="468"/>
      <c r="K50" s="468"/>
    </row>
    <row r="51" spans="1:11" ht="13.15" customHeight="1">
      <c r="A51" s="1429" t="s">
        <v>60</v>
      </c>
      <c r="B51" s="557">
        <v>1431</v>
      </c>
      <c r="C51" s="468"/>
      <c r="D51" s="468"/>
      <c r="E51" s="468"/>
      <c r="F51" s="466"/>
      <c r="G51" s="468"/>
      <c r="H51" s="468"/>
      <c r="I51" s="468"/>
      <c r="J51" s="468"/>
      <c r="K51" s="468"/>
    </row>
    <row r="52" spans="1:11" ht="13.15" customHeight="1">
      <c r="A52" s="1429" t="s">
        <v>1106</v>
      </c>
      <c r="B52" s="557">
        <v>1432</v>
      </c>
      <c r="C52" s="468"/>
      <c r="D52" s="468"/>
      <c r="E52" s="468"/>
      <c r="F52" s="466"/>
      <c r="G52" s="468"/>
      <c r="H52" s="468"/>
      <c r="I52" s="468"/>
      <c r="J52" s="468"/>
      <c r="K52" s="468"/>
    </row>
    <row r="53" spans="1:11" ht="13.15" customHeight="1">
      <c r="A53" s="1429" t="s">
        <v>61</v>
      </c>
      <c r="B53" s="557">
        <v>1433</v>
      </c>
      <c r="C53" s="468"/>
      <c r="D53" s="468"/>
      <c r="E53" s="468"/>
      <c r="F53" s="466"/>
      <c r="G53" s="468"/>
      <c r="H53" s="468"/>
      <c r="I53" s="468"/>
      <c r="J53" s="468"/>
      <c r="K53" s="468"/>
    </row>
    <row r="54" spans="1:11" ht="13.15" customHeight="1">
      <c r="A54" s="1429" t="s">
        <v>62</v>
      </c>
      <c r="B54" s="557">
        <v>1434</v>
      </c>
      <c r="C54" s="468"/>
      <c r="D54" s="468"/>
      <c r="E54" s="468"/>
      <c r="F54" s="467"/>
      <c r="G54" s="468"/>
      <c r="H54" s="468"/>
      <c r="I54" s="468"/>
      <c r="J54" s="468"/>
      <c r="K54" s="468"/>
    </row>
    <row r="55" spans="1:11" ht="13.15" customHeight="1">
      <c r="A55" s="1429" t="s">
        <v>63</v>
      </c>
      <c r="B55" s="557">
        <v>1441</v>
      </c>
      <c r="C55" s="468"/>
      <c r="D55" s="468"/>
      <c r="E55" s="468"/>
      <c r="F55" s="466"/>
      <c r="G55" s="468"/>
      <c r="H55" s="468"/>
      <c r="I55" s="468"/>
      <c r="J55" s="468"/>
      <c r="K55" s="468"/>
    </row>
    <row r="56" spans="1:11" ht="13.15" customHeight="1">
      <c r="A56" s="1429" t="s">
        <v>1107</v>
      </c>
      <c r="B56" s="557">
        <v>1442</v>
      </c>
      <c r="C56" s="468"/>
      <c r="D56" s="468"/>
      <c r="E56" s="468"/>
      <c r="F56" s="466"/>
      <c r="G56" s="468"/>
      <c r="H56" s="468"/>
      <c r="I56" s="468"/>
      <c r="J56" s="468"/>
      <c r="K56" s="468"/>
    </row>
    <row r="57" spans="1:11" ht="13.15" customHeight="1">
      <c r="A57" s="1429" t="s">
        <v>489</v>
      </c>
      <c r="B57" s="557">
        <v>1443</v>
      </c>
      <c r="C57" s="468"/>
      <c r="D57" s="468"/>
      <c r="E57" s="468"/>
      <c r="F57" s="466"/>
      <c r="G57" s="468"/>
      <c r="H57" s="468"/>
      <c r="I57" s="468"/>
      <c r="J57" s="468"/>
      <c r="K57" s="468"/>
    </row>
    <row r="58" spans="1:11" ht="13.15" customHeight="1">
      <c r="A58" s="1429" t="s">
        <v>65</v>
      </c>
      <c r="B58" s="557">
        <v>1444</v>
      </c>
      <c r="C58" s="468"/>
      <c r="D58" s="468"/>
      <c r="E58" s="468"/>
      <c r="F58" s="466"/>
      <c r="G58" s="468"/>
      <c r="H58" s="468"/>
      <c r="I58" s="468"/>
      <c r="J58" s="468"/>
      <c r="K58" s="468"/>
    </row>
    <row r="59" spans="1:11" ht="13.15" customHeight="1">
      <c r="A59" s="1429" t="s">
        <v>878</v>
      </c>
      <c r="B59" s="557">
        <v>1451</v>
      </c>
      <c r="C59" s="468"/>
      <c r="D59" s="468"/>
      <c r="E59" s="468"/>
      <c r="F59" s="466"/>
      <c r="G59" s="468"/>
      <c r="H59" s="468"/>
      <c r="I59" s="468"/>
      <c r="J59" s="468"/>
      <c r="K59" s="468"/>
    </row>
    <row r="60" spans="1:11" ht="13.15" customHeight="1">
      <c r="A60" s="1429" t="s">
        <v>1108</v>
      </c>
      <c r="B60" s="557">
        <v>1452</v>
      </c>
      <c r="C60" s="468"/>
      <c r="D60" s="468"/>
      <c r="E60" s="468"/>
      <c r="F60" s="466"/>
      <c r="G60" s="468"/>
      <c r="H60" s="468"/>
      <c r="I60" s="468"/>
      <c r="J60" s="468"/>
      <c r="K60" s="468"/>
    </row>
    <row r="61" spans="1:11" ht="13.15" customHeight="1">
      <c r="A61" s="563" t="s">
        <v>879</v>
      </c>
      <c r="B61" s="557">
        <v>1453</v>
      </c>
      <c r="C61" s="468"/>
      <c r="D61" s="468"/>
      <c r="E61" s="468"/>
      <c r="F61" s="466"/>
      <c r="G61" s="468"/>
      <c r="H61" s="468"/>
      <c r="I61" s="468"/>
      <c r="J61" s="468"/>
      <c r="K61" s="468"/>
    </row>
    <row r="62" spans="1:11" ht="13.15" customHeight="1">
      <c r="A62" s="1430" t="s">
        <v>880</v>
      </c>
      <c r="B62" s="558">
        <v>1454</v>
      </c>
      <c r="C62" s="468"/>
      <c r="D62" s="468"/>
      <c r="E62" s="468"/>
      <c r="F62" s="467"/>
      <c r="G62" s="468"/>
      <c r="H62" s="468"/>
      <c r="I62" s="468"/>
      <c r="J62" s="468"/>
      <c r="K62" s="468"/>
    </row>
    <row r="63" spans="1:11" ht="13.15" customHeight="1" thickBot="1">
      <c r="A63" s="1640" t="s">
        <v>485</v>
      </c>
      <c r="B63" s="1641"/>
      <c r="C63" s="468"/>
      <c r="D63" s="468"/>
      <c r="E63" s="468"/>
      <c r="F63" s="1620">
        <f>SUM(F42:F62)</f>
        <v>0</v>
      </c>
      <c r="G63" s="468"/>
      <c r="H63" s="468"/>
      <c r="I63" s="468"/>
      <c r="J63" s="468"/>
      <c r="K63" s="468"/>
    </row>
    <row r="64" spans="1:11" ht="15.75" customHeight="1" thickTop="1">
      <c r="A64" s="1525" t="s">
        <v>454</v>
      </c>
      <c r="B64" s="1526">
        <v>1500</v>
      </c>
      <c r="C64" s="468"/>
      <c r="D64" s="468"/>
      <c r="E64" s="468"/>
      <c r="F64" s="468"/>
      <c r="G64" s="468"/>
      <c r="H64" s="468"/>
      <c r="I64" s="468"/>
      <c r="J64" s="468"/>
      <c r="K64" s="468"/>
    </row>
    <row r="65" spans="1:11" ht="13.15" customHeight="1">
      <c r="A65" s="463" t="s">
        <v>547</v>
      </c>
      <c r="B65" s="470">
        <v>1510</v>
      </c>
      <c r="C65" s="466">
        <v>97019</v>
      </c>
      <c r="D65" s="466">
        <v>9845</v>
      </c>
      <c r="E65" s="466">
        <v>24457</v>
      </c>
      <c r="F65" s="467">
        <v>6818</v>
      </c>
      <c r="G65" s="466">
        <v>13344</v>
      </c>
      <c r="H65" s="466">
        <v>101917</v>
      </c>
      <c r="I65" s="466">
        <v>45896</v>
      </c>
      <c r="J65" s="467">
        <v>7011</v>
      </c>
      <c r="K65" s="466">
        <v>162974</v>
      </c>
    </row>
    <row r="66" spans="1:11" ht="13.15" customHeight="1">
      <c r="A66" s="463" t="s">
        <v>679</v>
      </c>
      <c r="B66" s="470">
        <v>1520</v>
      </c>
      <c r="C66" s="466"/>
      <c r="D66" s="466"/>
      <c r="E66" s="466"/>
      <c r="F66" s="466"/>
      <c r="G66" s="466"/>
      <c r="H66" s="466"/>
      <c r="I66" s="466"/>
      <c r="J66" s="467"/>
      <c r="K66" s="466"/>
    </row>
    <row r="67" spans="1:11" ht="13.15" customHeight="1" thickBot="1">
      <c r="A67" s="1640" t="s">
        <v>486</v>
      </c>
      <c r="B67" s="1641"/>
      <c r="C67" s="1620">
        <f>SUM(C65:C66)</f>
        <v>97019</v>
      </c>
      <c r="D67" s="1620">
        <f t="shared" ref="D67:K67" si="2">SUM(D65:D66)</f>
        <v>9845</v>
      </c>
      <c r="E67" s="1620">
        <f t="shared" si="2"/>
        <v>24457</v>
      </c>
      <c r="F67" s="1620">
        <f t="shared" si="2"/>
        <v>6818</v>
      </c>
      <c r="G67" s="1620">
        <f t="shared" si="2"/>
        <v>13344</v>
      </c>
      <c r="H67" s="1620">
        <f t="shared" si="2"/>
        <v>101917</v>
      </c>
      <c r="I67" s="1620">
        <f t="shared" si="2"/>
        <v>45896</v>
      </c>
      <c r="J67" s="1620">
        <f t="shared" si="2"/>
        <v>7011</v>
      </c>
      <c r="K67" s="1620">
        <f t="shared" si="2"/>
        <v>162974</v>
      </c>
    </row>
    <row r="68" spans="1:11" ht="15.75" customHeight="1" thickTop="1">
      <c r="A68" s="1525" t="s">
        <v>455</v>
      </c>
      <c r="B68" s="1527">
        <v>1600</v>
      </c>
      <c r="C68" s="553"/>
      <c r="D68" s="468"/>
      <c r="E68" s="468"/>
      <c r="F68" s="468"/>
      <c r="G68" s="468"/>
      <c r="H68" s="468"/>
      <c r="I68" s="468"/>
      <c r="J68" s="468"/>
      <c r="K68" s="468"/>
    </row>
    <row r="69" spans="1:11" ht="13.15" customHeight="1">
      <c r="A69" s="463" t="s">
        <v>666</v>
      </c>
      <c r="B69" s="470">
        <v>1611</v>
      </c>
      <c r="C69" s="466">
        <v>214088</v>
      </c>
      <c r="D69" s="468"/>
      <c r="E69" s="468"/>
      <c r="F69" s="468"/>
      <c r="G69" s="468"/>
      <c r="H69" s="468"/>
      <c r="I69" s="468"/>
      <c r="J69" s="468"/>
      <c r="K69" s="468"/>
    </row>
    <row r="70" spans="1:11" ht="13.15" customHeight="1">
      <c r="A70" s="463" t="s">
        <v>997</v>
      </c>
      <c r="B70" s="470">
        <v>1612</v>
      </c>
      <c r="C70" s="551"/>
      <c r="D70" s="468"/>
      <c r="E70" s="468"/>
      <c r="F70" s="468"/>
      <c r="G70" s="468"/>
      <c r="H70" s="468"/>
      <c r="I70" s="468"/>
      <c r="J70" s="468"/>
      <c r="K70" s="468"/>
    </row>
    <row r="71" spans="1:11" ht="13.15" customHeight="1">
      <c r="A71" s="463" t="s">
        <v>273</v>
      </c>
      <c r="B71" s="470">
        <v>1613</v>
      </c>
      <c r="C71" s="551"/>
      <c r="D71" s="468"/>
      <c r="E71" s="468"/>
      <c r="F71" s="468"/>
      <c r="G71" s="468"/>
      <c r="H71" s="468"/>
      <c r="I71" s="468"/>
      <c r="J71" s="468"/>
      <c r="K71" s="468"/>
    </row>
    <row r="72" spans="1:11" ht="13.15" customHeight="1">
      <c r="A72" s="463" t="s">
        <v>24</v>
      </c>
      <c r="B72" s="470">
        <v>1614</v>
      </c>
      <c r="C72" s="551"/>
      <c r="D72" s="468"/>
      <c r="E72" s="468"/>
      <c r="F72" s="468"/>
      <c r="G72" s="468"/>
      <c r="H72" s="468"/>
      <c r="I72" s="468"/>
      <c r="J72" s="468"/>
      <c r="K72" s="468"/>
    </row>
    <row r="73" spans="1:11" ht="13.15" customHeight="1">
      <c r="A73" s="463" t="s">
        <v>998</v>
      </c>
      <c r="B73" s="470">
        <v>1620</v>
      </c>
      <c r="C73" s="551"/>
      <c r="D73" s="468"/>
      <c r="E73" s="468"/>
      <c r="F73" s="468"/>
      <c r="G73" s="468"/>
      <c r="H73" s="468"/>
      <c r="I73" s="468"/>
      <c r="J73" s="468"/>
      <c r="K73" s="468"/>
    </row>
    <row r="74" spans="1:11" ht="13.15" customHeight="1">
      <c r="A74" s="463" t="s">
        <v>25</v>
      </c>
      <c r="B74" s="470">
        <v>1690</v>
      </c>
      <c r="C74" s="551">
        <v>14991</v>
      </c>
      <c r="D74" s="468"/>
      <c r="E74" s="468"/>
      <c r="F74" s="468"/>
      <c r="G74" s="468"/>
      <c r="H74" s="468"/>
      <c r="I74" s="468"/>
      <c r="J74" s="468"/>
      <c r="K74" s="468"/>
    </row>
    <row r="75" spans="1:11" ht="13.15" customHeight="1" thickBot="1">
      <c r="A75" s="1640" t="s">
        <v>548</v>
      </c>
      <c r="B75" s="1641"/>
      <c r="C75" s="1620">
        <f>SUM(C69:C74)</f>
        <v>229079</v>
      </c>
      <c r="D75" s="468"/>
      <c r="E75" s="468"/>
      <c r="F75" s="468"/>
      <c r="G75" s="468"/>
      <c r="H75" s="468"/>
      <c r="I75" s="468"/>
      <c r="J75" s="468"/>
      <c r="K75" s="468"/>
    </row>
    <row r="76" spans="1:11" ht="15.75" customHeight="1" thickTop="1">
      <c r="A76" s="1525" t="s">
        <v>881</v>
      </c>
      <c r="B76" s="1527">
        <v>1700</v>
      </c>
      <c r="C76" s="553"/>
      <c r="D76" s="468"/>
      <c r="E76" s="468"/>
      <c r="F76" s="468"/>
      <c r="G76" s="468"/>
      <c r="H76" s="468"/>
      <c r="I76" s="468"/>
      <c r="J76" s="468"/>
      <c r="K76" s="468"/>
    </row>
    <row r="77" spans="1:11" ht="13.15" customHeight="1">
      <c r="A77" s="463" t="s">
        <v>549</v>
      </c>
      <c r="B77" s="470">
        <v>1711</v>
      </c>
      <c r="C77" s="516">
        <v>61498</v>
      </c>
      <c r="D77" s="466"/>
      <c r="E77" s="468"/>
      <c r="F77" s="468"/>
      <c r="G77" s="468"/>
      <c r="H77" s="468"/>
      <c r="I77" s="468"/>
      <c r="J77" s="468"/>
      <c r="K77" s="468"/>
    </row>
    <row r="78" spans="1:11" ht="13.15" customHeight="1">
      <c r="A78" s="463" t="s">
        <v>76</v>
      </c>
      <c r="B78" s="470">
        <v>1719</v>
      </c>
      <c r="C78" s="551"/>
      <c r="D78" s="466"/>
      <c r="E78" s="468"/>
      <c r="F78" s="468"/>
      <c r="G78" s="468"/>
      <c r="H78" s="468"/>
      <c r="I78" s="468"/>
      <c r="J78" s="468"/>
      <c r="K78" s="468"/>
    </row>
    <row r="79" spans="1:11" ht="13.15" customHeight="1">
      <c r="A79" s="463" t="s">
        <v>550</v>
      </c>
      <c r="B79" s="470">
        <v>1720</v>
      </c>
      <c r="C79" s="551">
        <v>62720</v>
      </c>
      <c r="D79" s="466"/>
      <c r="E79" s="468"/>
      <c r="F79" s="468"/>
      <c r="G79" s="468"/>
      <c r="H79" s="468"/>
      <c r="I79" s="468"/>
      <c r="J79" s="468"/>
      <c r="K79" s="468"/>
    </row>
    <row r="80" spans="1:11" ht="13.15" customHeight="1">
      <c r="A80" s="463" t="s">
        <v>551</v>
      </c>
      <c r="B80" s="470">
        <v>1730</v>
      </c>
      <c r="C80" s="551"/>
      <c r="D80" s="466"/>
      <c r="E80" s="468"/>
      <c r="F80" s="468"/>
      <c r="G80" s="468"/>
      <c r="H80" s="468"/>
      <c r="I80" s="468"/>
      <c r="J80" s="468"/>
      <c r="K80" s="468"/>
    </row>
    <row r="81" spans="1:11" ht="13.15" customHeight="1">
      <c r="A81" s="463" t="s">
        <v>26</v>
      </c>
      <c r="B81" s="470">
        <v>1790</v>
      </c>
      <c r="C81" s="551"/>
      <c r="D81" s="466"/>
      <c r="E81" s="468"/>
      <c r="F81" s="468"/>
      <c r="G81" s="468"/>
      <c r="H81" s="468"/>
      <c r="I81" s="468"/>
      <c r="J81" s="468"/>
      <c r="K81" s="468"/>
    </row>
    <row r="82" spans="1:11" ht="13.15" customHeight="1" thickBot="1">
      <c r="A82" s="1640" t="s">
        <v>241</v>
      </c>
      <c r="B82" s="1641"/>
      <c r="C82" s="1639">
        <f>SUM(C77:C81)</f>
        <v>124218</v>
      </c>
      <c r="D82" s="1620">
        <f>SUM(D77:D81)</f>
        <v>0</v>
      </c>
      <c r="E82" s="468"/>
      <c r="F82" s="468"/>
      <c r="G82" s="468"/>
      <c r="H82" s="468"/>
      <c r="I82" s="468"/>
      <c r="J82" s="468"/>
      <c r="K82" s="468"/>
    </row>
    <row r="83" spans="1:11" ht="15.75" customHeight="1" thickTop="1">
      <c r="A83" s="1525" t="s">
        <v>242</v>
      </c>
      <c r="B83" s="1527">
        <v>1800</v>
      </c>
      <c r="C83" s="553"/>
      <c r="D83" s="468"/>
      <c r="E83" s="468"/>
      <c r="F83" s="468"/>
      <c r="G83" s="468"/>
      <c r="H83" s="468"/>
      <c r="I83" s="468"/>
      <c r="J83" s="468"/>
      <c r="K83" s="468"/>
    </row>
    <row r="84" spans="1:11" ht="13.15" customHeight="1">
      <c r="A84" s="463" t="s">
        <v>552</v>
      </c>
      <c r="B84" s="470">
        <v>1811</v>
      </c>
      <c r="C84" s="466">
        <v>139673</v>
      </c>
      <c r="D84" s="468"/>
      <c r="E84" s="468"/>
      <c r="F84" s="468"/>
      <c r="G84" s="468"/>
      <c r="H84" s="468"/>
      <c r="I84" s="468"/>
      <c r="J84" s="468"/>
      <c r="K84" s="468"/>
    </row>
    <row r="85" spans="1:11" ht="13.15" customHeight="1">
      <c r="A85" s="463" t="s">
        <v>553</v>
      </c>
      <c r="B85" s="470">
        <v>1812</v>
      </c>
      <c r="C85" s="551"/>
      <c r="D85" s="468"/>
      <c r="E85" s="468"/>
      <c r="F85" s="468"/>
      <c r="G85" s="468"/>
      <c r="H85" s="468"/>
      <c r="I85" s="468"/>
      <c r="J85" s="468"/>
      <c r="K85" s="468"/>
    </row>
    <row r="86" spans="1:11" ht="13.15" customHeight="1">
      <c r="A86" s="463" t="s">
        <v>999</v>
      </c>
      <c r="B86" s="470">
        <v>1813</v>
      </c>
      <c r="C86" s="551"/>
      <c r="D86" s="468"/>
      <c r="E86" s="468"/>
      <c r="F86" s="468"/>
      <c r="G86" s="468"/>
      <c r="H86" s="468"/>
      <c r="I86" s="468"/>
      <c r="J86" s="468"/>
      <c r="K86" s="468"/>
    </row>
    <row r="87" spans="1:11" ht="13.15" customHeight="1">
      <c r="A87" s="463" t="s">
        <v>77</v>
      </c>
      <c r="B87" s="470">
        <v>1819</v>
      </c>
      <c r="C87" s="551"/>
      <c r="D87" s="468"/>
      <c r="E87" s="468"/>
      <c r="F87" s="468"/>
      <c r="G87" s="468"/>
      <c r="H87" s="468"/>
      <c r="I87" s="468"/>
      <c r="J87" s="468"/>
      <c r="K87" s="468"/>
    </row>
    <row r="88" spans="1:11" ht="13.15" customHeight="1">
      <c r="A88" s="463" t="s">
        <v>554</v>
      </c>
      <c r="B88" s="470">
        <v>1821</v>
      </c>
      <c r="C88" s="551"/>
      <c r="D88" s="468"/>
      <c r="E88" s="468"/>
      <c r="F88" s="468"/>
      <c r="G88" s="468"/>
      <c r="H88" s="468"/>
      <c r="I88" s="468"/>
      <c r="J88" s="468"/>
      <c r="K88" s="468"/>
    </row>
    <row r="89" spans="1:11" ht="13.15" customHeight="1">
      <c r="A89" s="463" t="s">
        <v>714</v>
      </c>
      <c r="B89" s="470">
        <v>1822</v>
      </c>
      <c r="C89" s="551"/>
      <c r="D89" s="468"/>
      <c r="E89" s="468"/>
      <c r="F89" s="468"/>
      <c r="G89" s="468"/>
      <c r="H89" s="468"/>
      <c r="I89" s="468"/>
      <c r="J89" s="468"/>
      <c r="K89" s="468"/>
    </row>
    <row r="90" spans="1:11" ht="13.15" customHeight="1">
      <c r="A90" s="463" t="s">
        <v>139</v>
      </c>
      <c r="B90" s="470">
        <v>1823</v>
      </c>
      <c r="C90" s="551"/>
      <c r="D90" s="468"/>
      <c r="E90" s="468"/>
      <c r="F90" s="468"/>
      <c r="G90" s="468"/>
      <c r="H90" s="468"/>
      <c r="I90" s="468"/>
      <c r="J90" s="468"/>
      <c r="K90" s="468"/>
    </row>
    <row r="91" spans="1:11" ht="13.15" customHeight="1">
      <c r="A91" s="463" t="s">
        <v>27</v>
      </c>
      <c r="B91" s="470">
        <v>1829</v>
      </c>
      <c r="C91" s="551"/>
      <c r="D91" s="468"/>
      <c r="E91" s="468"/>
      <c r="F91" s="468"/>
      <c r="G91" s="468"/>
      <c r="H91" s="468"/>
      <c r="I91" s="468"/>
      <c r="J91" s="468"/>
      <c r="K91" s="468"/>
    </row>
    <row r="92" spans="1:11" ht="13.15" customHeight="1">
      <c r="A92" s="463" t="s">
        <v>762</v>
      </c>
      <c r="B92" s="470">
        <v>1890</v>
      </c>
      <c r="C92" s="551"/>
      <c r="D92" s="468"/>
      <c r="E92" s="468"/>
      <c r="F92" s="468"/>
      <c r="G92" s="468"/>
      <c r="H92" s="468"/>
      <c r="I92" s="468"/>
      <c r="J92" s="468"/>
      <c r="K92" s="468"/>
    </row>
    <row r="93" spans="1:11" ht="13.15" customHeight="1" thickBot="1">
      <c r="A93" s="1640" t="s">
        <v>243</v>
      </c>
      <c r="B93" s="1641"/>
      <c r="C93" s="1620">
        <f>SUM(C84:C92)</f>
        <v>139673</v>
      </c>
      <c r="D93" s="468"/>
      <c r="E93" s="468"/>
      <c r="F93" s="468"/>
      <c r="G93" s="468"/>
      <c r="H93" s="468"/>
      <c r="I93" s="468"/>
      <c r="J93" s="468"/>
      <c r="K93" s="468"/>
    </row>
    <row r="94" spans="1:11" ht="15.75" customHeight="1" thickTop="1">
      <c r="A94" s="1525" t="s">
        <v>1137</v>
      </c>
      <c r="B94" s="1527">
        <v>1900</v>
      </c>
      <c r="C94" s="553"/>
      <c r="D94" s="521"/>
      <c r="E94" s="468"/>
      <c r="F94" s="468"/>
      <c r="G94" s="468"/>
      <c r="H94" s="468"/>
      <c r="I94" s="468"/>
      <c r="J94" s="468"/>
      <c r="K94" s="468"/>
    </row>
    <row r="95" spans="1:11" ht="13.15" customHeight="1">
      <c r="A95" s="463" t="s">
        <v>1064</v>
      </c>
      <c r="B95" s="470">
        <v>1910</v>
      </c>
      <c r="C95" s="466"/>
      <c r="D95" s="551">
        <v>104439</v>
      </c>
      <c r="E95" s="521"/>
      <c r="F95" s="521"/>
      <c r="G95" s="521"/>
      <c r="H95" s="521"/>
      <c r="I95" s="521"/>
      <c r="J95" s="521"/>
      <c r="K95" s="521"/>
    </row>
    <row r="96" spans="1:11" ht="13.15" customHeight="1">
      <c r="A96" s="463" t="s">
        <v>391</v>
      </c>
      <c r="B96" s="470">
        <v>1920</v>
      </c>
      <c r="C96" s="551">
        <v>39738</v>
      </c>
      <c r="D96" s="551"/>
      <c r="E96" s="479"/>
      <c r="F96" s="478"/>
      <c r="G96" s="478"/>
      <c r="H96" s="478"/>
      <c r="I96" s="478"/>
      <c r="J96" s="478"/>
      <c r="K96" s="478"/>
    </row>
    <row r="97" spans="1:12" ht="13.15" customHeight="1">
      <c r="A97" s="1428" t="s">
        <v>244</v>
      </c>
      <c r="B97" s="559">
        <v>1930</v>
      </c>
      <c r="C97" s="489"/>
      <c r="D97" s="467"/>
      <c r="E97" s="474"/>
      <c r="F97" s="467"/>
      <c r="G97" s="467"/>
      <c r="H97" s="467"/>
      <c r="I97" s="467"/>
      <c r="J97" s="467"/>
      <c r="K97" s="467"/>
    </row>
    <row r="98" spans="1:12" ht="13.15" customHeight="1">
      <c r="A98" s="463" t="s">
        <v>189</v>
      </c>
      <c r="B98" s="470">
        <v>1940</v>
      </c>
      <c r="C98" s="489">
        <v>27546</v>
      </c>
      <c r="D98" s="466"/>
      <c r="E98" s="512"/>
      <c r="F98" s="466"/>
      <c r="G98" s="512"/>
      <c r="H98" s="512"/>
      <c r="I98" s="510"/>
      <c r="J98" s="512"/>
      <c r="K98" s="512"/>
    </row>
    <row r="99" spans="1:12" ht="13.15" customHeight="1">
      <c r="A99" s="463" t="s">
        <v>821</v>
      </c>
      <c r="B99" s="470">
        <v>1950</v>
      </c>
      <c r="C99" s="489"/>
      <c r="D99" s="466"/>
      <c r="E99" s="466"/>
      <c r="F99" s="466"/>
      <c r="G99" s="466"/>
      <c r="H99" s="466"/>
      <c r="I99" s="468"/>
      <c r="J99" s="467"/>
      <c r="K99" s="466"/>
    </row>
    <row r="100" spans="1:12" ht="13.15" customHeight="1">
      <c r="A100" s="463" t="s">
        <v>245</v>
      </c>
      <c r="B100" s="470">
        <v>1960</v>
      </c>
      <c r="C100" s="489"/>
      <c r="D100" s="489"/>
      <c r="E100" s="489"/>
      <c r="F100" s="489"/>
      <c r="G100" s="489"/>
      <c r="H100" s="489"/>
      <c r="I100" s="467"/>
      <c r="J100" s="489"/>
      <c r="K100" s="467"/>
    </row>
    <row r="101" spans="1:12" ht="13.15" customHeight="1">
      <c r="A101" s="463" t="s">
        <v>246</v>
      </c>
      <c r="B101" s="470">
        <v>1970</v>
      </c>
      <c r="C101" s="489">
        <v>13623</v>
      </c>
      <c r="D101" s="526"/>
      <c r="E101" s="480"/>
      <c r="F101" s="526"/>
      <c r="G101" s="475"/>
      <c r="H101" s="526"/>
      <c r="I101" s="468"/>
      <c r="J101" s="475"/>
      <c r="K101" s="475"/>
    </row>
    <row r="102" spans="1:12" ht="13.15" customHeight="1">
      <c r="A102" s="463" t="s">
        <v>247</v>
      </c>
      <c r="B102" s="470">
        <v>1980</v>
      </c>
      <c r="C102" s="489"/>
      <c r="D102" s="489"/>
      <c r="E102" s="489"/>
      <c r="F102" s="489"/>
      <c r="G102" s="489"/>
      <c r="H102" s="489"/>
      <c r="I102" s="467"/>
      <c r="J102" s="489"/>
      <c r="K102" s="467"/>
    </row>
    <row r="103" spans="1:12" ht="13.15" customHeight="1">
      <c r="A103" s="463" t="s">
        <v>345</v>
      </c>
      <c r="B103" s="470">
        <v>1983</v>
      </c>
      <c r="C103" s="468"/>
      <c r="D103" s="468"/>
      <c r="E103" s="560">
        <v>601912</v>
      </c>
      <c r="F103" s="468"/>
      <c r="G103" s="468"/>
      <c r="H103" s="489">
        <v>769260</v>
      </c>
      <c r="I103" s="468"/>
      <c r="J103" s="510"/>
      <c r="K103" s="510"/>
    </row>
    <row r="104" spans="1:12" ht="13.15" customHeight="1">
      <c r="A104" s="463" t="s">
        <v>830</v>
      </c>
      <c r="B104" s="470">
        <v>1991</v>
      </c>
      <c r="C104" s="489"/>
      <c r="D104" s="466"/>
      <c r="E104" s="481"/>
      <c r="F104" s="467"/>
      <c r="G104" s="467"/>
      <c r="H104" s="466"/>
      <c r="I104" s="468"/>
      <c r="J104" s="468"/>
      <c r="K104" s="468"/>
    </row>
    <row r="105" spans="1:12" ht="13.15" customHeight="1">
      <c r="A105" s="463" t="s">
        <v>822</v>
      </c>
      <c r="B105" s="470">
        <v>1992</v>
      </c>
      <c r="C105" s="466"/>
      <c r="D105" s="561"/>
      <c r="E105" s="468"/>
      <c r="F105" s="468"/>
      <c r="G105" s="468"/>
      <c r="H105" s="510"/>
      <c r="I105" s="468"/>
      <c r="J105" s="468"/>
      <c r="K105" s="468"/>
    </row>
    <row r="106" spans="1:12" ht="13.15" customHeight="1">
      <c r="A106" s="463" t="s">
        <v>1409</v>
      </c>
      <c r="B106" s="470">
        <v>1993</v>
      </c>
      <c r="C106" s="466"/>
      <c r="D106" s="489"/>
      <c r="E106" s="467"/>
      <c r="F106" s="467"/>
      <c r="G106" s="467"/>
      <c r="H106" s="467"/>
      <c r="I106" s="521"/>
      <c r="J106" s="467"/>
      <c r="K106" s="467"/>
    </row>
    <row r="107" spans="1:12" ht="13.15" customHeight="1">
      <c r="A107" s="463" t="s">
        <v>78</v>
      </c>
      <c r="B107" s="470">
        <v>1999</v>
      </c>
      <c r="C107" s="551">
        <v>108311</v>
      </c>
      <c r="D107" s="466">
        <v>100639</v>
      </c>
      <c r="E107" s="466"/>
      <c r="F107" s="466"/>
      <c r="G107" s="466"/>
      <c r="H107" s="466">
        <v>83558</v>
      </c>
      <c r="I107" s="466"/>
      <c r="J107" s="467"/>
      <c r="K107" s="466"/>
    </row>
    <row r="108" spans="1:12" ht="13.15" customHeight="1" thickBot="1">
      <c r="A108" s="1640" t="s">
        <v>487</v>
      </c>
      <c r="B108" s="1644"/>
      <c r="C108" s="1639">
        <f>SUM(C95:C107)</f>
        <v>189218</v>
      </c>
      <c r="D108" s="1639">
        <f t="shared" ref="D108:K108" si="3">SUM(D95:D107)</f>
        <v>205078</v>
      </c>
      <c r="E108" s="1639">
        <f t="shared" si="3"/>
        <v>601912</v>
      </c>
      <c r="F108" s="1639">
        <f t="shared" si="3"/>
        <v>0</v>
      </c>
      <c r="G108" s="1639">
        <f t="shared" si="3"/>
        <v>0</v>
      </c>
      <c r="H108" s="1639">
        <f t="shared" si="3"/>
        <v>852818</v>
      </c>
      <c r="I108" s="1639">
        <f t="shared" si="3"/>
        <v>0</v>
      </c>
      <c r="J108" s="1639">
        <f t="shared" si="3"/>
        <v>0</v>
      </c>
      <c r="K108" s="1620">
        <f t="shared" si="3"/>
        <v>0</v>
      </c>
    </row>
    <row r="109" spans="1:12" ht="14.25" thickTop="1" thickBot="1">
      <c r="A109" s="1645" t="s">
        <v>248</v>
      </c>
      <c r="B109" s="1646" t="s">
        <v>570</v>
      </c>
      <c r="C109" s="1647">
        <f t="shared" ref="C109:K109" si="4">SUM(C12,C18,C40,C63,C67,C75,C82,C93,C108,)</f>
        <v>13439250</v>
      </c>
      <c r="D109" s="1647">
        <f t="shared" si="4"/>
        <v>2132779</v>
      </c>
      <c r="E109" s="1647">
        <f t="shared" si="4"/>
        <v>2653345</v>
      </c>
      <c r="F109" s="1647">
        <f t="shared" si="4"/>
        <v>725959</v>
      </c>
      <c r="G109" s="1647">
        <f t="shared" si="4"/>
        <v>735072</v>
      </c>
      <c r="H109" s="1647">
        <f t="shared" si="4"/>
        <v>954735</v>
      </c>
      <c r="I109" s="1647">
        <f t="shared" si="4"/>
        <v>225684</v>
      </c>
      <c r="J109" s="1647">
        <f t="shared" si="4"/>
        <v>1194587</v>
      </c>
      <c r="K109" s="1634">
        <f t="shared" si="4"/>
        <v>342762</v>
      </c>
    </row>
    <row r="110" spans="1:12" ht="30" customHeight="1" thickTop="1">
      <c r="A110" s="1518" t="s">
        <v>346</v>
      </c>
      <c r="B110" s="1519"/>
      <c r="C110" s="1504"/>
      <c r="D110" s="1504"/>
      <c r="E110" s="1504"/>
      <c r="F110" s="1504"/>
      <c r="G110" s="1504"/>
      <c r="H110" s="1504"/>
      <c r="I110" s="1504"/>
      <c r="J110" s="1504"/>
      <c r="K110" s="1505"/>
    </row>
    <row r="111" spans="1:12" ht="13.15" customHeight="1">
      <c r="A111" s="493" t="s">
        <v>823</v>
      </c>
      <c r="B111" s="491">
        <v>2100</v>
      </c>
      <c r="C111" s="516"/>
      <c r="D111" s="481"/>
      <c r="E111" s="561"/>
      <c r="F111" s="481"/>
      <c r="G111" s="481"/>
      <c r="H111" s="561"/>
      <c r="I111" s="468"/>
      <c r="J111" s="468"/>
      <c r="K111" s="468"/>
    </row>
    <row r="112" spans="1:12" ht="13.15" customHeight="1">
      <c r="A112" s="463" t="s">
        <v>824</v>
      </c>
      <c r="B112" s="470">
        <v>2200</v>
      </c>
      <c r="C112" s="551"/>
      <c r="D112" s="466"/>
      <c r="E112" s="561"/>
      <c r="F112" s="466"/>
      <c r="G112" s="466"/>
      <c r="H112" s="561"/>
      <c r="I112" s="468"/>
      <c r="J112" s="468"/>
      <c r="K112" s="468"/>
      <c r="L112" s="552"/>
    </row>
    <row r="113" spans="1:11" ht="13.15" customHeight="1">
      <c r="A113" s="463" t="s">
        <v>28</v>
      </c>
      <c r="B113" s="470">
        <v>2300</v>
      </c>
      <c r="C113" s="551"/>
      <c r="D113" s="466"/>
      <c r="E113" s="561"/>
      <c r="F113" s="466"/>
      <c r="G113" s="466"/>
      <c r="H113" s="561"/>
      <c r="I113" s="468"/>
      <c r="J113" s="468"/>
      <c r="K113" s="468"/>
    </row>
    <row r="114" spans="1:11" ht="13.5" thickBot="1">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c r="A115" s="1520" t="s">
        <v>803</v>
      </c>
      <c r="B115" s="1521"/>
      <c r="C115" s="1503"/>
      <c r="D115" s="1504"/>
      <c r="E115" s="1504"/>
      <c r="F115" s="1504"/>
      <c r="G115" s="1504"/>
      <c r="H115" s="1504"/>
      <c r="I115" s="1504"/>
      <c r="J115" s="1504"/>
      <c r="K115" s="1505"/>
    </row>
    <row r="116" spans="1:11" ht="18" customHeight="1">
      <c r="A116" s="1528" t="s">
        <v>1470</v>
      </c>
      <c r="B116" s="1529"/>
      <c r="C116" s="522"/>
      <c r="D116" s="521"/>
      <c r="E116" s="561"/>
      <c r="F116" s="521"/>
      <c r="G116" s="521"/>
      <c r="H116" s="561"/>
      <c r="I116" s="468"/>
      <c r="J116" s="521"/>
      <c r="K116" s="521"/>
    </row>
    <row r="117" spans="1:11" ht="13.15" customHeight="1">
      <c r="A117" s="463" t="s">
        <v>1640</v>
      </c>
      <c r="B117" s="562">
        <v>3001</v>
      </c>
      <c r="C117" s="516">
        <v>5679916</v>
      </c>
      <c r="D117" s="481"/>
      <c r="E117" s="466"/>
      <c r="F117" s="481"/>
      <c r="G117" s="481"/>
      <c r="H117" s="466"/>
      <c r="I117" s="468"/>
      <c r="J117" s="467"/>
      <c r="K117" s="466"/>
    </row>
    <row r="118" spans="1:11" ht="13.15" customHeight="1">
      <c r="A118" s="463" t="s">
        <v>1761</v>
      </c>
      <c r="B118" s="562">
        <v>3002</v>
      </c>
      <c r="C118" s="551"/>
      <c r="D118" s="466"/>
      <c r="E118" s="466"/>
      <c r="F118" s="466"/>
      <c r="G118" s="466"/>
      <c r="H118" s="466"/>
      <c r="I118" s="468"/>
      <c r="J118" s="467"/>
      <c r="K118" s="466"/>
    </row>
    <row r="119" spans="1:11" ht="13.15" customHeight="1">
      <c r="A119" s="463" t="s">
        <v>1762</v>
      </c>
      <c r="B119" s="562">
        <v>3005</v>
      </c>
      <c r="C119" s="551"/>
      <c r="D119" s="466"/>
      <c r="E119" s="466"/>
      <c r="F119" s="466"/>
      <c r="G119" s="466"/>
      <c r="H119" s="466"/>
      <c r="I119" s="468"/>
      <c r="J119" s="467"/>
      <c r="K119" s="466"/>
    </row>
    <row r="120" spans="1:11" ht="13.15" customHeight="1">
      <c r="A120" s="1863" t="s">
        <v>1896</v>
      </c>
      <c r="B120" s="562">
        <v>3030</v>
      </c>
      <c r="C120" s="551"/>
      <c r="D120" s="466"/>
      <c r="E120" s="466"/>
      <c r="F120" s="466"/>
      <c r="G120" s="466"/>
      <c r="H120" s="466"/>
      <c r="I120" s="468"/>
      <c r="J120" s="467"/>
      <c r="K120" s="466"/>
    </row>
    <row r="121" spans="1:11">
      <c r="A121" s="1429" t="s">
        <v>1763</v>
      </c>
      <c r="B121" s="564">
        <v>3099</v>
      </c>
      <c r="C121" s="551"/>
      <c r="D121" s="466"/>
      <c r="E121" s="466"/>
      <c r="F121" s="466"/>
      <c r="G121" s="466"/>
      <c r="H121" s="466"/>
      <c r="I121" s="468"/>
      <c r="J121" s="467"/>
      <c r="K121" s="466"/>
    </row>
    <row r="122" spans="1:11" ht="12.95" customHeight="1" thickBot="1">
      <c r="A122" s="1640" t="s">
        <v>488</v>
      </c>
      <c r="B122" s="1651"/>
      <c r="C122" s="1639">
        <f t="shared" ref="C122:H122" si="5">SUM(C117:C121)</f>
        <v>5679916</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c r="A123" s="1525" t="s">
        <v>1469</v>
      </c>
      <c r="B123" s="1530"/>
      <c r="C123" s="565"/>
      <c r="D123" s="509"/>
      <c r="E123" s="468"/>
      <c r="F123" s="566"/>
      <c r="G123" s="468"/>
      <c r="H123" s="468"/>
      <c r="I123" s="468"/>
      <c r="J123" s="468"/>
      <c r="K123" s="468"/>
    </row>
    <row r="124" spans="1:11" ht="15" customHeight="1">
      <c r="A124" s="1531" t="s">
        <v>667</v>
      </c>
      <c r="B124" s="1532"/>
      <c r="C124" s="521"/>
      <c r="D124" s="509"/>
      <c r="E124" s="468"/>
      <c r="F124" s="521"/>
      <c r="G124" s="468"/>
      <c r="H124" s="468"/>
      <c r="I124" s="468"/>
      <c r="J124" s="468"/>
      <c r="K124" s="468"/>
    </row>
    <row r="125" spans="1:11" ht="13.15" customHeight="1">
      <c r="A125" s="463" t="s">
        <v>866</v>
      </c>
      <c r="B125" s="567">
        <v>3100</v>
      </c>
      <c r="C125" s="481">
        <v>208297</v>
      </c>
      <c r="D125" s="561"/>
      <c r="E125" s="468"/>
      <c r="F125" s="548"/>
      <c r="G125" s="468"/>
      <c r="H125" s="468"/>
      <c r="I125" s="468"/>
      <c r="J125" s="468"/>
      <c r="K125" s="468"/>
    </row>
    <row r="126" spans="1:11" ht="13.15" customHeight="1">
      <c r="A126" s="463" t="s">
        <v>1425</v>
      </c>
      <c r="B126" s="562">
        <v>3105</v>
      </c>
      <c r="C126" s="466"/>
      <c r="D126" s="561"/>
      <c r="E126" s="468"/>
      <c r="F126" s="466"/>
      <c r="G126" s="468"/>
      <c r="H126" s="468"/>
      <c r="I126" s="468"/>
      <c r="J126" s="468"/>
      <c r="K126" s="468"/>
    </row>
    <row r="127" spans="1:11" ht="13.15" customHeight="1">
      <c r="A127" s="463" t="s">
        <v>867</v>
      </c>
      <c r="B127" s="562">
        <v>3110</v>
      </c>
      <c r="C127" s="551"/>
      <c r="D127" s="466"/>
      <c r="E127" s="468"/>
      <c r="F127" s="466"/>
      <c r="G127" s="468"/>
      <c r="H127" s="468"/>
      <c r="I127" s="468"/>
      <c r="J127" s="468"/>
      <c r="K127" s="468"/>
    </row>
    <row r="128" spans="1:11" ht="13.15" customHeight="1">
      <c r="A128" s="463" t="s">
        <v>105</v>
      </c>
      <c r="B128" s="562">
        <v>3120</v>
      </c>
      <c r="C128" s="466">
        <v>24950</v>
      </c>
      <c r="D128" s="561"/>
      <c r="E128" s="468"/>
      <c r="F128" s="466"/>
      <c r="G128" s="468"/>
      <c r="H128" s="468"/>
      <c r="I128" s="468"/>
      <c r="J128" s="468"/>
      <c r="K128" s="468"/>
    </row>
    <row r="129" spans="1:11" ht="13.15" customHeight="1">
      <c r="A129" s="463" t="s">
        <v>1426</v>
      </c>
      <c r="B129" s="562">
        <v>3130</v>
      </c>
      <c r="C129" s="466"/>
      <c r="D129" s="561"/>
      <c r="E129" s="468"/>
      <c r="F129" s="466"/>
      <c r="G129" s="468"/>
      <c r="H129" s="468"/>
      <c r="I129" s="468"/>
      <c r="J129" s="468"/>
      <c r="K129" s="468"/>
    </row>
    <row r="130" spans="1:11" ht="13.15" customHeight="1">
      <c r="A130" s="463" t="s">
        <v>137</v>
      </c>
      <c r="B130" s="562">
        <v>3145</v>
      </c>
      <c r="C130" s="466"/>
      <c r="D130" s="561"/>
      <c r="E130" s="468"/>
      <c r="F130" s="466"/>
      <c r="G130" s="468"/>
      <c r="H130" s="468"/>
      <c r="I130" s="468"/>
      <c r="J130" s="468"/>
      <c r="K130" s="468"/>
    </row>
    <row r="131" spans="1:11" ht="13.15" customHeight="1">
      <c r="A131" s="463" t="s">
        <v>66</v>
      </c>
      <c r="B131" s="562">
        <v>3199</v>
      </c>
      <c r="C131" s="551"/>
      <c r="D131" s="467"/>
      <c r="E131" s="468"/>
      <c r="F131" s="466"/>
      <c r="G131" s="468"/>
      <c r="H131" s="468"/>
      <c r="I131" s="468"/>
      <c r="J131" s="468"/>
      <c r="K131" s="468"/>
    </row>
    <row r="132" spans="1:11" ht="13.15" customHeight="1" thickBot="1">
      <c r="A132" s="1640" t="s">
        <v>1032</v>
      </c>
      <c r="B132" s="1652"/>
      <c r="C132" s="1639">
        <f>SUM(C125:C131)</f>
        <v>233247</v>
      </c>
      <c r="D132" s="1639">
        <f>SUM(D125:D131)</f>
        <v>0</v>
      </c>
      <c r="E132" s="469" t="s">
        <v>1169</v>
      </c>
      <c r="F132" s="1639">
        <f>SUM(F125:F131)</f>
        <v>0</v>
      </c>
      <c r="G132" s="468" t="s">
        <v>1169</v>
      </c>
      <c r="H132" s="468" t="s">
        <v>1169</v>
      </c>
      <c r="I132" s="468" t="s">
        <v>1169</v>
      </c>
      <c r="J132" s="468" t="s">
        <v>1169</v>
      </c>
      <c r="K132" s="468" t="s">
        <v>1169</v>
      </c>
    </row>
    <row r="133" spans="1:11" ht="15.75" customHeight="1" thickTop="1">
      <c r="A133" s="1533" t="s">
        <v>250</v>
      </c>
      <c r="B133" s="1534"/>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3.15" customHeight="1">
      <c r="A135" s="463" t="s">
        <v>669</v>
      </c>
      <c r="B135" s="562">
        <v>3220</v>
      </c>
      <c r="C135" s="551"/>
      <c r="D135" s="466"/>
      <c r="E135" s="561"/>
      <c r="F135" s="468"/>
      <c r="G135" s="467"/>
      <c r="H135" s="468"/>
      <c r="I135" s="468"/>
      <c r="J135" s="468"/>
      <c r="K135" s="468"/>
    </row>
    <row r="136" spans="1:11" ht="13.15" customHeight="1">
      <c r="A136" s="463" t="s">
        <v>249</v>
      </c>
      <c r="B136" s="562">
        <v>3225</v>
      </c>
      <c r="C136" s="551"/>
      <c r="D136" s="466"/>
      <c r="E136" s="561"/>
      <c r="F136" s="468"/>
      <c r="G136" s="467"/>
      <c r="H136" s="468"/>
      <c r="I136" s="468"/>
      <c r="J136" s="468"/>
      <c r="K136" s="468"/>
    </row>
    <row r="137" spans="1:11" ht="13.15" customHeight="1">
      <c r="A137" s="463" t="s">
        <v>600</v>
      </c>
      <c r="B137" s="562">
        <v>3235</v>
      </c>
      <c r="C137" s="489"/>
      <c r="D137" s="467"/>
      <c r="E137" s="561"/>
      <c r="F137" s="468"/>
      <c r="G137" s="467"/>
      <c r="H137" s="468"/>
      <c r="I137" s="468"/>
      <c r="J137" s="468"/>
      <c r="K137" s="468"/>
    </row>
    <row r="138" spans="1:11" ht="13.15" customHeight="1">
      <c r="A138" s="463" t="s">
        <v>601</v>
      </c>
      <c r="B138" s="562">
        <v>3240</v>
      </c>
      <c r="C138" s="489"/>
      <c r="D138" s="467"/>
      <c r="E138" s="561"/>
      <c r="F138" s="468"/>
      <c r="G138" s="467"/>
      <c r="H138" s="468"/>
      <c r="I138" s="468"/>
      <c r="J138" s="468"/>
      <c r="K138" s="468"/>
    </row>
    <row r="139" spans="1:11" ht="13.15" customHeight="1">
      <c r="A139" s="463" t="s">
        <v>602</v>
      </c>
      <c r="B139" s="562">
        <v>3270</v>
      </c>
      <c r="C139" s="489"/>
      <c r="D139" s="467"/>
      <c r="E139" s="561"/>
      <c r="F139" s="468"/>
      <c r="G139" s="467"/>
      <c r="H139" s="468"/>
      <c r="I139" s="468"/>
      <c r="J139" s="468"/>
      <c r="K139" s="468"/>
    </row>
    <row r="140" spans="1:11" ht="13.15" customHeight="1">
      <c r="A140" s="463" t="s">
        <v>67</v>
      </c>
      <c r="B140" s="562">
        <v>3299</v>
      </c>
      <c r="C140" s="551"/>
      <c r="D140" s="466"/>
      <c r="E140" s="561"/>
      <c r="F140" s="477"/>
      <c r="G140" s="467"/>
      <c r="H140" s="468"/>
      <c r="I140" s="468"/>
      <c r="J140" s="468"/>
      <c r="K140" s="468"/>
    </row>
    <row r="141" spans="1:11" ht="13.15" customHeight="1" thickBot="1">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c r="A142" s="1533" t="s">
        <v>670</v>
      </c>
      <c r="B142" s="1534"/>
      <c r="C142" s="553"/>
      <c r="D142" s="566"/>
      <c r="E142" s="561"/>
      <c r="F142" s="553"/>
      <c r="G142" s="553"/>
      <c r="H142" s="468"/>
      <c r="I142" s="468"/>
      <c r="J142" s="468"/>
      <c r="K142" s="468"/>
    </row>
    <row r="143" spans="1:11" ht="13.15" customHeight="1">
      <c r="A143" s="463" t="s">
        <v>604</v>
      </c>
      <c r="B143" s="562">
        <v>3305</v>
      </c>
      <c r="C143" s="466"/>
      <c r="D143" s="468"/>
      <c r="E143" s="561"/>
      <c r="F143" s="468"/>
      <c r="G143" s="466"/>
      <c r="H143" s="468"/>
      <c r="I143" s="468"/>
      <c r="J143" s="468"/>
      <c r="K143" s="468"/>
    </row>
    <row r="144" spans="1:11" ht="13.15" customHeight="1">
      <c r="A144" s="463" t="s">
        <v>347</v>
      </c>
      <c r="B144" s="562">
        <v>3310</v>
      </c>
      <c r="C144" s="551"/>
      <c r="D144" s="468"/>
      <c r="E144" s="561"/>
      <c r="F144" s="468"/>
      <c r="G144" s="466"/>
      <c r="H144" s="468"/>
      <c r="I144" s="468"/>
      <c r="J144" s="468"/>
      <c r="K144" s="468"/>
    </row>
    <row r="145" spans="1:11" s="202" customFormat="1" ht="13.5" thickBot="1">
      <c r="A145" s="1640" t="s">
        <v>396</v>
      </c>
      <c r="B145" s="1652"/>
      <c r="C145" s="1620">
        <f>SUM(C143:C144)</f>
        <v>0</v>
      </c>
      <c r="D145" s="468"/>
      <c r="E145" s="509"/>
      <c r="F145" s="468"/>
      <c r="G145" s="1653">
        <f>SUM(G143:G144)</f>
        <v>0</v>
      </c>
      <c r="H145" s="468"/>
      <c r="I145" s="468"/>
      <c r="J145" s="468"/>
      <c r="K145" s="468"/>
    </row>
    <row r="146" spans="1:11" s="202" customFormat="1" ht="13.15" customHeight="1" thickTop="1">
      <c r="A146" s="1431" t="s">
        <v>1056</v>
      </c>
      <c r="B146" s="568">
        <v>3360</v>
      </c>
      <c r="C146" s="569">
        <v>13293</v>
      </c>
      <c r="D146" s="570"/>
      <c r="E146" s="509"/>
      <c r="F146" s="468"/>
      <c r="G146" s="571"/>
      <c r="H146" s="468"/>
      <c r="I146" s="468"/>
      <c r="J146" s="468"/>
      <c r="K146" s="468"/>
    </row>
    <row r="147" spans="1:11" ht="13.15" customHeight="1" thickBot="1">
      <c r="A147" s="1432" t="s">
        <v>922</v>
      </c>
      <c r="B147" s="572">
        <v>3365</v>
      </c>
      <c r="C147" s="573"/>
      <c r="D147" s="532"/>
      <c r="E147" s="561"/>
      <c r="F147" s="468"/>
      <c r="G147" s="532"/>
      <c r="H147" s="468"/>
      <c r="I147" s="468"/>
      <c r="J147" s="468"/>
      <c r="K147" s="468"/>
    </row>
    <row r="148" spans="1:11" ht="13.15" customHeight="1" thickTop="1" thickBot="1">
      <c r="A148" s="1433" t="s">
        <v>138</v>
      </c>
      <c r="B148" s="574">
        <v>3370</v>
      </c>
      <c r="C148" s="573">
        <v>26853</v>
      </c>
      <c r="D148" s="573"/>
      <c r="E148" s="509"/>
      <c r="F148" s="468"/>
      <c r="G148" s="468"/>
      <c r="H148" s="468"/>
      <c r="I148" s="468"/>
      <c r="J148" s="468"/>
      <c r="K148" s="468"/>
    </row>
    <row r="149" spans="1:11" ht="13.15" customHeight="1" thickTop="1" thickBot="1">
      <c r="A149" s="1433" t="s">
        <v>767</v>
      </c>
      <c r="B149" s="574">
        <v>3410</v>
      </c>
      <c r="C149" s="575"/>
      <c r="D149" s="576"/>
      <c r="E149" s="577"/>
      <c r="F149" s="530"/>
      <c r="G149" s="530"/>
      <c r="H149" s="530"/>
      <c r="I149" s="530"/>
      <c r="J149" s="530"/>
      <c r="K149" s="530"/>
    </row>
    <row r="150" spans="1:11" ht="13.15" customHeight="1" thickTop="1" thickBot="1">
      <c r="A150" s="1433" t="s">
        <v>68</v>
      </c>
      <c r="B150" s="574">
        <v>3499</v>
      </c>
      <c r="C150" s="575"/>
      <c r="D150" s="576"/>
      <c r="E150" s="532"/>
      <c r="F150" s="532"/>
      <c r="G150" s="532"/>
      <c r="H150" s="532"/>
      <c r="I150" s="532"/>
      <c r="J150" s="532"/>
      <c r="K150" s="532"/>
    </row>
    <row r="151" spans="1:11" ht="15.75" customHeight="1" thickTop="1">
      <c r="A151" s="1533" t="s">
        <v>453</v>
      </c>
      <c r="B151" s="1535"/>
      <c r="C151" s="553"/>
      <c r="D151" s="468"/>
      <c r="E151" s="561"/>
      <c r="F151" s="468"/>
      <c r="G151" s="468"/>
      <c r="H151" s="468"/>
      <c r="I151" s="468"/>
      <c r="J151" s="468"/>
      <c r="K151" s="468"/>
    </row>
    <row r="152" spans="1:11" ht="13.15" customHeight="1">
      <c r="A152" s="463" t="s">
        <v>1427</v>
      </c>
      <c r="B152" s="562">
        <v>3500</v>
      </c>
      <c r="C152" s="551"/>
      <c r="D152" s="466"/>
      <c r="E152" s="561"/>
      <c r="F152" s="466">
        <v>416036</v>
      </c>
      <c r="G152" s="467"/>
      <c r="H152" s="468"/>
      <c r="I152" s="468"/>
      <c r="J152" s="468"/>
      <c r="K152" s="468"/>
    </row>
    <row r="153" spans="1:11" ht="13.15" customHeight="1">
      <c r="A153" s="463" t="s">
        <v>1057</v>
      </c>
      <c r="B153" s="562">
        <v>3510</v>
      </c>
      <c r="C153" s="551"/>
      <c r="D153" s="466"/>
      <c r="E153" s="561"/>
      <c r="F153" s="466">
        <v>1051234</v>
      </c>
      <c r="G153" s="467"/>
      <c r="H153" s="468"/>
      <c r="I153" s="468"/>
      <c r="J153" s="468"/>
      <c r="K153" s="468"/>
    </row>
    <row r="154" spans="1:11" ht="13.15" customHeight="1">
      <c r="A154" s="463" t="s">
        <v>69</v>
      </c>
      <c r="B154" s="562">
        <v>3599</v>
      </c>
      <c r="C154" s="551"/>
      <c r="D154" s="466"/>
      <c r="E154" s="561"/>
      <c r="F154" s="466"/>
      <c r="G154" s="467"/>
      <c r="H154" s="468"/>
      <c r="I154" s="468"/>
      <c r="J154" s="468"/>
      <c r="K154" s="468"/>
    </row>
    <row r="155" spans="1:11" ht="13.15" customHeight="1" thickBot="1">
      <c r="A155" s="1640" t="s">
        <v>94</v>
      </c>
      <c r="B155" s="1652"/>
      <c r="C155" s="1639">
        <f>SUM(C152:C154)</f>
        <v>0</v>
      </c>
      <c r="D155" s="1639">
        <f>SUM(D152:D154)</f>
        <v>0</v>
      </c>
      <c r="E155" s="561"/>
      <c r="F155" s="1639">
        <f>SUM(F152:F154)</f>
        <v>1467270</v>
      </c>
      <c r="G155" s="1639">
        <f>SUM(G152:G154)</f>
        <v>0</v>
      </c>
      <c r="H155" s="468"/>
      <c r="I155" s="468"/>
      <c r="J155" s="468"/>
      <c r="K155" s="468"/>
    </row>
    <row r="156" spans="1:11" ht="13.15" customHeight="1" thickTop="1" thickBot="1">
      <c r="A156" s="1433" t="s">
        <v>380</v>
      </c>
      <c r="B156" s="574">
        <v>3610</v>
      </c>
      <c r="C156" s="576"/>
      <c r="D156" s="468"/>
      <c r="E156" s="509"/>
      <c r="F156" s="468"/>
      <c r="G156" s="468"/>
      <c r="H156" s="468"/>
      <c r="I156" s="468"/>
      <c r="J156" s="468"/>
      <c r="K156" s="468"/>
    </row>
    <row r="157" spans="1:11" ht="13.15" customHeight="1" thickTop="1" thickBot="1">
      <c r="A157" s="1433" t="s">
        <v>50</v>
      </c>
      <c r="B157" s="574">
        <v>3660</v>
      </c>
      <c r="C157" s="573"/>
      <c r="D157" s="578"/>
      <c r="E157" s="561"/>
      <c r="F157" s="578"/>
      <c r="G157" s="578"/>
      <c r="H157" s="468"/>
      <c r="I157" s="468"/>
      <c r="J157" s="468"/>
      <c r="K157" s="468"/>
    </row>
    <row r="158" spans="1:11" ht="13.15" customHeight="1" thickTop="1" thickBot="1">
      <c r="A158" s="1433" t="s">
        <v>1000</v>
      </c>
      <c r="B158" s="574">
        <v>3695</v>
      </c>
      <c r="C158" s="576"/>
      <c r="D158" s="468"/>
      <c r="E158" s="561"/>
      <c r="F158" s="576"/>
      <c r="G158" s="576"/>
      <c r="H158" s="468"/>
      <c r="I158" s="468"/>
      <c r="J158" s="468"/>
      <c r="K158" s="468"/>
    </row>
    <row r="159" spans="1:11" ht="13.15" customHeight="1" thickTop="1" thickBot="1">
      <c r="A159" s="1433" t="s">
        <v>1051</v>
      </c>
      <c r="B159" s="574">
        <v>3705</v>
      </c>
      <c r="C159" s="576">
        <v>270117</v>
      </c>
      <c r="D159" s="578"/>
      <c r="E159" s="561"/>
      <c r="F159" s="576"/>
      <c r="G159" s="576"/>
      <c r="H159" s="468"/>
      <c r="I159" s="468"/>
      <c r="J159" s="468"/>
      <c r="K159" s="468"/>
    </row>
    <row r="160" spans="1:11" ht="13.15" customHeight="1" thickTop="1" thickBot="1">
      <c r="A160" s="1433" t="s">
        <v>39</v>
      </c>
      <c r="B160" s="574">
        <v>3766</v>
      </c>
      <c r="C160" s="576"/>
      <c r="D160" s="578"/>
      <c r="E160" s="561"/>
      <c r="F160" s="576"/>
      <c r="G160" s="531"/>
      <c r="H160" s="468"/>
      <c r="I160" s="468"/>
      <c r="J160" s="468"/>
      <c r="K160" s="468"/>
    </row>
    <row r="161" spans="1:11" ht="13.15" customHeight="1" thickTop="1" thickBot="1">
      <c r="A161" s="1433" t="s">
        <v>985</v>
      </c>
      <c r="B161" s="574">
        <v>3767</v>
      </c>
      <c r="C161" s="576"/>
      <c r="D161" s="531"/>
      <c r="E161" s="561"/>
      <c r="F161" s="531"/>
      <c r="G161" s="531"/>
      <c r="H161" s="468"/>
      <c r="I161" s="468"/>
      <c r="J161" s="468"/>
      <c r="K161" s="468"/>
    </row>
    <row r="162" spans="1:11" ht="13.15" customHeight="1" thickTop="1" thickBot="1">
      <c r="A162" s="1433" t="s">
        <v>986</v>
      </c>
      <c r="B162" s="574">
        <v>3775</v>
      </c>
      <c r="C162" s="576"/>
      <c r="D162" s="573"/>
      <c r="E162" s="530"/>
      <c r="F162" s="573"/>
      <c r="G162" s="532"/>
      <c r="H162" s="530"/>
      <c r="I162" s="468"/>
      <c r="J162" s="468"/>
      <c r="K162" s="530"/>
    </row>
    <row r="163" spans="1:11" ht="13.15" customHeight="1" thickTop="1" thickBot="1">
      <c r="A163" s="1433" t="s">
        <v>1428</v>
      </c>
      <c r="B163" s="574">
        <v>3780</v>
      </c>
      <c r="C163" s="531"/>
      <c r="D163" s="530"/>
      <c r="E163" s="531"/>
      <c r="F163" s="531"/>
      <c r="G163" s="531"/>
      <c r="H163" s="531"/>
      <c r="I163" s="468"/>
      <c r="J163" s="468"/>
      <c r="K163" s="531"/>
    </row>
    <row r="164" spans="1:11" ht="13.15" customHeight="1" thickTop="1" thickBot="1">
      <c r="A164" s="1433" t="s">
        <v>858</v>
      </c>
      <c r="B164" s="574">
        <v>3815</v>
      </c>
      <c r="C164" s="576"/>
      <c r="D164" s="468"/>
      <c r="E164" s="561"/>
      <c r="F164" s="576"/>
      <c r="G164" s="468"/>
      <c r="H164" s="468"/>
      <c r="I164" s="468"/>
      <c r="J164" s="468"/>
      <c r="K164" s="468"/>
    </row>
    <row r="165" spans="1:11" ht="13.15" customHeight="1" thickTop="1" thickBot="1">
      <c r="A165" s="1433" t="s">
        <v>397</v>
      </c>
      <c r="B165" s="574">
        <v>3825</v>
      </c>
      <c r="C165" s="576"/>
      <c r="D165" s="468"/>
      <c r="E165" s="561"/>
      <c r="F165" s="576"/>
      <c r="G165" s="468"/>
      <c r="H165" s="468"/>
      <c r="I165" s="468"/>
      <c r="J165" s="468"/>
      <c r="K165" s="468"/>
    </row>
    <row r="166" spans="1:11" ht="13.15" customHeight="1" thickTop="1" thickBot="1">
      <c r="A166" s="1433" t="s">
        <v>348</v>
      </c>
      <c r="B166" s="574">
        <v>3920</v>
      </c>
      <c r="C166" s="566"/>
      <c r="D166" s="578"/>
      <c r="E166" s="468"/>
      <c r="F166" s="566"/>
      <c r="G166" s="468"/>
      <c r="H166" s="530"/>
      <c r="I166" s="468"/>
      <c r="J166" s="468"/>
      <c r="K166" s="468"/>
    </row>
    <row r="167" spans="1:11" ht="13.15" customHeight="1" thickTop="1" thickBot="1">
      <c r="A167" s="1433" t="s">
        <v>349</v>
      </c>
      <c r="B167" s="574">
        <v>3925</v>
      </c>
      <c r="C167" s="521"/>
      <c r="D167" s="576"/>
      <c r="E167" s="521"/>
      <c r="F167" s="521"/>
      <c r="G167" s="468"/>
      <c r="H167" s="531"/>
      <c r="I167" s="468"/>
      <c r="J167" s="468"/>
      <c r="K167" s="530"/>
    </row>
    <row r="168" spans="1:11" ht="14.25" thickTop="1" thickBot="1">
      <c r="A168" s="1433" t="s">
        <v>70</v>
      </c>
      <c r="B168" s="574">
        <v>3999</v>
      </c>
      <c r="C168" s="579"/>
      <c r="D168" s="580"/>
      <c r="E168" s="580"/>
      <c r="F168" s="580"/>
      <c r="G168" s="581"/>
      <c r="H168" s="582"/>
      <c r="I168" s="581"/>
      <c r="J168" s="581"/>
      <c r="K168" s="582"/>
    </row>
    <row r="169" spans="1:11" ht="13.15" customHeight="1" thickTop="1" thickBot="1">
      <c r="A169" s="2152" t="s">
        <v>398</v>
      </c>
      <c r="B169" s="2153"/>
      <c r="C169" s="1654">
        <f t="shared" ref="C169:K169" si="6">SUM(C132,C141,C145,C146:C150,C155,C156:C167,C168)</f>
        <v>543510</v>
      </c>
      <c r="D169" s="1654">
        <f t="shared" si="6"/>
        <v>0</v>
      </c>
      <c r="E169" s="1654">
        <f t="shared" si="6"/>
        <v>0</v>
      </c>
      <c r="F169" s="1654">
        <f t="shared" si="6"/>
        <v>1467270</v>
      </c>
      <c r="G169" s="1654">
        <f t="shared" si="6"/>
        <v>0</v>
      </c>
      <c r="H169" s="1654">
        <f t="shared" si="6"/>
        <v>0</v>
      </c>
      <c r="I169" s="1654">
        <f t="shared" si="6"/>
        <v>0</v>
      </c>
      <c r="J169" s="1654">
        <f t="shared" si="6"/>
        <v>0</v>
      </c>
      <c r="K169" s="1635">
        <f t="shared" si="6"/>
        <v>0</v>
      </c>
    </row>
    <row r="170" spans="1:11" ht="13.15" customHeight="1" thickTop="1" thickBot="1">
      <c r="A170" s="1640" t="s">
        <v>399</v>
      </c>
      <c r="B170" s="1646" t="s">
        <v>575</v>
      </c>
      <c r="C170" s="1647">
        <f t="shared" ref="C170:K170" si="7">SUM(C122,C169)</f>
        <v>6223426</v>
      </c>
      <c r="D170" s="1647">
        <f t="shared" si="7"/>
        <v>0</v>
      </c>
      <c r="E170" s="1647">
        <f t="shared" si="7"/>
        <v>0</v>
      </c>
      <c r="F170" s="1647">
        <f t="shared" si="7"/>
        <v>1467270</v>
      </c>
      <c r="G170" s="1647">
        <f t="shared" si="7"/>
        <v>0</v>
      </c>
      <c r="H170" s="1647">
        <f t="shared" si="7"/>
        <v>0</v>
      </c>
      <c r="I170" s="1647">
        <f t="shared" si="7"/>
        <v>0</v>
      </c>
      <c r="J170" s="1647">
        <f t="shared" si="7"/>
        <v>0</v>
      </c>
      <c r="K170" s="1634">
        <f t="shared" si="7"/>
        <v>0</v>
      </c>
    </row>
    <row r="171" spans="1:11" ht="16.7" customHeight="1" thickTop="1">
      <c r="A171" s="1522" t="s">
        <v>804</v>
      </c>
      <c r="B171" s="1500"/>
      <c r="C171" s="1503"/>
      <c r="D171" s="1504"/>
      <c r="E171" s="1504"/>
      <c r="F171" s="1504"/>
      <c r="G171" s="1504"/>
      <c r="H171" s="1504"/>
      <c r="I171" s="1504"/>
      <c r="J171" s="1504"/>
      <c r="K171" s="1505"/>
    </row>
    <row r="172" spans="1:11" ht="15.75" customHeight="1">
      <c r="A172" s="2154" t="s">
        <v>1471</v>
      </c>
      <c r="B172" s="2155"/>
      <c r="C172" s="520"/>
      <c r="D172" s="520"/>
      <c r="E172" s="509"/>
      <c r="F172" s="468"/>
      <c r="G172" s="468"/>
      <c r="H172" s="468"/>
      <c r="I172" s="468"/>
      <c r="J172" s="468"/>
      <c r="K172" s="468"/>
    </row>
    <row r="173" spans="1:11" ht="12.95"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58" t="s">
        <v>1638</v>
      </c>
      <c r="B175" s="2159"/>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c r="A176" s="2162" t="s">
        <v>1637</v>
      </c>
      <c r="B176" s="2163"/>
      <c r="C176" s="598"/>
      <c r="D176" s="599"/>
      <c r="E176" s="600"/>
      <c r="F176" s="601"/>
      <c r="G176" s="601"/>
      <c r="H176" s="601"/>
      <c r="I176" s="601"/>
      <c r="J176" s="601"/>
      <c r="K176" s="601"/>
    </row>
    <row r="177" spans="1:11" ht="13.15" customHeight="1">
      <c r="A177" s="463" t="s">
        <v>1045</v>
      </c>
      <c r="B177" s="470">
        <v>4045</v>
      </c>
      <c r="C177" s="551"/>
      <c r="D177" s="468"/>
      <c r="E177" s="561"/>
      <c r="F177" s="468"/>
      <c r="G177" s="468"/>
      <c r="H177" s="468"/>
      <c r="I177" s="468"/>
      <c r="J177" s="468"/>
      <c r="K177" s="468"/>
    </row>
    <row r="178" spans="1:11" ht="13.15" customHeight="1">
      <c r="A178" s="463" t="s">
        <v>1046</v>
      </c>
      <c r="B178" s="470">
        <v>4050</v>
      </c>
      <c r="C178" s="551"/>
      <c r="D178" s="467"/>
      <c r="E178" s="561"/>
      <c r="F178" s="468"/>
      <c r="G178" s="468"/>
      <c r="H178" s="467"/>
      <c r="I178" s="468"/>
      <c r="J178" s="468"/>
      <c r="K178" s="468"/>
    </row>
    <row r="179" spans="1:11" ht="13.1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60" t="s">
        <v>785</v>
      </c>
      <c r="B181" s="2161"/>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c r="A182" s="2156" t="s">
        <v>1765</v>
      </c>
      <c r="B182" s="2157"/>
      <c r="C182" s="584"/>
      <c r="D182" s="566"/>
      <c r="E182" s="509"/>
      <c r="F182" s="566"/>
      <c r="G182" s="566"/>
      <c r="H182" s="468"/>
      <c r="I182" s="468"/>
      <c r="J182" s="468"/>
      <c r="K182" s="468"/>
    </row>
    <row r="183" spans="1:11" ht="15.75" customHeight="1">
      <c r="A183" s="1536" t="s">
        <v>1575</v>
      </c>
      <c r="B183" s="1537"/>
      <c r="C183" s="522"/>
      <c r="D183" s="521"/>
      <c r="E183" s="509"/>
      <c r="F183" s="521"/>
      <c r="G183" s="521"/>
      <c r="H183" s="468"/>
      <c r="I183" s="468"/>
      <c r="J183" s="468"/>
      <c r="K183" s="468"/>
    </row>
    <row r="184" spans="1:11" ht="13.15" customHeight="1">
      <c r="A184" s="463" t="s">
        <v>1576</v>
      </c>
      <c r="B184" s="470">
        <v>4100</v>
      </c>
      <c r="C184" s="516"/>
      <c r="D184" s="481"/>
      <c r="E184" s="561"/>
      <c r="F184" s="481"/>
      <c r="G184" s="481"/>
      <c r="H184" s="468"/>
      <c r="I184" s="468"/>
      <c r="J184" s="468"/>
      <c r="K184" s="468"/>
    </row>
    <row r="185" spans="1:11" ht="13.15" customHeight="1">
      <c r="A185" s="463" t="s">
        <v>1577</v>
      </c>
      <c r="B185" s="470">
        <v>4105</v>
      </c>
      <c r="C185" s="551"/>
      <c r="D185" s="466"/>
      <c r="E185" s="561"/>
      <c r="F185" s="466"/>
      <c r="G185" s="466"/>
      <c r="H185" s="468"/>
      <c r="I185" s="468"/>
      <c r="J185" s="468"/>
      <c r="K185" s="468"/>
    </row>
    <row r="186" spans="1:11" ht="13.15" customHeight="1">
      <c r="A186" s="463" t="s">
        <v>1579</v>
      </c>
      <c r="B186" s="470">
        <v>4107</v>
      </c>
      <c r="C186" s="551"/>
      <c r="D186" s="466"/>
      <c r="E186" s="561"/>
      <c r="F186" s="466"/>
      <c r="G186" s="466"/>
      <c r="H186" s="468"/>
      <c r="I186" s="468"/>
      <c r="J186" s="468"/>
      <c r="K186" s="468"/>
    </row>
    <row r="187" spans="1:11" ht="13.15" customHeight="1">
      <c r="A187" s="463" t="s">
        <v>1578</v>
      </c>
      <c r="B187" s="470">
        <v>4199</v>
      </c>
      <c r="C187" s="551"/>
      <c r="D187" s="466"/>
      <c r="E187" s="561"/>
      <c r="F187" s="466"/>
      <c r="G187" s="466"/>
      <c r="H187" s="468"/>
      <c r="I187" s="468"/>
      <c r="J187" s="468"/>
      <c r="K187" s="468"/>
    </row>
    <row r="188" spans="1:11" ht="13.15" customHeight="1" thickBot="1">
      <c r="A188" s="1640" t="s">
        <v>1580</v>
      </c>
      <c r="B188" s="1641"/>
      <c r="C188" s="1639">
        <f>SUM(C184:C187)</f>
        <v>0</v>
      </c>
      <c r="D188" s="1639">
        <f>SUM(D184:D187)</f>
        <v>0</v>
      </c>
      <c r="E188" s="561"/>
      <c r="F188" s="1639">
        <f>SUM(F184:F187)</f>
        <v>0</v>
      </c>
      <c r="G188" s="1639">
        <f>SUM(G184:G187)</f>
        <v>0</v>
      </c>
      <c r="H188" s="468"/>
      <c r="I188" s="468"/>
      <c r="J188" s="468"/>
      <c r="K188" s="468"/>
    </row>
    <row r="189" spans="1:11" ht="15.75" customHeight="1" thickTop="1">
      <c r="A189" s="1533" t="s">
        <v>455</v>
      </c>
      <c r="B189" s="1538"/>
      <c r="C189" s="553"/>
      <c r="D189" s="566"/>
      <c r="E189" s="561"/>
      <c r="F189" s="553"/>
      <c r="G189" s="553"/>
      <c r="H189" s="468"/>
      <c r="I189" s="468"/>
      <c r="J189" s="468"/>
      <c r="K189" s="468"/>
    </row>
    <row r="190" spans="1:11">
      <c r="A190" s="463" t="s">
        <v>1429</v>
      </c>
      <c r="B190" s="470">
        <v>4200</v>
      </c>
      <c r="C190" s="467"/>
      <c r="D190" s="468"/>
      <c r="E190" s="561"/>
      <c r="F190" s="553"/>
      <c r="G190" s="585"/>
      <c r="H190" s="468"/>
      <c r="I190" s="468"/>
      <c r="J190" s="468"/>
      <c r="K190" s="468"/>
    </row>
    <row r="191" spans="1:11" ht="13.15" customHeight="1">
      <c r="A191" s="463" t="s">
        <v>1058</v>
      </c>
      <c r="B191" s="470">
        <v>4210</v>
      </c>
      <c r="C191" s="466">
        <v>570692</v>
      </c>
      <c r="D191" s="468"/>
      <c r="E191" s="561"/>
      <c r="F191" s="468"/>
      <c r="G191" s="585"/>
      <c r="H191" s="468"/>
      <c r="I191" s="468"/>
      <c r="J191" s="468"/>
      <c r="K191" s="468"/>
    </row>
    <row r="192" spans="1:11" ht="13.15" customHeight="1">
      <c r="A192" s="463" t="s">
        <v>1047</v>
      </c>
      <c r="B192" s="470">
        <v>4215</v>
      </c>
      <c r="C192" s="551"/>
      <c r="D192" s="468"/>
      <c r="E192" s="561"/>
      <c r="F192" s="468"/>
      <c r="G192" s="585"/>
      <c r="H192" s="468"/>
      <c r="I192" s="468"/>
      <c r="J192" s="468"/>
      <c r="K192" s="468"/>
    </row>
    <row r="193" spans="1:11" ht="13.15" customHeight="1">
      <c r="A193" s="463" t="s">
        <v>1059</v>
      </c>
      <c r="B193" s="470">
        <v>4220</v>
      </c>
      <c r="C193" s="551">
        <v>155866</v>
      </c>
      <c r="D193" s="468"/>
      <c r="E193" s="561"/>
      <c r="F193" s="468"/>
      <c r="G193" s="585"/>
      <c r="H193" s="468"/>
      <c r="I193" s="468"/>
      <c r="J193" s="468"/>
      <c r="K193" s="468"/>
    </row>
    <row r="194" spans="1:11" ht="13.15" customHeight="1">
      <c r="A194" s="463" t="s">
        <v>1430</v>
      </c>
      <c r="B194" s="470">
        <v>4225</v>
      </c>
      <c r="C194" s="551"/>
      <c r="D194" s="468"/>
      <c r="E194" s="561"/>
      <c r="F194" s="468"/>
      <c r="G194" s="585"/>
      <c r="H194" s="468"/>
      <c r="I194" s="468"/>
      <c r="J194" s="468"/>
      <c r="K194" s="468"/>
    </row>
    <row r="195" spans="1:11" ht="13.15" customHeight="1">
      <c r="A195" s="463" t="s">
        <v>1431</v>
      </c>
      <c r="B195" s="470">
        <v>4226</v>
      </c>
      <c r="C195" s="551"/>
      <c r="D195" s="468"/>
      <c r="E195" s="561"/>
      <c r="F195" s="468"/>
      <c r="G195" s="585"/>
      <c r="H195" s="468"/>
      <c r="I195" s="468"/>
      <c r="J195" s="468"/>
      <c r="K195" s="468"/>
    </row>
    <row r="196" spans="1:11" ht="13.15" customHeight="1">
      <c r="A196" s="463" t="s">
        <v>792</v>
      </c>
      <c r="B196" s="470">
        <v>4240</v>
      </c>
      <c r="C196" s="489"/>
      <c r="D196" s="468"/>
      <c r="E196" s="561"/>
      <c r="F196" s="468"/>
      <c r="G196" s="586"/>
      <c r="H196" s="468"/>
      <c r="I196" s="468"/>
      <c r="J196" s="468"/>
      <c r="K196" s="468"/>
    </row>
    <row r="197" spans="1:11" ht="13.15" customHeight="1">
      <c r="A197" s="463" t="s">
        <v>71</v>
      </c>
      <c r="B197" s="470">
        <v>4299</v>
      </c>
      <c r="C197" s="551"/>
      <c r="D197" s="468"/>
      <c r="E197" s="561"/>
      <c r="F197" s="468"/>
      <c r="G197" s="585"/>
      <c r="H197" s="468"/>
      <c r="I197" s="468"/>
      <c r="J197" s="468"/>
      <c r="K197" s="468"/>
    </row>
    <row r="198" spans="1:11" ht="13.15" customHeight="1" thickBot="1">
      <c r="A198" s="1640" t="s">
        <v>548</v>
      </c>
      <c r="B198" s="1641"/>
      <c r="C198" s="1620">
        <f>SUM(C190:C197)</f>
        <v>726558</v>
      </c>
      <c r="D198" s="468"/>
      <c r="E198" s="468"/>
      <c r="F198" s="468"/>
      <c r="G198" s="1620">
        <f>SUM(G190:G197)</f>
        <v>0</v>
      </c>
      <c r="H198" s="468"/>
      <c r="I198" s="468"/>
      <c r="J198" s="468"/>
      <c r="K198" s="468"/>
    </row>
    <row r="199" spans="1:11" ht="15.75" customHeight="1" thickTop="1">
      <c r="A199" s="1533" t="s">
        <v>1138</v>
      </c>
      <c r="B199" s="1538"/>
      <c r="C199" s="553"/>
      <c r="D199" s="468"/>
      <c r="E199" s="468"/>
      <c r="F199" s="468"/>
      <c r="G199" s="468"/>
      <c r="H199" s="468"/>
      <c r="I199" s="468"/>
      <c r="J199" s="468"/>
      <c r="K199" s="468"/>
    </row>
    <row r="200" spans="1:11" ht="13.15" customHeight="1">
      <c r="A200" s="463" t="s">
        <v>918</v>
      </c>
      <c r="B200" s="470">
        <v>4300</v>
      </c>
      <c r="C200" s="466">
        <v>455196</v>
      </c>
      <c r="D200" s="466"/>
      <c r="E200" s="468"/>
      <c r="F200" s="466"/>
      <c r="G200" s="466"/>
      <c r="H200" s="468"/>
      <c r="I200" s="468"/>
      <c r="J200" s="468"/>
      <c r="K200" s="468"/>
    </row>
    <row r="201" spans="1:11" ht="13.15" customHeight="1">
      <c r="A201" s="463" t="s">
        <v>919</v>
      </c>
      <c r="B201" s="470">
        <v>4305</v>
      </c>
      <c r="C201" s="551"/>
      <c r="D201" s="466"/>
      <c r="E201" s="468"/>
      <c r="F201" s="466"/>
      <c r="G201" s="466"/>
      <c r="H201" s="468"/>
      <c r="I201" s="468"/>
      <c r="J201" s="468"/>
      <c r="K201" s="468"/>
    </row>
    <row r="202" spans="1:11" ht="13.15" customHeight="1">
      <c r="A202" s="463" t="s">
        <v>1031</v>
      </c>
      <c r="B202" s="470">
        <v>4340</v>
      </c>
      <c r="C202" s="551"/>
      <c r="D202" s="466"/>
      <c r="E202" s="468"/>
      <c r="F202" s="466"/>
      <c r="G202" s="466"/>
      <c r="H202" s="468"/>
      <c r="I202" s="468"/>
      <c r="J202" s="468"/>
      <c r="K202" s="468"/>
    </row>
    <row r="203" spans="1:11" ht="13.15" customHeight="1">
      <c r="A203" s="463" t="s">
        <v>72</v>
      </c>
      <c r="B203" s="470">
        <v>4399</v>
      </c>
      <c r="C203" s="551">
        <v>114109</v>
      </c>
      <c r="D203" s="466"/>
      <c r="E203" s="468"/>
      <c r="F203" s="466"/>
      <c r="G203" s="466"/>
      <c r="H203" s="468"/>
      <c r="I203" s="468"/>
      <c r="J203" s="468"/>
      <c r="K203" s="468"/>
    </row>
    <row r="204" spans="1:11" ht="13.15" customHeight="1" thickBot="1">
      <c r="A204" s="1640" t="s">
        <v>400</v>
      </c>
      <c r="B204" s="1641"/>
      <c r="C204" s="1639">
        <f>SUM(C200:C203)</f>
        <v>569305</v>
      </c>
      <c r="D204" s="1639">
        <f>SUM(D200:D203)</f>
        <v>0</v>
      </c>
      <c r="E204" s="468"/>
      <c r="F204" s="1639">
        <f>SUM(F200:F203)</f>
        <v>0</v>
      </c>
      <c r="G204" s="1639">
        <f>SUM(G200:G203)</f>
        <v>0</v>
      </c>
      <c r="H204" s="468"/>
      <c r="I204" s="468"/>
      <c r="J204" s="468"/>
      <c r="K204" s="468"/>
    </row>
    <row r="205" spans="1:11" ht="15.75" customHeight="1" thickTop="1">
      <c r="A205" s="1533" t="s">
        <v>1139</v>
      </c>
      <c r="B205" s="1538"/>
      <c r="C205" s="553"/>
      <c r="D205" s="553"/>
      <c r="E205" s="468"/>
      <c r="F205" s="553"/>
      <c r="G205" s="553"/>
      <c r="H205" s="468"/>
      <c r="I205" s="468"/>
      <c r="J205" s="468"/>
      <c r="K205" s="468"/>
    </row>
    <row r="206" spans="1:11" ht="13.15" customHeight="1">
      <c r="A206" s="463" t="s">
        <v>759</v>
      </c>
      <c r="B206" s="470">
        <v>4400</v>
      </c>
      <c r="C206" s="551">
        <v>26227</v>
      </c>
      <c r="D206" s="466"/>
      <c r="E206" s="468"/>
      <c r="F206" s="466"/>
      <c r="G206" s="466"/>
      <c r="H206" s="468"/>
      <c r="I206" s="468"/>
      <c r="J206" s="468"/>
      <c r="K206" s="468"/>
    </row>
    <row r="207" spans="1:11" ht="13.15" customHeight="1">
      <c r="A207" s="463" t="s">
        <v>1432</v>
      </c>
      <c r="B207" s="470">
        <v>4421</v>
      </c>
      <c r="C207" s="551"/>
      <c r="D207" s="466"/>
      <c r="E207" s="468"/>
      <c r="F207" s="466"/>
      <c r="G207" s="466"/>
      <c r="H207" s="468"/>
      <c r="I207" s="468"/>
      <c r="J207" s="468"/>
      <c r="K207" s="468"/>
    </row>
    <row r="208" spans="1:11" ht="13.15" customHeight="1">
      <c r="A208" s="463" t="s">
        <v>73</v>
      </c>
      <c r="B208" s="470">
        <v>4499</v>
      </c>
      <c r="C208" s="551"/>
      <c r="D208" s="466"/>
      <c r="E208" s="468"/>
      <c r="F208" s="466"/>
      <c r="G208" s="466"/>
      <c r="H208" s="468"/>
      <c r="I208" s="468"/>
      <c r="J208" s="468"/>
      <c r="K208" s="468"/>
    </row>
    <row r="209" spans="1:11" ht="13.15" customHeight="1" thickBot="1">
      <c r="A209" s="1640" t="s">
        <v>889</v>
      </c>
      <c r="B209" s="1641"/>
      <c r="C209" s="1639">
        <f>SUM(C206:C208)</f>
        <v>26227</v>
      </c>
      <c r="D209" s="1639">
        <f>SUM(D206:D208)</f>
        <v>0</v>
      </c>
      <c r="E209" s="468" t="s">
        <v>1169</v>
      </c>
      <c r="F209" s="1639">
        <f>SUM(F206:F208)</f>
        <v>0</v>
      </c>
      <c r="G209" s="1639">
        <f>SUM(G206:G208)</f>
        <v>0</v>
      </c>
      <c r="H209" s="468"/>
      <c r="I209" s="468"/>
      <c r="J209" s="468"/>
      <c r="K209" s="468"/>
    </row>
    <row r="210" spans="1:11" ht="15.75" customHeight="1" thickTop="1">
      <c r="A210" s="1533" t="s">
        <v>1092</v>
      </c>
      <c r="B210" s="1538"/>
      <c r="C210" s="553"/>
      <c r="D210" s="553"/>
      <c r="E210" s="468"/>
      <c r="F210" s="553"/>
      <c r="G210" s="553"/>
      <c r="H210" s="468"/>
      <c r="I210" s="468"/>
      <c r="J210" s="468"/>
      <c r="K210" s="468"/>
    </row>
    <row r="211" spans="1:11" ht="13.15" customHeight="1">
      <c r="A211" s="463" t="s">
        <v>1052</v>
      </c>
      <c r="B211" s="470">
        <v>4600</v>
      </c>
      <c r="C211" s="551"/>
      <c r="D211" s="466"/>
      <c r="E211" s="468"/>
      <c r="F211" s="466"/>
      <c r="G211" s="466"/>
      <c r="H211" s="468"/>
      <c r="I211" s="468"/>
      <c r="J211" s="468"/>
      <c r="K211" s="468"/>
    </row>
    <row r="212" spans="1:11" ht="13.15" customHeight="1">
      <c r="A212" s="463" t="s">
        <v>1053</v>
      </c>
      <c r="B212" s="470">
        <v>4605</v>
      </c>
      <c r="C212" s="551"/>
      <c r="D212" s="466"/>
      <c r="E212" s="468"/>
      <c r="F212" s="466"/>
      <c r="G212" s="466"/>
      <c r="H212" s="468"/>
      <c r="I212" s="468"/>
      <c r="J212" s="468"/>
      <c r="K212" s="468"/>
    </row>
    <row r="213" spans="1:11" ht="13.15" customHeight="1">
      <c r="A213" s="463" t="s">
        <v>1433</v>
      </c>
      <c r="B213" s="557">
        <v>4620</v>
      </c>
      <c r="C213" s="551"/>
      <c r="D213" s="466"/>
      <c r="E213" s="468"/>
      <c r="F213" s="466"/>
      <c r="G213" s="466"/>
      <c r="H213" s="468"/>
      <c r="I213" s="468"/>
      <c r="J213" s="468"/>
      <c r="K213" s="468"/>
    </row>
    <row r="214" spans="1:11" ht="13.15" customHeight="1">
      <c r="A214" s="463" t="s">
        <v>1054</v>
      </c>
      <c r="B214" s="470">
        <v>4625</v>
      </c>
      <c r="C214" s="551">
        <v>45406</v>
      </c>
      <c r="D214" s="466"/>
      <c r="E214" s="468"/>
      <c r="F214" s="466"/>
      <c r="G214" s="466"/>
      <c r="H214" s="468"/>
      <c r="I214" s="468"/>
      <c r="J214" s="468"/>
      <c r="K214" s="468"/>
    </row>
    <row r="215" spans="1:11" ht="13.15" customHeight="1">
      <c r="A215" s="463" t="s">
        <v>1055</v>
      </c>
      <c r="B215" s="470">
        <v>4630</v>
      </c>
      <c r="C215" s="551"/>
      <c r="D215" s="466"/>
      <c r="E215" s="468"/>
      <c r="F215" s="466"/>
      <c r="G215" s="466"/>
      <c r="H215" s="468"/>
      <c r="I215" s="468"/>
      <c r="J215" s="468"/>
      <c r="K215" s="468"/>
    </row>
    <row r="216" spans="1:11" ht="13.15" customHeight="1">
      <c r="A216" s="1434" t="s">
        <v>74</v>
      </c>
      <c r="B216" s="557">
        <v>4699</v>
      </c>
      <c r="C216" s="551"/>
      <c r="D216" s="466"/>
      <c r="E216" s="468"/>
      <c r="F216" s="466"/>
      <c r="G216" s="466"/>
      <c r="H216" s="468"/>
      <c r="I216" s="468"/>
      <c r="J216" s="468"/>
      <c r="K216" s="468"/>
    </row>
    <row r="217" spans="1:11" ht="13.15" customHeight="1" thickBot="1">
      <c r="A217" s="1640" t="s">
        <v>447</v>
      </c>
      <c r="B217" s="1641"/>
      <c r="C217" s="1639">
        <f>SUM(C211:C216)</f>
        <v>45406</v>
      </c>
      <c r="D217" s="1639">
        <f>SUM(D211:D216)</f>
        <v>0</v>
      </c>
      <c r="E217" s="468"/>
      <c r="F217" s="1639">
        <f>SUM(F211:F216)</f>
        <v>0</v>
      </c>
      <c r="G217" s="1639">
        <f>SUM(G211:G216)</f>
        <v>0</v>
      </c>
      <c r="H217" s="468"/>
      <c r="I217" s="468"/>
      <c r="J217" s="468"/>
      <c r="K217" s="468"/>
    </row>
    <row r="218" spans="1:11" ht="15.75" customHeight="1" thickTop="1">
      <c r="A218" s="1533" t="s">
        <v>1093</v>
      </c>
      <c r="B218" s="1538"/>
      <c r="C218" s="553"/>
      <c r="D218" s="553"/>
      <c r="E218" s="468"/>
      <c r="F218" s="553"/>
      <c r="G218" s="553"/>
      <c r="H218" s="468"/>
      <c r="I218" s="468"/>
      <c r="J218" s="468"/>
      <c r="K218" s="468"/>
    </row>
    <row r="219" spans="1:11" ht="13.15" customHeight="1">
      <c r="A219" s="463" t="s">
        <v>787</v>
      </c>
      <c r="B219" s="470">
        <v>4770</v>
      </c>
      <c r="C219" s="551"/>
      <c r="D219" s="466"/>
      <c r="E219" s="468"/>
      <c r="F219" s="468"/>
      <c r="G219" s="466"/>
      <c r="H219" s="468"/>
      <c r="I219" s="468"/>
      <c r="J219" s="468"/>
      <c r="K219" s="468"/>
    </row>
    <row r="220" spans="1:11" ht="13.15" customHeight="1">
      <c r="A220" s="463" t="s">
        <v>67</v>
      </c>
      <c r="B220" s="470">
        <v>4799</v>
      </c>
      <c r="C220" s="551"/>
      <c r="D220" s="466"/>
      <c r="E220" s="468"/>
      <c r="F220" s="468"/>
      <c r="G220" s="466"/>
      <c r="H220" s="468"/>
      <c r="I220" s="468"/>
      <c r="J220" s="468"/>
      <c r="K220" s="468"/>
    </row>
    <row r="221" spans="1:11" ht="13.15" customHeight="1" thickBot="1">
      <c r="A221" s="1655" t="s">
        <v>1085</v>
      </c>
      <c r="B221" s="1656"/>
      <c r="C221" s="1639">
        <f>SUM(C219:C220)</f>
        <v>0</v>
      </c>
      <c r="D221" s="1639">
        <f>SUM(D219:D220)</f>
        <v>0</v>
      </c>
      <c r="E221" s="468"/>
      <c r="F221" s="468"/>
      <c r="G221" s="1639">
        <f>SUM(G219:G220)</f>
        <v>0</v>
      </c>
      <c r="H221" s="468"/>
      <c r="I221" s="468"/>
      <c r="J221" s="468"/>
      <c r="K221" s="468"/>
    </row>
    <row r="222" spans="1:11" ht="13.15" customHeight="1" thickTop="1" thickBot="1">
      <c r="A222" s="493" t="s">
        <v>757</v>
      </c>
      <c r="B222" s="491">
        <v>4810</v>
      </c>
      <c r="C222" s="575"/>
      <c r="D222" s="576"/>
      <c r="E222" s="468"/>
      <c r="F222" s="468"/>
      <c r="G222" s="576"/>
      <c r="H222" s="468"/>
      <c r="I222" s="468"/>
      <c r="J222" s="468"/>
      <c r="K222" s="468"/>
    </row>
    <row r="223" spans="1:11" ht="13.15" customHeight="1" thickTop="1">
      <c r="A223" s="493" t="s">
        <v>350</v>
      </c>
      <c r="B223" s="491">
        <v>4850</v>
      </c>
      <c r="C223" s="489"/>
      <c r="D223" s="467"/>
      <c r="E223" s="467"/>
      <c r="F223" s="467"/>
      <c r="G223" s="467"/>
      <c r="H223" s="467"/>
      <c r="I223" s="468"/>
      <c r="J223" s="467"/>
      <c r="K223" s="467"/>
    </row>
    <row r="224" spans="1:11" ht="13.15" customHeight="1">
      <c r="A224" s="493" t="s">
        <v>351</v>
      </c>
      <c r="B224" s="491">
        <v>4851</v>
      </c>
      <c r="C224" s="489"/>
      <c r="D224" s="467"/>
      <c r="E224" s="468"/>
      <c r="F224" s="474"/>
      <c r="G224" s="467"/>
      <c r="H224" s="468"/>
      <c r="I224" s="468"/>
      <c r="J224" s="468"/>
      <c r="K224" s="468"/>
    </row>
    <row r="225" spans="1:11" ht="13.15" customHeight="1">
      <c r="A225" s="493" t="s">
        <v>352</v>
      </c>
      <c r="B225" s="491">
        <v>4852</v>
      </c>
      <c r="C225" s="489"/>
      <c r="D225" s="467"/>
      <c r="E225" s="467"/>
      <c r="F225" s="467"/>
      <c r="G225" s="467"/>
      <c r="H225" s="467"/>
      <c r="I225" s="468"/>
      <c r="J225" s="467"/>
      <c r="K225" s="467"/>
    </row>
    <row r="226" spans="1:11" ht="13.15" customHeight="1">
      <c r="A226" s="493" t="s">
        <v>353</v>
      </c>
      <c r="B226" s="491">
        <v>4853</v>
      </c>
      <c r="C226" s="489"/>
      <c r="D226" s="467"/>
      <c r="E226" s="467"/>
      <c r="F226" s="467"/>
      <c r="G226" s="467"/>
      <c r="H226" s="467"/>
      <c r="I226" s="468"/>
      <c r="J226" s="467"/>
      <c r="K226" s="467"/>
    </row>
    <row r="227" spans="1:11" ht="13.15" customHeight="1">
      <c r="A227" s="493" t="s">
        <v>354</v>
      </c>
      <c r="B227" s="491">
        <v>4854</v>
      </c>
      <c r="C227" s="489"/>
      <c r="D227" s="467"/>
      <c r="E227" s="467"/>
      <c r="F227" s="467"/>
      <c r="G227" s="467"/>
      <c r="H227" s="467"/>
      <c r="I227" s="468"/>
      <c r="J227" s="467"/>
      <c r="K227" s="467"/>
    </row>
    <row r="228" spans="1:11" ht="13.15" customHeight="1">
      <c r="A228" s="493" t="s">
        <v>464</v>
      </c>
      <c r="B228" s="491">
        <v>4855</v>
      </c>
      <c r="C228" s="489"/>
      <c r="D228" s="467"/>
      <c r="E228" s="467"/>
      <c r="F228" s="467"/>
      <c r="G228" s="467"/>
      <c r="H228" s="467"/>
      <c r="I228" s="468"/>
      <c r="J228" s="467"/>
      <c r="K228" s="467"/>
    </row>
    <row r="229" spans="1:11" ht="13.15" customHeight="1">
      <c r="A229" s="493" t="s">
        <v>355</v>
      </c>
      <c r="B229" s="491">
        <v>4856</v>
      </c>
      <c r="C229" s="489"/>
      <c r="D229" s="467"/>
      <c r="E229" s="467"/>
      <c r="F229" s="467"/>
      <c r="G229" s="467"/>
      <c r="H229" s="467"/>
      <c r="I229" s="468"/>
      <c r="J229" s="467"/>
      <c r="K229" s="467"/>
    </row>
    <row r="230" spans="1:11" ht="13.15" customHeight="1">
      <c r="A230" s="493" t="s">
        <v>356</v>
      </c>
      <c r="B230" s="491">
        <v>4857</v>
      </c>
      <c r="C230" s="489"/>
      <c r="D230" s="467"/>
      <c r="E230" s="467"/>
      <c r="F230" s="467"/>
      <c r="G230" s="467"/>
      <c r="H230" s="467"/>
      <c r="I230" s="468"/>
      <c r="J230" s="467"/>
      <c r="K230" s="467"/>
    </row>
    <row r="231" spans="1:11" ht="13.15" customHeight="1">
      <c r="A231" s="493" t="s">
        <v>357</v>
      </c>
      <c r="B231" s="491">
        <v>4860</v>
      </c>
      <c r="C231" s="489"/>
      <c r="D231" s="467"/>
      <c r="E231" s="467"/>
      <c r="F231" s="467"/>
      <c r="G231" s="467"/>
      <c r="H231" s="467"/>
      <c r="I231" s="468"/>
      <c r="J231" s="467"/>
      <c r="K231" s="467"/>
    </row>
    <row r="232" spans="1:11" ht="13.15" customHeight="1">
      <c r="A232" s="493" t="s">
        <v>358</v>
      </c>
      <c r="B232" s="491">
        <v>4861</v>
      </c>
      <c r="C232" s="489"/>
      <c r="D232" s="467"/>
      <c r="E232" s="467"/>
      <c r="F232" s="467"/>
      <c r="G232" s="467"/>
      <c r="H232" s="467"/>
      <c r="I232" s="468"/>
      <c r="J232" s="467"/>
      <c r="K232" s="467"/>
    </row>
    <row r="233" spans="1:11" ht="13.15" customHeight="1">
      <c r="A233" s="493" t="s">
        <v>359</v>
      </c>
      <c r="B233" s="491">
        <v>4862</v>
      </c>
      <c r="C233" s="489"/>
      <c r="D233" s="467"/>
      <c r="E233" s="475"/>
      <c r="F233" s="467"/>
      <c r="G233" s="467"/>
      <c r="H233" s="475"/>
      <c r="I233" s="468"/>
      <c r="J233" s="475"/>
      <c r="K233" s="475"/>
    </row>
    <row r="234" spans="1:11" ht="13.15" customHeight="1">
      <c r="A234" s="493" t="s">
        <v>360</v>
      </c>
      <c r="B234" s="491">
        <v>4863</v>
      </c>
      <c r="C234" s="489"/>
      <c r="D234" s="467"/>
      <c r="E234" s="468"/>
      <c r="F234" s="475"/>
      <c r="G234" s="526"/>
      <c r="H234" s="468"/>
      <c r="I234" s="468"/>
      <c r="J234" s="468"/>
      <c r="K234" s="468"/>
    </row>
    <row r="235" spans="1:11" ht="13.15" customHeight="1">
      <c r="A235" s="493" t="s">
        <v>469</v>
      </c>
      <c r="B235" s="491">
        <v>4864</v>
      </c>
      <c r="C235" s="489"/>
      <c r="D235" s="467"/>
      <c r="E235" s="467"/>
      <c r="F235" s="467"/>
      <c r="G235" s="467"/>
      <c r="H235" s="467"/>
      <c r="I235" s="468"/>
      <c r="J235" s="467"/>
      <c r="K235" s="467"/>
    </row>
    <row r="236" spans="1:11" ht="13.15" customHeight="1">
      <c r="A236" s="493" t="s">
        <v>470</v>
      </c>
      <c r="B236" s="491">
        <v>4865</v>
      </c>
      <c r="C236" s="489"/>
      <c r="D236" s="467"/>
      <c r="E236" s="467"/>
      <c r="F236" s="467"/>
      <c r="G236" s="467"/>
      <c r="H236" s="467"/>
      <c r="I236" s="468"/>
      <c r="J236" s="467"/>
      <c r="K236" s="467"/>
    </row>
    <row r="237" spans="1:11" ht="13.15" customHeight="1">
      <c r="A237" s="493" t="s">
        <v>468</v>
      </c>
      <c r="B237" s="491">
        <v>4866</v>
      </c>
      <c r="C237" s="489"/>
      <c r="D237" s="467"/>
      <c r="E237" s="467"/>
      <c r="F237" s="467"/>
      <c r="G237" s="467"/>
      <c r="H237" s="467"/>
      <c r="I237" s="468"/>
      <c r="J237" s="467"/>
      <c r="K237" s="467"/>
    </row>
    <row r="238" spans="1:11" ht="13.15" customHeight="1">
      <c r="A238" s="493" t="s">
        <v>467</v>
      </c>
      <c r="B238" s="491">
        <v>4867</v>
      </c>
      <c r="C238" s="489"/>
      <c r="D238" s="467"/>
      <c r="E238" s="467"/>
      <c r="F238" s="467"/>
      <c r="G238" s="467"/>
      <c r="H238" s="467"/>
      <c r="I238" s="468"/>
      <c r="J238" s="467"/>
      <c r="K238" s="467"/>
    </row>
    <row r="239" spans="1:11" ht="13.15" customHeight="1">
      <c r="A239" s="493" t="s">
        <v>466</v>
      </c>
      <c r="B239" s="491">
        <v>4868</v>
      </c>
      <c r="C239" s="489"/>
      <c r="D239" s="467"/>
      <c r="E239" s="467"/>
      <c r="F239" s="467"/>
      <c r="G239" s="467"/>
      <c r="H239" s="467"/>
      <c r="I239" s="468"/>
      <c r="J239" s="467"/>
      <c r="K239" s="467"/>
    </row>
    <row r="240" spans="1:11" ht="13.15" customHeight="1">
      <c r="A240" s="493" t="s">
        <v>465</v>
      </c>
      <c r="B240" s="491">
        <v>4869</v>
      </c>
      <c r="C240" s="489"/>
      <c r="D240" s="467"/>
      <c r="E240" s="467"/>
      <c r="F240" s="467"/>
      <c r="G240" s="467"/>
      <c r="H240" s="467"/>
      <c r="I240" s="468"/>
      <c r="J240" s="467"/>
      <c r="K240" s="467"/>
    </row>
    <row r="241" spans="1:11" ht="13.15" customHeight="1">
      <c r="A241" s="493" t="s">
        <v>1128</v>
      </c>
      <c r="B241" s="491">
        <v>4870</v>
      </c>
      <c r="C241" s="489"/>
      <c r="D241" s="467"/>
      <c r="E241" s="467"/>
      <c r="F241" s="467"/>
      <c r="G241" s="467"/>
      <c r="H241" s="467"/>
      <c r="I241" s="468"/>
      <c r="J241" s="467"/>
      <c r="K241" s="467"/>
    </row>
    <row r="242" spans="1:11" ht="13.15" customHeight="1">
      <c r="A242" s="493" t="s">
        <v>788</v>
      </c>
      <c r="B242" s="491">
        <v>4871</v>
      </c>
      <c r="C242" s="489"/>
      <c r="D242" s="467"/>
      <c r="E242" s="467"/>
      <c r="F242" s="467"/>
      <c r="G242" s="467"/>
      <c r="H242" s="467"/>
      <c r="I242" s="468"/>
      <c r="J242" s="467"/>
      <c r="K242" s="467"/>
    </row>
    <row r="243" spans="1:11" ht="13.15" customHeight="1">
      <c r="A243" s="493" t="s">
        <v>789</v>
      </c>
      <c r="B243" s="491">
        <v>4872</v>
      </c>
      <c r="C243" s="489"/>
      <c r="D243" s="467"/>
      <c r="E243" s="467"/>
      <c r="F243" s="467"/>
      <c r="G243" s="467"/>
      <c r="H243" s="467"/>
      <c r="I243" s="468"/>
      <c r="J243" s="467"/>
      <c r="K243" s="467"/>
    </row>
    <row r="244" spans="1:11" ht="13.15" customHeight="1">
      <c r="A244" s="493" t="s">
        <v>790</v>
      </c>
      <c r="B244" s="491">
        <v>4873</v>
      </c>
      <c r="C244" s="489"/>
      <c r="D244" s="467"/>
      <c r="E244" s="467"/>
      <c r="F244" s="467"/>
      <c r="G244" s="467"/>
      <c r="H244" s="467"/>
      <c r="I244" s="468"/>
      <c r="J244" s="467"/>
      <c r="K244" s="467"/>
    </row>
    <row r="245" spans="1:11" ht="13.15" customHeight="1">
      <c r="A245" s="493" t="s">
        <v>791</v>
      </c>
      <c r="B245" s="491">
        <v>4874</v>
      </c>
      <c r="C245" s="489"/>
      <c r="D245" s="467"/>
      <c r="E245" s="467"/>
      <c r="F245" s="467"/>
      <c r="G245" s="467"/>
      <c r="H245" s="467"/>
      <c r="I245" s="468"/>
      <c r="J245" s="467"/>
      <c r="K245" s="467"/>
    </row>
    <row r="246" spans="1:11" ht="13.15" customHeight="1">
      <c r="A246" s="493" t="s">
        <v>471</v>
      </c>
      <c r="B246" s="491">
        <v>4875</v>
      </c>
      <c r="C246" s="489"/>
      <c r="D246" s="467"/>
      <c r="E246" s="467"/>
      <c r="F246" s="467"/>
      <c r="G246" s="467"/>
      <c r="H246" s="467"/>
      <c r="I246" s="468"/>
      <c r="J246" s="467"/>
      <c r="K246" s="467"/>
    </row>
    <row r="247" spans="1:11" ht="13.15" customHeight="1">
      <c r="A247" s="493" t="s">
        <v>770</v>
      </c>
      <c r="B247" s="491">
        <v>4876</v>
      </c>
      <c r="C247" s="489"/>
      <c r="D247" s="467"/>
      <c r="E247" s="467"/>
      <c r="F247" s="467"/>
      <c r="G247" s="467"/>
      <c r="H247" s="467"/>
      <c r="I247" s="468"/>
      <c r="J247" s="467"/>
      <c r="K247" s="467"/>
    </row>
    <row r="248" spans="1:11" ht="13.15" customHeight="1">
      <c r="A248" s="493" t="s">
        <v>771</v>
      </c>
      <c r="B248" s="491">
        <v>4877</v>
      </c>
      <c r="C248" s="489"/>
      <c r="D248" s="467"/>
      <c r="E248" s="467"/>
      <c r="F248" s="467"/>
      <c r="G248" s="467"/>
      <c r="H248" s="467"/>
      <c r="I248" s="468"/>
      <c r="J248" s="467"/>
      <c r="K248" s="467"/>
    </row>
    <row r="249" spans="1:11" ht="13.15" customHeight="1">
      <c r="A249" s="493" t="s">
        <v>772</v>
      </c>
      <c r="B249" s="491">
        <v>4878</v>
      </c>
      <c r="C249" s="489"/>
      <c r="D249" s="467"/>
      <c r="E249" s="467"/>
      <c r="F249" s="467"/>
      <c r="G249" s="467"/>
      <c r="H249" s="467"/>
      <c r="I249" s="468"/>
      <c r="J249" s="467"/>
      <c r="K249" s="467"/>
    </row>
    <row r="250" spans="1:11" ht="13.15" customHeight="1">
      <c r="A250" s="493" t="s">
        <v>773</v>
      </c>
      <c r="B250" s="491">
        <v>4879</v>
      </c>
      <c r="C250" s="489"/>
      <c r="D250" s="467"/>
      <c r="E250" s="467"/>
      <c r="F250" s="467"/>
      <c r="G250" s="467"/>
      <c r="H250" s="467"/>
      <c r="I250" s="468"/>
      <c r="J250" s="467"/>
      <c r="K250" s="467"/>
    </row>
    <row r="251" spans="1:11" ht="13.15" customHeight="1">
      <c r="A251" s="225" t="s">
        <v>1434</v>
      </c>
      <c r="B251" s="587">
        <v>4880</v>
      </c>
      <c r="C251" s="489"/>
      <c r="D251" s="467"/>
      <c r="E251" s="467"/>
      <c r="F251" s="467"/>
      <c r="G251" s="467"/>
      <c r="H251" s="467"/>
      <c r="I251" s="468"/>
      <c r="J251" s="467"/>
      <c r="K251" s="467"/>
    </row>
    <row r="252" spans="1:11" ht="13.15" customHeight="1" thickBot="1">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3.15" customHeight="1" thickTop="1" thickBot="1">
      <c r="A253" s="1435" t="s">
        <v>1400</v>
      </c>
      <c r="B253" s="588">
        <v>4901</v>
      </c>
      <c r="C253" s="589"/>
      <c r="D253" s="469"/>
      <c r="E253" s="468"/>
      <c r="F253" s="468"/>
      <c r="G253" s="468"/>
      <c r="H253" s="468"/>
      <c r="I253" s="468"/>
      <c r="J253" s="468"/>
      <c r="K253" s="468"/>
    </row>
    <row r="254" spans="1:11" ht="13.15" customHeight="1" thickTop="1" thickBot="1">
      <c r="A254" s="1436" t="s">
        <v>1442</v>
      </c>
      <c r="B254" s="590">
        <v>4902</v>
      </c>
      <c r="C254" s="591"/>
      <c r="D254" s="592"/>
      <c r="E254" s="469"/>
      <c r="F254" s="592"/>
      <c r="G254" s="592"/>
      <c r="H254" s="469"/>
      <c r="I254" s="468"/>
      <c r="J254" s="469"/>
      <c r="K254" s="469"/>
    </row>
    <row r="255" spans="1:11" ht="13.15" customHeight="1" thickTop="1" thickBot="1">
      <c r="A255" s="463" t="s">
        <v>1435</v>
      </c>
      <c r="B255" s="470">
        <v>4905</v>
      </c>
      <c r="C255" s="573"/>
      <c r="D255" s="468"/>
      <c r="E255" s="468"/>
      <c r="F255" s="578"/>
      <c r="G255" s="573"/>
      <c r="H255" s="468"/>
      <c r="I255" s="468"/>
      <c r="J255" s="468"/>
      <c r="K255" s="468"/>
    </row>
    <row r="256" spans="1:11" ht="13.15" customHeight="1" thickTop="1" thickBot="1">
      <c r="A256" s="463" t="s">
        <v>1436</v>
      </c>
      <c r="B256" s="470">
        <v>4909</v>
      </c>
      <c r="C256" s="576"/>
      <c r="D256" s="468"/>
      <c r="E256" s="468"/>
      <c r="F256" s="576"/>
      <c r="G256" s="576"/>
      <c r="H256" s="468"/>
      <c r="I256" s="468"/>
      <c r="J256" s="468"/>
      <c r="K256" s="468"/>
    </row>
    <row r="257" spans="1:11" ht="13.15" customHeight="1" thickTop="1" thickBot="1">
      <c r="A257" s="463" t="s">
        <v>193</v>
      </c>
      <c r="B257" s="470">
        <v>4920</v>
      </c>
      <c r="C257" s="576"/>
      <c r="D257" s="578"/>
      <c r="E257" s="468"/>
      <c r="F257" s="573"/>
      <c r="G257" s="573"/>
      <c r="H257" s="468"/>
      <c r="I257" s="468"/>
      <c r="J257" s="468"/>
      <c r="K257" s="468"/>
    </row>
    <row r="258" spans="1:11" ht="13.15" customHeight="1" thickTop="1" thickBot="1">
      <c r="A258" s="463" t="s">
        <v>421</v>
      </c>
      <c r="B258" s="470">
        <v>4930</v>
      </c>
      <c r="C258" s="576"/>
      <c r="D258" s="576"/>
      <c r="E258" s="468"/>
      <c r="F258" s="576"/>
      <c r="G258" s="576"/>
      <c r="H258" s="468"/>
      <c r="I258" s="468"/>
      <c r="J258" s="468"/>
      <c r="K258" s="468"/>
    </row>
    <row r="259" spans="1:11" ht="13.15" customHeight="1" thickTop="1" thickBot="1">
      <c r="A259" s="463" t="s">
        <v>758</v>
      </c>
      <c r="B259" s="470">
        <v>4932</v>
      </c>
      <c r="C259" s="576">
        <v>93421</v>
      </c>
      <c r="D259" s="576"/>
      <c r="E259" s="468"/>
      <c r="F259" s="576"/>
      <c r="G259" s="576"/>
      <c r="H259" s="468"/>
      <c r="I259" s="468"/>
      <c r="J259" s="468"/>
      <c r="K259" s="468"/>
    </row>
    <row r="260" spans="1:11" ht="13.15" customHeight="1" thickTop="1" thickBot="1">
      <c r="A260" s="463" t="s">
        <v>890</v>
      </c>
      <c r="B260" s="470">
        <v>4960</v>
      </c>
      <c r="C260" s="575"/>
      <c r="D260" s="576"/>
      <c r="E260" s="468"/>
      <c r="F260" s="576"/>
      <c r="G260" s="576"/>
      <c r="H260" s="468"/>
      <c r="I260" s="468"/>
      <c r="J260" s="468"/>
      <c r="K260" s="468"/>
    </row>
    <row r="261" spans="1:11" ht="13.15" customHeight="1" thickTop="1" thickBot="1">
      <c r="A261" s="1863" t="s">
        <v>1897</v>
      </c>
      <c r="B261" s="470">
        <v>4981</v>
      </c>
      <c r="C261" s="575"/>
      <c r="D261" s="576"/>
      <c r="E261" s="468"/>
      <c r="F261" s="576"/>
      <c r="G261" s="576"/>
      <c r="H261" s="468"/>
      <c r="I261" s="468"/>
      <c r="J261" s="468"/>
      <c r="K261" s="468"/>
    </row>
    <row r="262" spans="1:11" ht="13.15" customHeight="1" thickTop="1" thickBot="1">
      <c r="A262" s="1864" t="s">
        <v>1898</v>
      </c>
      <c r="B262" s="470">
        <v>4982</v>
      </c>
      <c r="C262" s="575"/>
      <c r="D262" s="576"/>
      <c r="E262" s="468"/>
      <c r="F262" s="576"/>
      <c r="G262" s="576"/>
      <c r="H262" s="468"/>
      <c r="I262" s="468"/>
      <c r="J262" s="468"/>
      <c r="K262" s="468"/>
    </row>
    <row r="263" spans="1:11" ht="13.15" customHeight="1" thickTop="1" thickBot="1">
      <c r="A263" s="463" t="s">
        <v>568</v>
      </c>
      <c r="B263" s="470">
        <v>4991</v>
      </c>
      <c r="C263" s="575">
        <v>46930</v>
      </c>
      <c r="D263" s="576"/>
      <c r="E263" s="468"/>
      <c r="F263" s="576"/>
      <c r="G263" s="576"/>
      <c r="H263" s="468"/>
      <c r="I263" s="468"/>
      <c r="J263" s="468"/>
      <c r="K263" s="468"/>
    </row>
    <row r="264" spans="1:11" ht="13.15" customHeight="1" thickTop="1" thickBot="1">
      <c r="A264" s="463" t="s">
        <v>377</v>
      </c>
      <c r="B264" s="470">
        <v>4992</v>
      </c>
      <c r="C264" s="575">
        <v>171772</v>
      </c>
      <c r="D264" s="576"/>
      <c r="E264" s="468"/>
      <c r="F264" s="576"/>
      <c r="G264" s="576"/>
      <c r="H264" s="468"/>
      <c r="I264" s="468"/>
      <c r="J264" s="468"/>
      <c r="K264" s="468"/>
    </row>
    <row r="265" spans="1:11" s="593" customFormat="1" ht="13.15" customHeight="1" thickTop="1" thickBot="1">
      <c r="A265" s="563" t="s">
        <v>75</v>
      </c>
      <c r="B265" s="557">
        <v>4999</v>
      </c>
      <c r="C265" s="575"/>
      <c r="D265" s="576"/>
      <c r="E265" s="468"/>
      <c r="F265" s="576"/>
      <c r="G265" s="576"/>
      <c r="H265" s="530"/>
      <c r="I265" s="468"/>
      <c r="J265" s="468"/>
      <c r="K265" s="530"/>
    </row>
    <row r="266" spans="1:11" ht="14.25" thickTop="1" thickBot="1">
      <c r="A266" s="1640" t="s">
        <v>1639</v>
      </c>
      <c r="B266" s="1659"/>
      <c r="C266" s="1647">
        <f t="shared" ref="C266:H266" si="10">SUM(C188,C198,C204,C209,C217,C221,C222,C252:C265)</f>
        <v>1679619</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c r="A267" s="1660" t="s">
        <v>1086</v>
      </c>
      <c r="B267" s="1661" t="s">
        <v>860</v>
      </c>
      <c r="C267" s="1647">
        <f>SUM(C175,C181,C266)</f>
        <v>1679619</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c r="A268" s="1662" t="s">
        <v>251</v>
      </c>
      <c r="B268" s="1663"/>
      <c r="C268" s="1647">
        <f t="shared" ref="C268:K268" si="12">SUM(C109,C114,C170,C267)</f>
        <v>21342295</v>
      </c>
      <c r="D268" s="1647">
        <f t="shared" si="12"/>
        <v>2132779</v>
      </c>
      <c r="E268" s="1647">
        <f t="shared" si="12"/>
        <v>2653345</v>
      </c>
      <c r="F268" s="1647">
        <f t="shared" si="12"/>
        <v>2193229</v>
      </c>
      <c r="G268" s="1647">
        <f t="shared" si="12"/>
        <v>735072</v>
      </c>
      <c r="H268" s="1647">
        <f t="shared" si="12"/>
        <v>954735</v>
      </c>
      <c r="I268" s="1647">
        <f t="shared" si="12"/>
        <v>225684</v>
      </c>
      <c r="J268" s="1647">
        <f t="shared" si="12"/>
        <v>1194587</v>
      </c>
      <c r="K268" s="1634">
        <f t="shared" si="12"/>
        <v>342762</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schemas.microsoft.com/sharepoint/v3"/>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4d435f69-8686-490b-bd6d-b153bf22ab50"/>
    <ds:schemaRef ds:uri="d21dc803-237d-4c68-8692-8d731fd29118"/>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 NOTES</vt:lpstr>
      <vt:lpstr>SF&amp;QC Sec-1</vt:lpstr>
      <vt:lpstr>SF&amp;QC Sec-2</vt:lpstr>
      <vt:lpstr>SF&amp;QC Sec-2 (2)</vt:lpstr>
      <vt:lpstr>SF&amp;QC Sec-2 (3)</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2019-10-09T14:29:21Z</cp:lastPrinted>
  <dcterms:created xsi:type="dcterms:W3CDTF">2003-10-29T19:06:34Z</dcterms:created>
  <dcterms:modified xsi:type="dcterms:W3CDTF">2019-11-15T20:24:38Z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{383E8D18-5C91-4663-A1B1-6040F60A2641}</vt:lpwstr>
  </property>
</Properties>
</file>