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509F910F-3044-4FF9-902D-1DE14B042A45}"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 PG 1 OF 3" sheetId="183" r:id="rId28"/>
    <sheet name=" SEFA - PG 2 OF 3" sheetId="179" r:id="rId29"/>
    <sheet name=" SEFA - PG 3 OF 3 " sheetId="184"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7">' SEFA - PG 1 OF 3'!$B$1:$M$46</definedName>
    <definedName name="_xlnm.Print_Area" localSheetId="28">' SEFA - PG 2 OF 3'!$B$1:$M$46</definedName>
    <definedName name="_xlnm.Print_Area" localSheetId="29">' SEFA - PG 3 OF 3 '!$B$1:$M$46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1" i="108" l="1"/>
  <c r="E14" i="108"/>
  <c r="E10" i="108"/>
  <c r="E9" i="108"/>
  <c r="I12" i="11"/>
  <c r="J39" i="8"/>
  <c r="L27" i="184" l="1"/>
  <c r="L26" i="184"/>
  <c r="L25" i="184"/>
  <c r="L24" i="184"/>
  <c r="L23" i="184"/>
  <c r="L22" i="184"/>
  <c r="L21" i="184"/>
  <c r="L20" i="184"/>
  <c r="L19" i="184"/>
  <c r="L18" i="184"/>
  <c r="L17" i="184"/>
  <c r="L16" i="184"/>
  <c r="L15" i="184"/>
  <c r="L14" i="184"/>
  <c r="L13" i="184"/>
  <c r="L12" i="184"/>
  <c r="L11" i="184"/>
  <c r="B4" i="184"/>
  <c r="L27" i="183"/>
  <c r="L26" i="183"/>
  <c r="L25" i="183"/>
  <c r="L24" i="183"/>
  <c r="L23" i="183"/>
  <c r="L22" i="183"/>
  <c r="L21" i="183"/>
  <c r="L20" i="183"/>
  <c r="L19" i="183"/>
  <c r="L18" i="183"/>
  <c r="L17" i="183"/>
  <c r="L16" i="183"/>
  <c r="L15" i="183"/>
  <c r="L14" i="183"/>
  <c r="L13" i="183"/>
  <c r="L12" i="183"/>
  <c r="L11" i="183"/>
  <c r="B4"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2" i="179"/>
  <c r="B2" i="183"/>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B2975" i="106" s="1"/>
  <c r="D2975" i="106" s="1"/>
  <c r="K81" i="29"/>
  <c r="B2976" i="106" s="1"/>
  <c r="D2976" i="106" s="1"/>
  <c r="K82" i="29"/>
  <c r="K83" i="29"/>
  <c r="B2978" i="106" s="1"/>
  <c r="D2978" i="106" s="1"/>
  <c r="K93" i="29"/>
  <c r="B6997" i="106" s="1"/>
  <c r="D6997" i="106" s="1"/>
  <c r="K94" i="29"/>
  <c r="K95" i="29"/>
  <c r="B7001" i="106" s="1"/>
  <c r="D7001" i="106" s="1"/>
  <c r="K96" i="29"/>
  <c r="B7003" i="106" s="1"/>
  <c r="D7003" i="106" s="1"/>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H28" i="118" s="1"/>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4" i="106"/>
  <c r="D7004"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4" i="127"/>
  <c r="B65" i="127"/>
  <c r="E26" i="108"/>
  <c r="G26" i="108"/>
  <c r="D27" i="108"/>
  <c r="E27" i="108"/>
  <c r="F27" i="108"/>
  <c r="G27" i="108"/>
  <c r="F31" i="108"/>
  <c r="F36" i="108"/>
  <c r="G28" i="108"/>
  <c r="G30" i="108"/>
  <c r="D31" i="108"/>
  <c r="D36"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F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C53" i="34"/>
  <c r="D53" i="34"/>
  <c r="C56" i="34"/>
  <c r="F56" i="34"/>
  <c r="C57" i="34"/>
  <c r="D57" i="34"/>
  <c r="C61" i="34"/>
  <c r="C62" i="34"/>
  <c r="C63" i="34"/>
  <c r="D63" i="34"/>
  <c r="C64" i="34"/>
  <c r="C67" i="34"/>
  <c r="D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D22" i="37"/>
  <c r="J22" i="37"/>
  <c r="F50" i="34" l="1"/>
  <c r="F42" i="34"/>
  <c r="D24" i="37"/>
  <c r="B4270" i="106" s="1"/>
  <c r="D4270" i="106" s="1"/>
  <c r="L22" i="37"/>
  <c r="C129" i="29"/>
  <c r="F36" i="34"/>
  <c r="H33" i="118"/>
  <c r="B6289" i="106"/>
  <c r="D6289" i="106" s="1"/>
  <c r="F64" i="34"/>
  <c r="F67" i="34"/>
  <c r="F34" i="34"/>
  <c r="G29" i="108"/>
  <c r="H342" i="29"/>
  <c r="L367" i="29"/>
  <c r="E38" i="108"/>
  <c r="E33" i="108"/>
  <c r="E34" i="108"/>
  <c r="J41" i="3"/>
  <c r="B6216" i="106" s="1"/>
  <c r="D6216" i="106" s="1"/>
  <c r="E29" i="108"/>
  <c r="F52" i="34"/>
  <c r="G39" i="108"/>
  <c r="F28" i="108"/>
  <c r="B2724" i="106"/>
  <c r="D2724" i="106" s="1"/>
  <c r="K184" i="29"/>
  <c r="F13" i="4" s="1"/>
  <c r="B2596" i="106" s="1"/>
  <c r="D2596" i="106" s="1"/>
  <c r="B3647" i="106"/>
  <c r="D3647" i="106" s="1"/>
  <c r="C342" i="29"/>
  <c r="B7216" i="106" s="1"/>
  <c r="D7216" i="106" s="1"/>
  <c r="H365" i="29"/>
  <c r="B7242" i="106" s="1"/>
  <c r="D7242" i="106" s="1"/>
  <c r="J210" i="29"/>
  <c r="B7072" i="106" s="1"/>
  <c r="D7072" i="106" s="1"/>
  <c r="L13" i="11"/>
  <c r="B2060" i="106" s="1"/>
  <c r="D2060" i="106" s="1"/>
  <c r="K76" i="4"/>
  <c r="B3586" i="106" s="1"/>
  <c r="D3586" i="106" s="1"/>
  <c r="H76" i="4"/>
  <c r="B3298" i="106" s="1"/>
  <c r="D3298" i="106" s="1"/>
  <c r="J77" i="4"/>
  <c r="B6262" i="106" s="1"/>
  <c r="D6262" i="106" s="1"/>
  <c r="D6103" i="106"/>
  <c r="G210" i="29"/>
  <c r="I210" i="29"/>
  <c r="B7071" i="106" s="1"/>
  <c r="D7071" i="106" s="1"/>
  <c r="C352" i="29"/>
  <c r="C367" i="29" s="1"/>
  <c r="B3622" i="106" s="1"/>
  <c r="D3622" i="106" s="1"/>
  <c r="J352" i="29"/>
  <c r="J367" i="29" s="1"/>
  <c r="B7245" i="106" s="1"/>
  <c r="D7245" i="106" s="1"/>
  <c r="F77" i="4"/>
  <c r="B3255" i="106" s="1"/>
  <c r="D3255" i="106" s="1"/>
  <c r="F19" i="7"/>
  <c r="B1807" i="106" s="1"/>
  <c r="D1807" i="106" s="1"/>
  <c r="G15" i="145"/>
  <c r="D54" i="36"/>
  <c r="L5" i="11"/>
  <c r="B2056" i="106" s="1"/>
  <c r="D2056"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G6" i="4" l="1"/>
  <c r="B2604" i="106" s="1"/>
  <c r="D2604" i="106" s="1"/>
  <c r="B5770" i="106"/>
  <c r="D5770" i="106" s="1"/>
  <c r="D7256" i="106"/>
  <c r="D7251" i="106"/>
  <c r="I7" i="4"/>
  <c r="B4444" i="106" s="1"/>
  <c r="D4444" i="106" s="1"/>
  <c r="D51" i="36"/>
  <c r="K77" i="4"/>
  <c r="B3587" i="106" s="1"/>
  <c r="D3587" i="106" s="1"/>
  <c r="J16" i="4"/>
  <c r="B6226" i="106" s="1"/>
  <c r="D6226" i="106" s="1"/>
  <c r="K365" i="29"/>
  <c r="K16" i="4" s="1"/>
  <c r="F66" i="34"/>
  <c r="B1381" i="106"/>
  <c r="D1381" i="106" s="1"/>
  <c r="F41" i="108"/>
  <c r="G43" i="108" s="1"/>
  <c r="B1365" i="106"/>
  <c r="D1365" i="106" s="1"/>
  <c r="F65" i="34"/>
  <c r="H77" i="4"/>
  <c r="B3299" i="106" s="1"/>
  <c r="D3299" i="106" s="1"/>
  <c r="D44" i="36"/>
  <c r="L114" i="29"/>
  <c r="K342" i="29"/>
  <c r="F13" i="34" s="1"/>
  <c r="B7235" i="106"/>
  <c r="D7235" i="106" s="1"/>
  <c r="D7250" i="106"/>
  <c r="C114" i="29"/>
  <c r="B757" i="106" s="1"/>
  <c r="D757" i="106" s="1"/>
  <c r="N23" i="3"/>
  <c r="B284" i="106" s="1"/>
  <c r="D284" i="106" s="1"/>
  <c r="D41" i="108"/>
  <c r="E43" i="108" s="1"/>
  <c r="L16" i="11"/>
  <c r="B2061" i="106" s="1"/>
  <c r="D2061" i="106" s="1"/>
  <c r="B2031" i="106"/>
  <c r="D203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43" i="106" l="1"/>
  <c r="D7243" i="106" s="1"/>
  <c r="K367" i="29"/>
  <c r="K368" i="29" s="1"/>
  <c r="B3681" i="106" s="1"/>
  <c r="D3681" i="106" s="1"/>
  <c r="B7224" i="106"/>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K17" i="4"/>
  <c r="K20" i="4" s="1"/>
  <c r="J10" i="4"/>
  <c r="B6225" i="106" s="1"/>
  <c r="D6225" i="106" s="1"/>
  <c r="J20" i="4"/>
  <c r="B6230" i="106" s="1"/>
  <c r="D6230" i="106" s="1"/>
  <c r="B6227" i="106"/>
  <c r="D6227"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B3575" i="106"/>
  <c r="D3575" i="106" s="1"/>
  <c r="K19" i="4"/>
  <c r="B4144" i="106" s="1"/>
  <c r="D4144" i="106" s="1"/>
  <c r="J78" i="4"/>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8" i="146" l="1"/>
  <c r="F175" i="34"/>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<sst xmlns="http://schemas.openxmlformats.org/spreadsheetml/2006/main" count="5332" uniqueCount="2189">
  <si>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</si>
  <si>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</si>
  <si>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</si>
  <si>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</si>
  <si>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</si>
  <si>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</si>
  <si>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</si>
  <si>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</si>
  <si>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</si>
  <si>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</si>
  <si>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</si>
  <si>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</si>
  <si>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</si>
  <si>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</si>
  <si>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</si>
  <si>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</si>
  <si>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</si>
  <si>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</si>
  <si>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</si>
  <si>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</si>
  <si>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</si>
  <si>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</si>
  <si>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</si>
  <si>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</si>
  <si>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</si>
  <si>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</si>
  <si>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</si>
  <si>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</si>
  <si>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</si>
  <si>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</si>
  <si>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</si>
  <si>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</si>
  <si>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</si>
  <si>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</si>
  <si>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</si>
  <si>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</si>
  <si>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</si>
  <si>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</si>
  <si>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</si>
  <si>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</si>
  <si>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</si>
  <si>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</si>
  <si>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</si>
  <si>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</si>
  <si>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</si>
  <si>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</si>
  <si>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</si>
  <si>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</si>
  <si>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</si>
  <si>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</si>
  <si>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</si>
  <si>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</si>
  <si>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</si>
  <si>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</si>
  <si>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</si>
  <si>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</si>
  <si>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</si>
  <si>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</si>
  <si>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</si>
  <si>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</si>
  <si>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</si>
  <si>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</si>
  <si>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</si>
  <si>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</si>
  <si>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</si>
  <si>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</si>
  <si>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</si>
  <si>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</si>
  <si>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</si>
  <si>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</si>
  <si>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</si>
  <si>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</si>
  <si>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</si>
  <si>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</si>
  <si>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</si>
  <si>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</si>
  <si>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</si>
  <si>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</si>
  <si>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</si>
  <si>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</si>
  <si>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</si>
  <si>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</si>
  <si>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</si>
  <si>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</si>
  <si>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</si>
  <si>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</si>
  <si>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</si>
  <si>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</si>
  <si>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</si>
  <si>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</si>
  <si>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</si>
  <si>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</si>
  <si>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</si>
  <si>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</si>
  <si>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</si>
  <si>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</si>
  <si>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</si>
  <si>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</si>
  <si>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</si>
  <si>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</si>
  <si>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</si>
  <si>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</si>
  <si>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</si>
  <si>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</si>
  <si>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</si>
  <si>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</si>
  <si>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</si>
  <si>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</si>
  <si>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</si>
  <si>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</si>
  <si>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</si>
  <si>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</si>
  <si>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</si>
  <si>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</si>
  <si>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</si>
  <si>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</si>
  <si>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</si>
  <si>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</si>
  <si>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</si>
  <si>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</si>
  <si>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</si>
  <si>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</si>
  <si>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</si>
  <si>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</si>
  <si>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</si>
  <si>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</si>
  <si>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</si>
  <si>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</si>
  <si>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</si>
  <si>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</si>
  <si>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</si>
  <si>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</si>
  <si>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</si>
  <si>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</si>
  <si>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</si>
  <si>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</si>
  <si>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</si>
  <si>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</si>
  <si>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</si>
  <si>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</si>
  <si>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</si>
  <si>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</si>
  <si>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</si>
  <si>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</si>
  <si>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</si>
  <si>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</si>
  <si>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</si>
  <si>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</si>
  <si>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</si>
  <si>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</si>
  <si>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</si>
  <si>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</si>
  <si>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</si>
  <si>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</si>
  <si>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</si>
  <si>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</si>
  <si>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</si>
  <si>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</si>
  <si>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</si>
  <si>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</si>
  <si>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</si>
  <si>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</si>
  <si>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</si>
  <si>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</si>
  <si>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</si>
  <si>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</si>
  <si>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</si>
  <si>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</si>
  <si>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</si>
  <si>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</si>
  <si>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</si>
  <si>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</si>
  <si>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</si>
  <si>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</si>
  <si>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</si>
  <si>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</si>
  <si>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</si>
  <si>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</si>
  <si>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</si>
  <si>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</si>
  <si>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</si>
  <si>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</si>
  <si>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</si>
  <si>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</si>
  <si>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</si>
  <si>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</si>
  <si>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</si>
  <si>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</si>
  <si>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</si>
  <si>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</si>
  <si>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</si>
  <si>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</si>
  <si>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</si>
  <si>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</si>
  <si>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</si>
  <si>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</si>
  <si>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</si>
  <si>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</si>
  <si>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</si>
  <si>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</si>
  <si>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</si>
  <si>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</si>
  <si>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</si>
  <si>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</si>
  <si>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</si>
  <si>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</si>
  <si>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</si>
  <si>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</si>
  <si>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</si>
  <si>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</si>
  <si>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</si>
  <si>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</si>
  <si>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</si>
  <si>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</si>
  <si>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</si>
  <si>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</si>
  <si>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</si>
  <si>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</si>
  <si>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</si>
  <si>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</si>
  <si>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</si>
  <si>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</si>
  <si>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</si>
  <si>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</si>
  <si>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</si>
  <si>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</si>
  <si>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</si>
  <si>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</si>
  <si>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</si>
  <si>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</si>
  <si>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</si>
  <si>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</si>
  <si>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</si>
  <si>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</si>
  <si>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</si>
  <si>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</si>
  <si>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</si>
  <si>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</si>
  <si>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</si>
  <si>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</si>
  <si>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</si>
  <si>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</si>
  <si>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</si>
  <si>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</si>
  <si>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</si>
  <si>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</si>
  <si>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</si>
  <si>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</si>
  <si>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</si>
  <si>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</si>
  <si>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</si>
  <si>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</si>
  <si>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</si>
  <si>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</si>
  <si>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</si>
  <si>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</si>
  <si>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</si>
  <si>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</si>
  <si>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</si>
  <si>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</si>
  <si>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</si>
  <si>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</si>
  <si>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</si>
  <si>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</si>
  <si>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</si>
  <si>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</si>
  <si>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</si>
  <si>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</si>
  <si>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</si>
  <si>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</si>
  <si>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</si>
  <si>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</si>
  <si>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</si>
  <si>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</si>
  <si>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</si>
  <si>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</si>
  <si>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</si>
  <si>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</si>
  <si>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</si>
  <si>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</si>
  <si>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</si>
  <si>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</si>
  <si>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</si>
  <si>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</si>
  <si>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</si>
  <si>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</si>
  <si>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</si>
  <si>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</si>
  <si>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</si>
  <si>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</si>
  <si>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</si>
  <si>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</si>
  <si>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</si>
  <si>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</si>
  <si>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</si>
  <si>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</si>
  <si>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</si>
  <si>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</si>
  <si>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</si>
  <si>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</si>
  <si>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</si>
  <si>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</si>
  <si>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</si>
  <si>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</si>
  <si>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</si>
  <si>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</si>
  <si>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</si>
  <si>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</si>
  <si>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</si>
  <si>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</si>
  <si>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</si>
  <si>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</si>
  <si>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</si>
  <si>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</si>
  <si>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</si>
  <si>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</si>
  <si>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</si>
  <si>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</si>
  <si>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</si>
  <si>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</si>
  <si>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</si>
  <si>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</si>
  <si>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</si>
  <si>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</si>
  <si>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</si>
  <si>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</si>
  <si>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</si>
  <si>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</si>
  <si>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</si>
  <si>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</si>
  <si>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</si>
  <si>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</si>
  <si>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</si>
  <si>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</si>
  <si>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</si>
  <si>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</si>
  <si>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</si>
  <si>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</si>
  <si>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</si>
  <si>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</si>
  <si>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</si>
  <si>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</si>
  <si>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</si>
  <si>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</si>
  <si>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</si>
  <si>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</si>
  <si>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</si>
  <si>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</si>
  <si>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</si>
  <si>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</si>
  <si>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</si>
  <si>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</si>
  <si>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</si>
  <si>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</si>
  <si>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</si>
  <si>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</si>
  <si>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</si>
  <si>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</si>
  <si>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</si>
  <si>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</si>
  <si>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</si>
  <si>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</si>
  <si>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</si>
  <si>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</si>
  <si>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</si>
  <si>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</si>
  <si>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</si>
  <si>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</si>
  <si>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</si>
  <si>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</si>
  <si>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</si>
  <si>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</si>
  <si>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</si>
  <si>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</si>
  <si>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</si>
  <si>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</si>
  <si>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</si>
  <si>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</si>
  <si>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</si>
  <si>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</si>
  <si>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</si>
  <si>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</si>
  <si>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</si>
  <si>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</si>
  <si>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</si>
  <si>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</si>
  <si>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</si>
  <si>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</si>
  <si>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</si>
  <si>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</si>
  <si>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</si>
  <si>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</si>
  <si>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</si>
  <si>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</si>
  <si>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</si>
  <si>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</si>
  <si>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</si>
  <si>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</si>
  <si>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</si>
  <si>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</si>
  <si>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</si>
  <si>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</si>
  <si>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</si>
  <si>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</si>
  <si>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</si>
  <si>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</si>
  <si>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</si>
  <si>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</si>
  <si>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</si>
  <si>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</si>
  <si>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</si>
  <si>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</si>
  <si>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</si>
  <si>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</si>
  <si>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</si>
  <si>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</si>
  <si>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</si>
  <si>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</si>
  <si>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</si>
  <si>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</si>
  <si>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</si>
  <si>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</si>
  <si>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</si>
  <si>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</si>
  <si>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</si>
  <si>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</si>
  <si>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</si>
  <si>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</si>
  <si>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</si>
  <si>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</si>
  <si>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</si>
  <si>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</si>
  <si>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</si>
  <si>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</si>
  <si>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</si>
  <si>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</si>
  <si>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</si>
  <si>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</si>
  <si>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</si>
  <si>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</si>
  <si>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</si>
  <si>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</si>
  <si>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</si>
  <si>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</si>
  <si>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</si>
  <si>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</si>
  <si>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</si>
  <si>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</si>
  <si>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</si>
  <si>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</si>
  <si>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</si>
  <si>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</si>
  <si>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</si>
  <si>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</si>
  <si>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</si>
  <si>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</si>
  <si>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</si>
  <si>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</si>
  <si>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</si>
  <si>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</si>
  <si>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</si>
  <si>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</si>
  <si>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</si>
  <si>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</si>
  <si>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</si>
  <si>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</si>
  <si>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</si>
  <si>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</si>
  <si>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</si>
  <si>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</si>
  <si>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</si>
  <si>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</si>
  <si>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</si>
  <si>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</si>
  <si>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</si>
  <si>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</si>
  <si>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</si>
  <si>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</si>
  <si>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</si>
  <si>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</si>
  <si>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</si>
  <si>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</si>
  <si>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</si>
  <si>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</si>
  <si>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</si>
  <si>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</si>
  <si>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</si>
  <si>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</si>
  <si>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</si>
  <si>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</si>
  <si>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</si>
  <si>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</si>
  <si>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</si>
  <si>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</si>
  <si>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</si>
  <si>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</si>
  <si>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</si>
  <si>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</si>
  <si>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</si>
  <si>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</si>
  <si>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</si>
  <si>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</si>
  <si>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</si>
  <si>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</si>
  <si>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</si>
  <si>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</si>
  <si>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</si>
  <si>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</si>
  <si>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</si>
  <si>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</si>
  <si>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</si>
  <si>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</si>
  <si>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</si>
  <si>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</si>
  <si>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</si>
  <si>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</si>
  <si>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</si>
  <si>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</si>
  <si>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</si>
  <si>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</si>
  <si>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</si>
  <si>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</si>
  <si>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</si>
  <si>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</si>
  <si>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</si>
  <si>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</si>
  <si>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</si>
  <si>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</si>
  <si>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</si>
  <si>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</si>
  <si>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</si>
  <si>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</si>
  <si>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</si>
  <si>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</si>
  <si>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</si>
  <si>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</si>
  <si>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</si>
  <si>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</si>
  <si>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</si>
  <si>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</si>
  <si>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</si>
  <si>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</si>
  <si>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</si>
  <si>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</si>
  <si>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</si>
  <si>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</si>
  <si>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</si>
  <si>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</si>
  <si>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</si>
  <si>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</si>
  <si>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</si>
  <si>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</si>
  <si>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</si>
  <si>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</si>
  <si>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</si>
  <si>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</si>
  <si>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</si>
  <si>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</si>
  <si>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</si>
  <si>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</si>
  <si>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</si>
  <si>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</si>
  <si>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</si>
  <si>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</si>
  <si>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</si>
  <si>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</si>
  <si>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</si>
  <si>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</si>
  <si>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</si>
  <si>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</si>
  <si>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</si>
  <si>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</si>
  <si>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</si>
  <si>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</si>
  <si>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</si>
  <si>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</si>
  <si>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</si>
  <si>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</si>
  <si>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</si>
  <si>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</si>
  <si>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</si>
  <si>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</si>
  <si>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</si>
  <si>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</si>
  <si>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</si>
  <si>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</si>
  <si>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</si>
  <si>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</si>
  <si>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</si>
  <si>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</si>
  <si>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</si>
  <si>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</si>
  <si>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</si>
  <si>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</si>
  <si>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</si>
  <si>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</si>
  <si>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</si>
  <si>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</si>
  <si>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</si>
  <si>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</si>
  <si>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</si>
  <si>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</si>
  <si>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</si>
  <si>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</si>
  <si>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</si>
  <si>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</si>
  <si>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</si>
  <si>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</si>
  <si>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</si>
  <si>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</si>
  <si>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</si>
  <si>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</si>
  <si>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</si>
  <si>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</si>
  <si>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</si>
  <si>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</si>
  <si>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</si>
  <si>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</si>
  <si>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</si>
  <si>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</si>
  <si>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</si>
  <si>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</si>
  <si>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</si>
  <si>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</si>
  <si>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</si>
  <si>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</si>
  <si>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</si>
  <si>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</si>
  <si>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</si>
  <si>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</si>
  <si>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</si>
  <si>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</si>
  <si>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</si>
  <si>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</si>
  <si>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</si>
  <si>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</si>
  <si>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</si>
  <si>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</si>
  <si>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</si>
  <si>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</si>
  <si>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</si>
  <si>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</si>
  <si>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</si>
  <si>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</si>
  <si>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</si>
  <si>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</si>
  <si>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</si>
  <si>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</si>
  <si>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</si>
  <si>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</si>
  <si>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</si>
  <si>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</si>
  <si>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</si>
  <si>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</si>
  <si>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</si>
  <si>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</si>
  <si>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</si>
  <si>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</si>
  <si>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</si>
  <si>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</si>
  <si>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</si>
  <si>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</si>
  <si>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</si>
  <si>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</si>
  <si>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</si>
  <si>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</si>
  <si>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</si>
  <si>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</si>
  <si>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</si>
  <si>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</si>
  <si>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</si>
  <si>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</si>
  <si>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</si>
  <si>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</si>
  <si>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</si>
  <si>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</si>
  <si>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</si>
  <si>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</si>
  <si>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</si>
  <si>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</si>
  <si>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</si>
  <si>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</si>
  <si>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</si>
  <si>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</si>
  <si>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</si>
  <si>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</si>
  <si>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</si>
  <si>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</si>
  <si>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</si>
  <si>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</si>
  <si>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</si>
  <si>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</si>
  <si>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</si>
  <si>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</si>
  <si>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</si>
  <si>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</si>
  <si>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</si>
  <si>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</si>
  <si>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</si>
  <si>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</si>
  <si>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</si>
  <si>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</si>
  <si>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</si>
  <si>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</si>
  <si>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</si>
  <si>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</si>
  <si>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</si>
  <si>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</si>
  <si>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</si>
  <si>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</si>
  <si>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</si>
  <si>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</si>
  <si>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</si>
  <si>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</si>
  <si>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</si>
  <si>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</si>
  <si>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</si>
  <si>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</si>
  <si>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</si>
  <si>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</si>
  <si>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</si>
  <si>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</si>
  <si>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</si>
  <si>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</si>
  <si>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</si>
  <si>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</si>
  <si>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</si>
  <si>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</si>
  <si>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</si>
  <si>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</si>
  <si>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</si>
  <si>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</si>
  <si>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</si>
  <si>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</si>
  <si>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</si>
  <si>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</si>
  <si>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</si>
  <si>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</si>
  <si>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</si>
  <si>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</si>
  <si>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</si>
  <si>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</si>
  <si>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</si>
  <si>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</si>
  <si>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</si>
  <si>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</si>
  <si>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</si>
  <si>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</si>
  <si>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</si>
  <si>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</si>
  <si>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</si>
  <si>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</si>
  <si>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</si>
  <si>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</si>
  <si>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</si>
  <si>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</si>
  <si>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</si>
  <si>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</si>
  <si>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</si>
  <si>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</si>
  <si>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</si>
  <si>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</si>
  <si>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</si>
  <si>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</si>
  <si>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</si>
  <si>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</si>
  <si>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</si>
  <si>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</si>
  <si>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</si>
  <si>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</si>
  <si>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</si>
  <si>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</si>
  <si>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</si>
  <si>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</si>
  <si>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</si>
  <si>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</si>
  <si>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</si>
  <si>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</si>
  <si>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</si>
  <si>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</si>
  <si>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</si>
  <si>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</si>
  <si>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</si>
  <si>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</si>
  <si>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</si>
  <si>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</si>
  <si>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</si>
  <si>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</si>
  <si>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</si>
  <si>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</si>
  <si>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</si>
  <si>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</si>
  <si>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</si>
  <si>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</si>
  <si>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</si>
  <si>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</si>
  <si>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</si>
  <si>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</si>
  <si>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</si>
  <si>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</si>
  <si>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</si>
  <si>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</si>
  <si>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</si>
  <si>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</si>
  <si>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</si>
  <si>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</si>
  <si>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</si>
  <si>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</si>
  <si>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</si>
  <si>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</si>
  <si>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</si>
  <si>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</si>
  <si>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</si>
  <si>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</si>
  <si>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</si>
  <si>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</si>
  <si>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</si>
  <si>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</si>
  <si>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</si>
  <si>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</si>
  <si>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</si>
  <si>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</si>
  <si>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</si>
  <si>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</si>
  <si>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</si>
  <si>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</si>
  <si>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</si>
  <si>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</si>
  <si>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</si>
  <si>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</si>
  <si>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</si>
  <si>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</si>
  <si>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</si>
  <si>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</si>
  <si>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</si>
  <si>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</si>
  <si>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</si>
  <si>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</si>
  <si>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</si>
  <si>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</si>
  <si>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</si>
  <si>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</si>
  <si>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</si>
  <si>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</si>
  <si>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</si>
  <si>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</si>
  <si>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</si>
  <si>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</si>
  <si>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</si>
  <si>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</si>
  <si>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</si>
  <si>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</si>
  <si>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</si>
  <si>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</si>
  <si>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</si>
  <si>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</si>
  <si>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</si>
  <si>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</si>
  <si>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</si>
  <si>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</si>
  <si>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</si>
  <si>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</si>
  <si>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</si>
  <si>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</si>
  <si>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</si>
  <si>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</si>
  <si>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</si>
  <si>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</si>
  <si>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</si>
  <si>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</si>
  <si>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</si>
  <si>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</si>
  <si>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</si>
  <si>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</si>
  <si>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</si>
  <si>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</si>
  <si>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</si>
  <si>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</si>
  <si>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</si>
  <si>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</si>
  <si>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</si>
  <si>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</si>
  <si>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</si>
  <si>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</si>
  <si>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</si>
  <si>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</si>
  <si>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</si>
  <si>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</si>
  <si>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</si>
  <si>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</si>
  <si>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</si>
  <si>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</si>
  <si>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</si>
  <si>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</si>
  <si>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</si>
  <si>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</si>
  <si>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</si>
  <si>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</si>
  <si>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</si>
  <si>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</si>
  <si>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</si>
  <si>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</si>
  <si>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</si>
  <si>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</si>
  <si>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</si>
  <si>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</si>
  <si>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</si>
  <si>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</si>
  <si>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</si>
  <si>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</si>
  <si>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</si>
  <si>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</si>
  <si>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</si>
  <si>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</si>
  <si>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</si>
  <si>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</si>
  <si>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</si>
  <si>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</si>
  <si>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</si>
  <si>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</si>
  <si>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</si>
  <si>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</si>
  <si>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</si>
  <si>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</si>
  <si>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</si>
  <si>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</si>
  <si>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</si>
  <si>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</si>
  <si>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</si>
  <si>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</si>
  <si>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</si>
  <si>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</si>
  <si>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</si>
  <si>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</si>
  <si>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</si>
  <si>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</si>
  <si>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</si>
  <si>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</si>
  <si>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</si>
  <si>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</si>
  <si>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</si>
  <si>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</si>
  <si>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</si>
  <si>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</si>
  <si>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</si>
  <si>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</si>
  <si>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</si>
  <si>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</si>
  <si>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</si>
  <si>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</si>
  <si>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</si>
  <si>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</si>
  <si>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</si>
  <si>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</si>
  <si>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</si>
  <si>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</si>
  <si>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</si>
  <si>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</si>
  <si>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</si>
  <si>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</si>
  <si>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</si>
  <si>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</si>
  <si>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</si>
  <si>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</si>
  <si>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</si>
  <si>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</si>
  <si>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</si>
  <si>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</si>
  <si>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</si>
  <si>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</si>
  <si>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</si>
  <si>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</si>
  <si>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</si>
  <si>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</si>
  <si>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</si>
  <si>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</si>
  <si>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</si>
  <si>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</si>
  <si>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</si>
  <si>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</si>
  <si>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</si>
  <si>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</si>
  <si>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</si>
  <si>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</si>
  <si>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</si>
  <si>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</si>
  <si>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</si>
  <si>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</si>
  <si>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</si>
  <si>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</si>
  <si>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</si>
  <si>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</si>
  <si>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</si>
  <si>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</si>
  <si>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</si>
  <si>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</si>
  <si>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</si>
  <si>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</si>
  <si>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</si>
  <si>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</si>
  <si>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</si>
  <si>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</si>
  <si>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</si>
  <si>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</si>
  <si>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</si>
  <si>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</si>
  <si>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</si>
  <si>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</si>
  <si>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</si>
  <si>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</si>
  <si>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</si>
  <si>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</si>
  <si>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</si>
  <si>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</si>
  <si>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</si>
  <si>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</si>
  <si>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</si>
  <si>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</si>
  <si>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</si>
  <si>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</si>
  <si>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</si>
  <si>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</si>
  <si>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</si>
  <si>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</si>
  <si>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</si>
  <si>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</si>
  <si>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</si>
  <si>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</si>
  <si>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</si>
  <si>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</si>
  <si>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</si>
  <si>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</si>
  <si>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</si>
  <si>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</si>
  <si>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</si>
  <si>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</si>
  <si>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</si>
  <si>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</si>
  <si>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</si>
  <si>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</si>
  <si>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</si>
  <si>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</si>
  <si>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</si>
  <si>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</si>
  <si>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</si>
  <si>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</si>
  <si>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</si>
  <si>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</si>
  <si>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</si>
  <si>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</si>
  <si>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</si>
  <si>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</si>
  <si>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</si>
  <si>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</si>
  <si>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</si>
  <si>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</si>
  <si>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</si>
  <si>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</si>
  <si>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</si>
  <si>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</si>
  <si>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</si>
  <si>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</si>
  <si>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</si>
  <si>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</si>
  <si>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</si>
  <si>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</si>
  <si>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</si>
  <si>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</si>
  <si>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</si>
  <si>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</si>
  <si>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</si>
  <si>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</si>
  <si>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</si>
  <si>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</si>
  <si>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</si>
  <si>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</si>
  <si>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</si>
  <si>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</si>
  <si>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</si>
  <si>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</si>
  <si>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</si>
  <si>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</si>
  <si>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</si>
  <si>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</si>
  <si>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</si>
  <si>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</si>
  <si>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</si>
  <si>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</si>
  <si>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</si>
  <si>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</si>
  <si>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</si>
  <si>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</si>
  <si>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</si>
  <si>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</si>
  <si>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</si>
  <si>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</si>
  <si>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</si>
  <si>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</si>
  <si>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</si>
  <si>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</si>
  <si>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</si>
  <si>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</si>
  <si>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</si>
  <si>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</si>
  <si>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</si>
  <si>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</si>
  <si>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</si>
  <si>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</si>
  <si>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</si>
  <si>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</si>
  <si>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</si>
  <si>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</si>
  <si>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</si>
  <si>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</si>
  <si>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</si>
  <si>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</si>
  <si>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</si>
  <si>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</si>
  <si>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</si>
  <si>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</si>
  <si>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</si>
  <si>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</si>
  <si>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</si>
  <si>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</si>
  <si>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</si>
  <si>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</si>
  <si>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</si>
  <si>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</si>
  <si>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</si>
  <si>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</si>
  <si>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</si>
  <si>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</si>
  <si>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</si>
  <si>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</si>
  <si>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</si>
  <si>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</si>
  <si>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</si>
  <si>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</si>
  <si>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</si>
  <si>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</si>
  <si>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</si>
  <si>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</si>
  <si>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</si>
  <si>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</si>
  <si>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</si>
  <si>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</si>
  <si>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</si>
  <si>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</si>
  <si>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</si>
  <si>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</si>
  <si>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</si>
  <si>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</si>
  <si>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</si>
  <si>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</si>
  <si>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</si>
  <si>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</si>
  <si>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</si>
  <si>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</si>
  <si>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</si>
  <si>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</si>
  <si>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</si>
  <si>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</si>
  <si>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</si>
  <si>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</si>
  <si>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</si>
  <si>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</si>
  <si>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</si>
  <si>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</si>
  <si>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</si>
  <si>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</si>
  <si>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</si>
  <si>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</si>
  <si>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</si>
  <si>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</si>
  <si>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</si>
  <si>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</si>
  <si>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</si>
  <si>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</si>
  <si>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</si>
  <si>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</si>
  <si>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</si>
  <si>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</si>
  <si>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</si>
  <si>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</si>
  <si>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</si>
  <si>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</si>
  <si>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</si>
  <si>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</si>
  <si>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</si>
  <si>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</si>
  <si>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</si>
  <si>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</si>
  <si>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</si>
  <si>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</si>
  <si>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</si>
  <si>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</si>
  <si>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</si>
  <si>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</si>
  <si>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</si>
  <si>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</si>
  <si>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</si>
  <si>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</si>
  <si>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</si>
  <si>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</si>
  <si>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</si>
  <si>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</si>
  <si>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</si>
  <si>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</si>
  <si>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</si>
  <si>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</si>
  <si>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</si>
  <si>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</si>
  <si>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</si>
  <si>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</si>
  <si>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</si>
  <si>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</si>
  <si>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</si>
  <si>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</si>
  <si>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</si>
  <si>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</si>
  <si>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</si>
  <si>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</si>
  <si>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</si>
  <si>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</si>
  <si>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</si>
  <si>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</si>
  <si>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</si>
  <si>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</si>
  <si>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</si>
  <si>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</si>
  <si>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</si>
  <si>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</si>
  <si>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</si>
  <si>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</si>
  <si>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</si>
  <si>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</si>
  <si>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</si>
  <si>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</si>
  <si>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</si>
  <si>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</si>
  <si>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</si>
  <si>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</si>
  <si>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</si>
  <si>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</si>
  <si>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</si>
  <si>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</si>
  <si>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</si>
  <si>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</si>
  <si>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</si>
  <si>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</si>
  <si>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</si>
  <si>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</si>
  <si>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</si>
  <si>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</si>
  <si>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</si>
  <si>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</si>
  <si>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</si>
  <si>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</si>
  <si>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</si>
  <si>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</si>
  <si>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</si>
  <si>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</si>
  <si>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</si>
  <si>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</si>
  <si>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</si>
  <si>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</si>
  <si>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</si>
  <si>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</si>
  <si>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</si>
  <si>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</si>
  <si>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</si>
  <si>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</si>
  <si>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</si>
  <si>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</si>
  <si>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</si>
  <si>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</si>
  <si>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</si>
  <si>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</si>
  <si>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</si>
  <si>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</si>
  <si>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</si>
  <si>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</si>
  <si>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</si>
  <si>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</si>
  <si>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</si>
  <si>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</si>
  <si>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</si>
  <si>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</si>
  <si>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</si>
  <si>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</si>
  <si>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</si>
  <si>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</si>
  <si>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</si>
  <si>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</si>
  <si>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</si>
  <si>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</si>
  <si>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</si>
  <si>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</si>
  <si>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</si>
  <si>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</si>
  <si>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</si>
  <si>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</si>
  <si>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</si>
  <si>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</si>
  <si>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</si>
  <si>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</si>
  <si>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</si>
  <si>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</si>
  <si>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</si>
  <si>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</si>
  <si>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</si>
  <si>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</si>
  <si>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</si>
  <si>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</si>
  <si>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</si>
  <si>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</si>
  <si>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</si>
  <si>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</si>
  <si>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</si>
  <si>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</si>
  <si>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</si>
  <si>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</si>
  <si>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</si>
  <si>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</si>
  <si>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</si>
  <si>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</si>
  <si>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</si>
  <si>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</si>
  <si>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</si>
  <si>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</si>
  <si>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</si>
  <si>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</si>
  <si>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</si>
  <si>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</si>
  <si>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</si>
  <si>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</si>
  <si>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</si>
  <si>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</si>
  <si>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</si>
  <si>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</si>
  <si>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</si>
  <si>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</si>
  <si>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</si>
  <si>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</si>
  <si>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</si>
  <si>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</si>
  <si>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</si>
  <si>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</si>
  <si>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</si>
  <si>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</si>
  <si>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</si>
  <si>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</si>
  <si>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</si>
  <si>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</si>
  <si>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</si>
  <si>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</si>
  <si>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</si>
  <si>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</si>
  <si>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</si>
  <si>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</si>
  <si>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</si>
  <si>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</si>
  <si>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</si>
  <si>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</si>
  <si>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</si>
  <si>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</si>
  <si>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</si>
  <si>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</si>
  <si>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</si>
  <si>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</si>
  <si>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</si>
  <si>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</si>
  <si>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</si>
  <si>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</si>
  <si>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</si>
  <si>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</si>
  <si>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</si>
  <si>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</si>
  <si>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</si>
  <si>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</si>
  <si>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</si>
  <si>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</si>
  <si>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</si>
  <si>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</si>
  <si>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</si>
  <si>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</si>
  <si>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</si>
  <si>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</si>
  <si>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</si>
  <si>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</si>
  <si>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</si>
  <si>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</si>
  <si>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</si>
  <si>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</si>
  <si>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</si>
  <si>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</si>
  <si>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</si>
  <si>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</si>
  <si>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</si>
  <si>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</si>
  <si>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</si>
  <si>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</si>
  <si>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</si>
  <si>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</si>
  <si>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</si>
  <si>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</si>
  <si>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</si>
  <si>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</si>
  <si>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</si>
  <si>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</si>
  <si>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</si>
  <si>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</si>
  <si>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</si>
  <si>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</si>
  <si>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</si>
  <si>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</si>
  <si>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</si>
  <si>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</si>
  <si>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</si>
  <si>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</si>
  <si>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</si>
  <si>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</si>
  <si>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</si>
  <si>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</si>
  <si>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</si>
  <si>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</si>
  <si>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</si>
  <si>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</si>
  <si>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</si>
  <si>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</si>
  <si>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</si>
  <si>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</si>
  <si>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</si>
  <si>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</si>
  <si>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</si>
  <si>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</si>
  <si>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</si>
  <si>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</si>
  <si>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</si>
  <si>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</si>
  <si>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</si>
  <si>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</si>
  <si>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</si>
  <si>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</si>
  <si>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</si>
  <si>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</si>
  <si>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</si>
  <si>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</si>
  <si>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</si>
  <si>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</si>
  <si>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</si>
  <si>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</si>
  <si>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</si>
  <si>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</si>
  <si>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</si>
  <si>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</si>
  <si>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</si>
  <si>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</si>
  <si>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</si>
  <si>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</si>
  <si>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</si>
  <si>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</si>
  <si>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</si>
  <si>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</si>
  <si>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</si>
  <si>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</si>
  <si>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</si>
  <si>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</si>
  <si>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</si>
  <si>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</si>
  <si>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</si>
  <si>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</si>
  <si>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</si>
  <si>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</si>
  <si>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</si>
  <si>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</si>
  <si>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</si>
  <si>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</si>
  <si>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</si>
  <si>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</si>
  <si>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</si>
  <si>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</si>
  <si>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</si>
  <si>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</si>
  <si>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</si>
  <si>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</si>
  <si>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</si>
  <si>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</si>
  <si>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</si>
  <si>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</si>
  <si>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</si>
  <si>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</si>
  <si>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</si>
  <si>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</si>
  <si>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</si>
  <si>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</si>
  <si>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</si>
  <si>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</si>
  <si>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</si>
  <si>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</si>
  <si>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</si>
  <si>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</si>
  <si>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</si>
  <si>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</si>
  <si>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</si>
  <si>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</si>
  <si>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</si>
  <si>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</si>
  <si>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</si>
  <si>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</si>
  <si>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</si>
  <si>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</si>
  <si>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</si>
  <si>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</si>
  <si>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</si>
  <si>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</si>
  <si>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</si>
  <si>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</si>
  <si>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</si>
  <si>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</si>
  <si>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</si>
  <si>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</si>
  <si>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</si>
  <si>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</si>
  <si>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</si>
  <si>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</si>
  <si>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</si>
  <si>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</si>
  <si>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</si>
  <si>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</si>
  <si>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</si>
  <si>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</si>
  <si>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</si>
  <si>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</si>
  <si>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</si>
  <si>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</si>
  <si>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</si>
  <si>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</si>
  <si>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</si>
  <si>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</si>
  <si>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</si>
  <si>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</si>
  <si>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</si>
  <si>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</si>
  <si>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</si>
  <si>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</si>
  <si>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</si>
  <si>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</si>
  <si>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</si>
  <si>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</si>
  <si>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</si>
  <si>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</si>
  <si>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</si>
  <si>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</si>
  <si>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</si>
  <si>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</si>
  <si>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</si>
  <si>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</si>
  <si>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</si>
  <si>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</si>
  <si>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</si>
  <si>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</si>
  <si>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</si>
  <si>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</si>
  <si>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</si>
  <si>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</si>
  <si>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</si>
  <si>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</si>
  <si>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</si>
  <si>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</si>
  <si>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</si>
  <si>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</si>
  <si>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</si>
  <si>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</si>
  <si>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</si>
  <si>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</si>
  <si>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</si>
  <si>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</si>
  <si>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</si>
  <si>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</si>
  <si>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</si>
  <si>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</si>
  <si>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</si>
  <si>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</si>
  <si>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</si>
  <si>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</si>
  <si>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</si>
  <si>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</si>
  <si>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</si>
  <si>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</si>
  <si>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</si>
  <si>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</si>
  <si>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</si>
  <si>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</si>
  <si>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</si>
  <si>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</si>
  <si>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</si>
  <si>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</si>
  <si>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</si>
  <si>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</si>
  <si>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</si>
  <si>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</si>
  <si>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</si>
  <si>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</si>
  <si>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</si>
  <si>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</si>
  <si>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</si>
  <si>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</si>
  <si>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</si>
  <si>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</si>
  <si>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</si>
  <si>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</si>
  <si>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</si>
  <si>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</si>
  <si>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</si>
  <si>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</si>
  <si>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</si>
  <si>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</si>
  <si>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</si>
  <si>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</si>
  <si>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</si>
  <si>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</si>
  <si>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</si>
  <si>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</si>
  <si>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</si>
  <si>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</si>
  <si>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</si>
  <si>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</si>
  <si>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</si>
  <si>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</si>
  <si>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</si>
  <si>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</si>
  <si>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</si>
  <si>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</si>
  <si>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</si>
  <si>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</si>
  <si>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</si>
  <si>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</si>
  <si>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</si>
  <si>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</si>
  <si>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</si>
  <si>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</si>
  <si>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</si>
  <si>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</si>
  <si>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</si>
  <si>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</si>
  <si>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</si>
  <si>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</si>
  <si>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</si>
  <si>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</si>
  <si>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</si>
  <si>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</si>
  <si>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</si>
  <si>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</si>
  <si>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</si>
  <si>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</si>
  <si>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</si>
  <si>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</si>
  <si>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</si>
  <si>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</si>
  <si>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</si>
  <si>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</si>
  <si>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</si>
  <si>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</si>
  <si>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</si>
  <si>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</si>
  <si>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</si>
  <si>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</si>
  <si>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</si>
  <si>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</si>
  <si>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</si>
  <si>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</si>
  <si>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</si>
  <si>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</si>
  <si>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</si>
  <si>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</si>
  <si>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</si>
  <si>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</si>
  <si>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</si>
  <si>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</si>
  <si>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</si>
  <si>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</si>
  <si>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</si>
  <si>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</si>
  <si>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</si>
  <si>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</si>
  <si>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</si>
  <si>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</si>
  <si>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</si>
  <si>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</si>
  <si>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</si>
  <si>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</si>
  <si>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</si>
  <si>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</si>
  <si>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</si>
  <si>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</si>
  <si>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</si>
  <si>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</si>
  <si>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</si>
  <si>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</si>
  <si>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</si>
  <si>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</si>
  <si>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</si>
  <si>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</si>
  <si>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</si>
  <si>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</si>
  <si>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</si>
  <si>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</si>
  <si>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</si>
  <si>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</si>
  <si>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</si>
  <si>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</si>
  <si>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</si>
  <si>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</si>
  <si>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</si>
  <si>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</si>
  <si>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</si>
  <si>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</si>
  <si>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</si>
  <si>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</si>
  <si>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</si>
  <si>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</si>
  <si>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</si>
  <si>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</si>
  <si>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</si>
  <si>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</si>
  <si>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</si>
  <si>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</si>
  <si>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</si>
  <si>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</si>
  <si>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</si>
  <si>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</si>
  <si>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</si>
  <si>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</si>
  <si>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</si>
  <si>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</si>
  <si>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</si>
  <si>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</si>
  <si>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</si>
  <si>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</si>
  <si>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</si>
  <si>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</si>
  <si>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</si>
  <si>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</si>
  <si>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</si>
  <si>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</si>
  <si>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</si>
  <si>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</si>
  <si>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</si>
  <si>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</si>
  <si>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</si>
  <si>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</si>
  <si>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</si>
  <si>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</si>
  <si>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</si>
  <si>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</si>
  <si>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</si>
  <si>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</si>
  <si>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</si>
  <si>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</si>
  <si>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</si>
  <si>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</si>
  <si>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</si>
  <si>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</si>
  <si>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</si>
  <si>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</si>
  <si>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</si>
  <si>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</si>
  <si>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</si>
  <si>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</si>
  <si>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</si>
  <si>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</si>
  <si>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</si>
  <si>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</si>
  <si>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</si>
  <si>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</si>
  <si>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</si>
  <si>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</si>
  <si>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</si>
  <si>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</si>
  <si>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</si>
  <si>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</si>
  <si>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</si>
  <si>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</si>
  <si>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</si>
  <si>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</si>
  <si>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</si>
  <si>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</si>
  <si>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</si>
  <si>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</si>
  <si>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</si>
  <si>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</si>
  <si>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</si>
  <si>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</si>
  <si>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</si>
  <si>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</si>
  <si>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</si>
  <si>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</si>
  <si>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</si>
  <si>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</si>
  <si>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</si>
  <si>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</si>
  <si>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</si>
  <si>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</si>
  <si>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</si>
  <si>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</si>
  <si>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</si>
  <si>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</si>
  <si>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</si>
  <si>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</si>
  <si>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</si>
  <si>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</si>
  <si>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</si>
  <si>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</si>
  <si>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</si>
  <si>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</si>
  <si>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</si>
  <si>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</si>
  <si>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</si>
  <si>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</si>
  <si>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</si>
  <si>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</si>
  <si>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</si>
  <si>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</si>
  <si>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</si>
  <si>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</si>
  <si>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</si>
  <si>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</si>
  <si>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</si>
  <si>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</si>
  <si>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</si>
  <si>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</si>
  <si>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</si>
  <si>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</si>
  <si>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</si>
  <si>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</si>
  <si>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</si>
  <si>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</si>
  <si>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</si>
  <si>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</si>
  <si>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</si>
  <si>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</si>
  <si>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</si>
  <si>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</si>
  <si>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</si>
  <si>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</si>
  <si>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</si>
  <si>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</si>
  <si>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</si>
  <si>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</si>
  <si>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</si>
  <si>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</si>
  <si>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</si>
  <si>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</si>
  <si>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</si>
  <si>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</si>
  <si>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</si>
  <si>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</si>
  <si>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</si>
  <si>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</si>
  <si>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</si>
  <si>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</si>
  <si>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</si>
  <si>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</si>
  <si>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</si>
  <si>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</si>
  <si>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</si>
  <si>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</si>
  <si>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</si>
  <si>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</si>
  <si>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</si>
  <si>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</si>
  <si>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</si>
  <si>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</si>
  <si>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</si>
  <si>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</si>
  <si>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</si>
  <si>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</si>
  <si>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</si>
  <si>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</si>
  <si>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</si>
  <si>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</si>
  <si>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</si>
  <si>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</si>
  <si>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</si>
  <si>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</si>
  <si>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</si>
  <si>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</si>
  <si>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</si>
  <si>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</si>
  <si>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</si>
  <si>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</si>
  <si>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</si>
  <si>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</si>
  <si>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</si>
  <si>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</si>
  <si>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</si>
  <si>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</si>
  <si>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</si>
  <si>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</si>
  <si>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</si>
  <si>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</si>
  <si>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</si>
  <si>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</si>
  <si>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</si>
  <si>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</si>
  <si>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</si>
  <si>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</si>
  <si>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</si>
  <si>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</si>
  <si>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</si>
  <si>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</si>
  <si>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</si>
  <si>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</si>
  <si>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</si>
  <si>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</si>
  <si>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</si>
  <si>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</si>
  <si>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</si>
  <si>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</si>
  <si>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</si>
  <si>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</si>
  <si>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</si>
  <si>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</si>
  <si>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</si>
  <si>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</si>
  <si>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</si>
  <si>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</si>
  <si>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</si>
  <si>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</si>
  <si>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</si>
  <si>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</si>
  <si>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</si>
  <si>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</si>
  <si>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</si>
  <si>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</si>
  <si>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</si>
  <si>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</si>
  <si>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</si>
  <si>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</si>
  <si>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</si>
  <si>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</si>
  <si>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</si>
  <si>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</si>
  <si>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</si>
  <si>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</si>
  <si>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</si>
  <si>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</si>
  <si>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</si>
  <si>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</si>
  <si>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</si>
  <si>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</si>
  <si>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</si>
  <si>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</si>
  <si>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</si>
  <si>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</si>
  <si>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</si>
  <si>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</si>
  <si>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</si>
  <si>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</si>
  <si>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</si>
  <si>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</si>
  <si>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</si>
  <si>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</si>
  <si>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</si>
  <si>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</si>
  <si>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</si>
  <si>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</si>
  <si>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</si>
  <si>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</si>
  <si>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</si>
  <si>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</si>
  <si>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</si>
  <si>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</si>
  <si>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</si>
  <si>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</si>
  <si>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</si>
  <si>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</si>
  <si>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</si>
  <si>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</si>
  <si>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</si>
  <si>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</si>
  <si>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</si>
  <si>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</si>
  <si>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</si>
  <si>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</si>
  <si>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</si>
  <si>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</si>
  <si>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</si>
  <si>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</si>
  <si>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</si>
  <si>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</si>
  <si>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</si>
  <si>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</si>
  <si>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</si>
  <si>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</si>
  <si>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</si>
  <si>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</si>
  <si>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</si>
  <si>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</si>
  <si>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</si>
  <si>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</si>
  <si>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</si>
  <si>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</si>
  <si>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</si>
  <si>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</si>
  <si>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</si>
  <si>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</si>
  <si>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</si>
  <si>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</si>
  <si>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</si>
  <si>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</si>
  <si>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</si>
  <si>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</si>
  <si>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</si>
  <si>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</si>
  <si>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</si>
  <si>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</si>
  <si>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</si>
  <si>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</si>
  <si>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</si>
  <si>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</si>
  <si>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</si>
  <si>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</si>
  <si>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</si>
  <si>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</si>
  <si>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</si>
  <si>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</si>
  <si>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</si>
  <si>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</si>
  <si>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</si>
  <si>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</si>
  <si>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</si>
  <si>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</si>
  <si>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</si>
  <si>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</si>
  <si>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</si>
  <si>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</si>
  <si>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</si>
  <si>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</si>
  <si>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</si>
  <si>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</si>
  <si>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</si>
  <si>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</si>
  <si>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</si>
  <si>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</si>
  <si>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</si>
  <si>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</si>
  <si>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</si>
  <si>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</si>
  <si>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</si>
  <si>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</si>
  <si>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</si>
  <si>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</si>
  <si>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</si>
  <si>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</si>
  <si>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</si>
  <si>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</si>
  <si>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</si>
  <si>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</si>
  <si>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</si>
  <si>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</si>
  <si>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</si>
  <si>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</si>
  <si>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Randolph</t>
  </si>
  <si>
    <t>203B Dean Avenue</t>
  </si>
  <si>
    <t>618-443-5331</t>
  </si>
  <si>
    <t>618-443-2023</t>
  </si>
  <si>
    <t>Dr. Gabrielle Schwemmer</t>
  </si>
  <si>
    <t>gchwemmer@sparta.k12.il.us</t>
  </si>
  <si>
    <t>Schorb &amp; Schmersahl, LLC</t>
  </si>
  <si>
    <t>James R. Schmersahl</t>
  </si>
  <si>
    <t>518 North Main Street</t>
  </si>
  <si>
    <t>Columbia</t>
  </si>
  <si>
    <t>IL</t>
  </si>
  <si>
    <t>618-281-5195</t>
  </si>
  <si>
    <t>618-281-6101</t>
  </si>
  <si>
    <t>jim@stcpa.com</t>
  </si>
  <si>
    <t>Kelton Davis</t>
  </si>
  <si>
    <t>kdavis@roe45.org</t>
  </si>
  <si>
    <t>618-939-5650</t>
  </si>
  <si>
    <t>618-939-5332</t>
  </si>
  <si>
    <t>General Obligation School Appreciation</t>
  </si>
  <si>
    <t xml:space="preserve"> Limited Bonds, Series 2013</t>
  </si>
  <si>
    <t>General Obligation School Capital Appreciation</t>
  </si>
  <si>
    <t xml:space="preserve">  Limited Bonds, Series 2016</t>
  </si>
  <si>
    <t>Building Bonds</t>
  </si>
  <si>
    <t>General Obligation Bonds, Series 2017</t>
  </si>
  <si>
    <t>U.S. Department of Agricultue:</t>
  </si>
  <si>
    <t xml:space="preserve">  Passed Through IL State Board of Education:</t>
  </si>
  <si>
    <t xml:space="preserve">    Child Nutrition Chester</t>
  </si>
  <si>
    <t xml:space="preserve">      National School Breakfast</t>
  </si>
  <si>
    <t xml:space="preserve">      National School Lunch</t>
  </si>
  <si>
    <t xml:space="preserve">      Nationsl School Lunch</t>
  </si>
  <si>
    <t xml:space="preserve">        Total Child Nutrition Chester</t>
  </si>
  <si>
    <t xml:space="preserve">    Commodity Credit (Non-Cash)</t>
  </si>
  <si>
    <t xml:space="preserve">    Dept. of Defense Fresh Fruits &amp; Vegetables (Non-Cash)</t>
  </si>
  <si>
    <t>TOTAL U.S. DEPARTMENT OF SAGRICULTURE</t>
  </si>
  <si>
    <t>18-4220</t>
  </si>
  <si>
    <t>19-4220</t>
  </si>
  <si>
    <t>18-4210</t>
  </si>
  <si>
    <t>19-4210</t>
  </si>
  <si>
    <t>19-4299</t>
  </si>
  <si>
    <t>N/A</t>
  </si>
  <si>
    <t>U.S. Department of Education:</t>
  </si>
  <si>
    <t xml:space="preserve">  Passed throgh IL State Board of Education:</t>
  </si>
  <si>
    <t xml:space="preserve">         Title II - Supporting Effective Instruction State Grant</t>
  </si>
  <si>
    <t xml:space="preserve">        Title II - Supporting Effective Instruction State Grant</t>
  </si>
  <si>
    <t xml:space="preserve">      Title IVA - Student Support</t>
  </si>
  <si>
    <t xml:space="preserve">     Title VI - Rural Education Initiative</t>
  </si>
  <si>
    <t>Passed Through Perandoe Special Education System:</t>
  </si>
  <si>
    <t xml:space="preserve">  Special Education-Grants to States (IDEA Flow Through)</t>
  </si>
  <si>
    <t xml:space="preserve">  Special Education-Grants to States (IDEA Room &amp; Board)</t>
  </si>
  <si>
    <t>TOTAL FEDERAL</t>
  </si>
  <si>
    <t>84.010A</t>
  </si>
  <si>
    <t>84.367A</t>
  </si>
  <si>
    <t>84.424A</t>
  </si>
  <si>
    <t>84.027A</t>
  </si>
  <si>
    <t>TOTAL DEPARTMENT OF EDUCATION</t>
  </si>
  <si>
    <t>18-4300</t>
  </si>
  <si>
    <t>19-4300</t>
  </si>
  <si>
    <t>18-4299</t>
  </si>
  <si>
    <t>19-4399</t>
  </si>
  <si>
    <t>18-4932</t>
  </si>
  <si>
    <t>19-4932</t>
  </si>
  <si>
    <t>19-4400</t>
  </si>
  <si>
    <t>18-4107</t>
  </si>
  <si>
    <t>19-4107</t>
  </si>
  <si>
    <t>19-4620</t>
  </si>
  <si>
    <t>19-4625</t>
  </si>
  <si>
    <t xml:space="preserve">  Passed Through the Illinois Department of Healthcare &amp; Family Services:</t>
  </si>
  <si>
    <t xml:space="preserve">    Medical Assistance Program (Medicaid Title XIX)</t>
  </si>
  <si>
    <t>TOTAL U.S. DEPARTMENT OF HEALTH</t>
  </si>
  <si>
    <t>U.S. Department of Health and Human Services</t>
  </si>
  <si>
    <t>(m) Denotes Major Program</t>
  </si>
  <si>
    <t>No amounts were paid to subrecipients during the fiscal year ended June 30, 2019</t>
  </si>
  <si>
    <t>Non-monetary assistance is reported in the schedule at the fair market value of the</t>
  </si>
  <si>
    <t>commodities received and disbursed.</t>
  </si>
  <si>
    <t>18-4991</t>
  </si>
  <si>
    <t>Title I - Grants to Local Education Agencies</t>
  </si>
  <si>
    <t>Title I - Grants to Local Education Agencies - Other</t>
  </si>
  <si>
    <t>Unmodified</t>
  </si>
  <si>
    <t>None</t>
  </si>
  <si>
    <t>Fund 10/Page 10/Acct 1620/Line 73 - Prepay Food Sales - EAC $46</t>
  </si>
  <si>
    <t>Fund 10/Page 10/Acct 1690/Line 74 - Food Service other Inc Eville $9,742 + Food Service Other Inc Linc $36,070 + $45,812</t>
  </si>
  <si>
    <t>Fund 10/Page 10/Acct 1790/Line 81 - Share of Tournament Contests $886</t>
  </si>
  <si>
    <t>Fund 10/Page 11/Acct 1999/line 107 - other Revenue $75,377</t>
  </si>
  <si>
    <t>Fund 10/Page 12/Acct 3999/Line 168 - State Library Grant $860 + Hold Hamless $35,572 = $36,432</t>
  </si>
  <si>
    <t>Fund 10/Page 13/Acct 4399/Line 203 - IL Empower Grant $64,353</t>
  </si>
  <si>
    <t>Fund 10/Page 19/Acct 4499/Line 208 - Title IV A Student Support $12,300</t>
  </si>
  <si>
    <t>Fund 20/Page 11/Acct 1999/Line 107 - Other Revenue $21,432</t>
  </si>
  <si>
    <t>Fund 10/Page 15/Acct 2190/Line 41 - $2,506 Noontime Supervisor Salary + $15,058 Noontime Supervisor Salary</t>
  </si>
  <si>
    <t xml:space="preserve">                                                                            + $1,824 EAC Crossing Guard + 47,302 Lincoln Crossing Guard = $26,690</t>
  </si>
  <si>
    <t>Fund 10/Page 15/Acct 2190/Line 41 - Employee Benefits - $83 Noon Supervisor IMRF + $169 Noon Super/Cross Guard IMRF = $252</t>
  </si>
  <si>
    <t>Fund 10/Page 15/Acct 2190/Line 41/Supplies &amp; materials - $260 Academic Awad Supplies - HS</t>
  </si>
  <si>
    <t>Fund 10/Page 16/Acct 2900/Line 73 - Title I Supplies - $549</t>
  </si>
  <si>
    <t>Fund 30/Page 18/Acct 171/Lin 171 - Debt Service Other $1,378</t>
  </si>
  <si>
    <t>Fund 50/Page 19/Acct 2190/Line 237 - IMRF Noon/Cross Bd Contri $574 + FICA Noon Super Bd Contri $2,026 = $2,600</t>
  </si>
  <si>
    <t>ED-Improvement of Instruction Services-Purchased Services</t>
  </si>
  <si>
    <t>ED-Staff Services-Purchased Services</t>
  </si>
  <si>
    <t>ED-Assessment and Training-Purchased Services</t>
  </si>
  <si>
    <t>ED-Support Services-School Administration-Purchased Services</t>
  </si>
  <si>
    <t>ED-Information Services-Purchased Services</t>
  </si>
  <si>
    <t>102210-300</t>
  </si>
  <si>
    <t>10-2640-300</t>
  </si>
  <si>
    <t>10-2210-300</t>
  </si>
  <si>
    <t>10-2230-300</t>
  </si>
  <si>
    <t>10-2400-300</t>
  </si>
  <si>
    <t>10-2630-300</t>
  </si>
  <si>
    <t>Donna Whyte</t>
  </si>
  <si>
    <t>Judy Smith</t>
  </si>
  <si>
    <t>Mathemagic, LLC</t>
  </si>
  <si>
    <t>NWEA</t>
  </si>
  <si>
    <t>Vista Learning NFP</t>
  </si>
  <si>
    <t>West Interactive Services Corp.</t>
  </si>
  <si>
    <t>Member IEC</t>
  </si>
  <si>
    <t xml:space="preserve">Member of Prairie State Insurance CO-OP </t>
  </si>
  <si>
    <t>Member of Illinois Funds &amp; ISDLAF</t>
  </si>
  <si>
    <t>Member of Perandoe Special Education District</t>
  </si>
  <si>
    <t>Member of Career Center of Southern Illinois</t>
  </si>
  <si>
    <t>66-003932</t>
  </si>
  <si>
    <t>84.358B</t>
  </si>
  <si>
    <t xml:space="preserve"> (M) Title I - Grants to Local Education Agencies</t>
  </si>
  <si>
    <t xml:space="preserve">  (M) Title I - Grants to Local Education Agencies-Other</t>
  </si>
  <si>
    <r>
      <t xml:space="preserve">The accompanying Schedule of Expenditures of Federal Awards includes the federal grant activity of </t>
    </r>
    <r>
      <rPr>
        <b/>
        <sz val="9"/>
        <rFont val="Calibri"/>
        <family val="2"/>
        <scheme val="minor"/>
      </rPr>
      <t>Sparta CUSD #140</t>
    </r>
    <r>
      <rPr>
        <sz val="9"/>
        <rFont val="Calibri"/>
        <family val="2"/>
        <scheme val="minor"/>
      </rPr>
      <t xml:space="preserve"> and is presented on the </t>
    </r>
    <r>
      <rPr>
        <b/>
        <sz val="9"/>
        <rFont val="Calibri"/>
        <family val="2"/>
        <scheme val="minor"/>
      </rPr>
      <t>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</si>
  <si>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CFDA number</t>
  </si>
  <si>
    <t>Federal flow through funds received from the ROE without an associated</t>
  </si>
  <si>
    <t xml:space="preserve">Sparta </t>
  </si>
  <si>
    <t>Sparta CUSD 140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</si>
</sst>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1991</v>
      </c>
      <c r="B1" s="45"/>
      <c r="C1" s="45"/>
      <c r="D1" s="46"/>
      <c r="I1" s="1982" t="s">
        <v>405</v>
      </c>
      <c r="J1" s="1983"/>
      <c r="K1" s="1983"/>
      <c r="L1" s="1983"/>
      <c r="M1" s="1983"/>
      <c r="N1" s="1983"/>
      <c r="O1" s="1983"/>
      <c r="P1" s="1983"/>
      <c r="Q1" s="1983"/>
      <c r="R1" s="1983"/>
      <c r="S1" s="1983"/>
    </row>
    <row r="2" spans="1:28" ht="12" customHeight="1" x14ac:dyDescent="0.2">
      <c r="A2" s="47" t="s">
        <v>1992</v>
      </c>
      <c r="D2" s="48"/>
      <c r="I2" s="1984" t="s">
        <v>979</v>
      </c>
      <c r="J2" s="1983"/>
      <c r="K2" s="1983"/>
      <c r="L2" s="1983"/>
      <c r="M2" s="1983"/>
      <c r="N2" s="1983"/>
      <c r="O2" s="1983"/>
      <c r="P2" s="1983"/>
      <c r="Q2" s="1983"/>
      <c r="R2" s="1983"/>
      <c r="S2" s="1983"/>
    </row>
    <row r="3" spans="1:28" ht="12" customHeight="1" x14ac:dyDescent="0.2">
      <c r="A3" s="155" t="s">
        <v>1944</v>
      </c>
      <c r="B3" s="156"/>
      <c r="C3" s="156"/>
      <c r="D3" s="157"/>
      <c r="I3" s="1984" t="s">
        <v>52</v>
      </c>
      <c r="J3" s="1983"/>
      <c r="K3" s="1983"/>
      <c r="L3" s="1983"/>
      <c r="M3" s="1983"/>
      <c r="N3" s="1983"/>
      <c r="O3" s="1983"/>
      <c r="P3" s="1983"/>
      <c r="Q3" s="1983"/>
      <c r="R3" s="1983"/>
      <c r="S3" s="1983"/>
    </row>
    <row r="4" spans="1:28" ht="12" customHeight="1" x14ac:dyDescent="0.2">
      <c r="A4" s="37"/>
      <c r="I4" s="1984" t="s">
        <v>524</v>
      </c>
      <c r="J4" s="1983"/>
      <c r="K4" s="1983"/>
      <c r="L4" s="1983"/>
      <c r="M4" s="1983"/>
      <c r="N4" s="1983"/>
      <c r="O4" s="1983"/>
      <c r="P4" s="1983"/>
      <c r="Q4" s="1983"/>
      <c r="R4" s="1983"/>
      <c r="S4" s="1983"/>
    </row>
    <row r="5" spans="1:28" ht="14.1" customHeight="1" x14ac:dyDescent="0.2">
      <c r="B5" s="104" t="s">
        <v>2063</v>
      </c>
      <c r="C5" s="26" t="s">
        <v>910</v>
      </c>
      <c r="D5" s="84"/>
      <c r="E5" s="84"/>
      <c r="H5" s="38"/>
      <c r="I5" s="1992" t="s">
        <v>680</v>
      </c>
      <c r="J5" s="1991"/>
      <c r="K5" s="1991"/>
      <c r="L5" s="1991"/>
      <c r="M5" s="1991"/>
      <c r="N5" s="1991"/>
      <c r="O5" s="1991"/>
      <c r="P5" s="1991"/>
      <c r="Q5" s="1991"/>
      <c r="R5" s="1991"/>
      <c r="S5" s="1991"/>
    </row>
    <row r="6" spans="1:28" ht="14.1" customHeight="1" x14ac:dyDescent="0.2">
      <c r="B6" s="104"/>
      <c r="C6" s="26" t="s">
        <v>911</v>
      </c>
      <c r="D6" s="84"/>
      <c r="E6" s="84"/>
      <c r="I6" s="1990" t="s">
        <v>883</v>
      </c>
      <c r="J6" s="1991"/>
      <c r="K6" s="1991"/>
      <c r="L6" s="1991"/>
      <c r="M6" s="1991"/>
      <c r="N6" s="1991"/>
      <c r="O6" s="1991"/>
      <c r="P6" s="1991"/>
      <c r="Q6" s="1991"/>
      <c r="R6" s="1991"/>
      <c r="S6" s="1991"/>
    </row>
    <row r="7" spans="1:28" ht="12.2" customHeight="1" x14ac:dyDescent="0.2">
      <c r="I7" s="1985">
        <v>43646</v>
      </c>
      <c r="J7" s="1986"/>
      <c r="K7" s="1986"/>
      <c r="L7" s="1986"/>
      <c r="M7" s="1986"/>
      <c r="N7" s="1986"/>
      <c r="O7" s="1986"/>
      <c r="P7" s="1986"/>
      <c r="Q7" s="1986"/>
      <c r="R7" s="1986"/>
      <c r="S7" s="198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7" t="s">
        <v>674</v>
      </c>
      <c r="J9" s="1988"/>
      <c r="K9" s="1988"/>
      <c r="L9" s="1988"/>
      <c r="M9" s="1988"/>
      <c r="N9" s="1988"/>
      <c r="O9" s="1988"/>
      <c r="P9" s="1988"/>
      <c r="Q9" s="1988"/>
      <c r="R9" s="1988"/>
      <c r="S9" s="1989"/>
      <c r="T9" s="2003" t="s">
        <v>533</v>
      </c>
      <c r="U9" s="2004"/>
      <c r="V9" s="2004"/>
      <c r="W9" s="2004"/>
      <c r="X9" s="2004"/>
      <c r="Y9" s="2004"/>
      <c r="Z9" s="2004"/>
      <c r="AA9" s="2005"/>
    </row>
    <row r="10" spans="1:28" ht="13.5" customHeight="1" x14ac:dyDescent="0.2">
      <c r="A10" s="2010" t="s">
        <v>675</v>
      </c>
      <c r="B10" s="2011"/>
      <c r="C10" s="2011"/>
      <c r="D10" s="2011"/>
      <c r="E10" s="2011"/>
      <c r="F10" s="2011"/>
      <c r="G10" s="2011"/>
      <c r="H10" s="2012"/>
      <c r="I10" s="29"/>
      <c r="J10" s="30"/>
      <c r="K10" s="28"/>
      <c r="R10" s="30"/>
      <c r="S10" s="30"/>
      <c r="T10" s="2006"/>
      <c r="U10" s="1991"/>
      <c r="V10" s="1991"/>
      <c r="W10" s="1991"/>
      <c r="X10" s="1991"/>
      <c r="Y10" s="1991"/>
      <c r="Z10" s="1991"/>
      <c r="AA10" s="1997"/>
    </row>
    <row r="11" spans="1:28" ht="14.25" customHeight="1" x14ac:dyDescent="0.2">
      <c r="A11" s="2013" t="s">
        <v>955</v>
      </c>
      <c r="B11" s="2014"/>
      <c r="C11" s="2014"/>
      <c r="D11" s="2014"/>
      <c r="E11" s="2014"/>
      <c r="F11" s="2014"/>
      <c r="G11" s="2014"/>
      <c r="H11" s="2015"/>
      <c r="I11" s="27"/>
      <c r="J11" s="74"/>
      <c r="K11" s="27"/>
      <c r="O11" s="148" t="s">
        <v>2063</v>
      </c>
      <c r="P11" s="100" t="s">
        <v>201</v>
      </c>
      <c r="Q11" s="30"/>
      <c r="R11" s="28"/>
      <c r="S11" s="27"/>
      <c r="T11" s="2007"/>
      <c r="U11" s="2008"/>
      <c r="V11" s="2008"/>
      <c r="W11" s="2008"/>
      <c r="X11" s="2008"/>
      <c r="Y11" s="2008"/>
      <c r="Z11" s="2008"/>
      <c r="AA11" s="2009"/>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7">
        <v>45079140026</v>
      </c>
      <c r="B13" s="2018"/>
      <c r="C13" s="2018"/>
      <c r="D13" s="2018"/>
      <c r="E13" s="2018"/>
      <c r="F13" s="2018"/>
      <c r="G13" s="2018"/>
      <c r="H13" s="2019"/>
      <c r="I13" s="31"/>
      <c r="J13" s="30"/>
      <c r="K13" s="28"/>
      <c r="L13" s="30"/>
      <c r="M13" s="30"/>
      <c r="N13" s="30"/>
      <c r="O13" s="30"/>
      <c r="P13" s="30"/>
      <c r="Q13" s="30"/>
      <c r="R13" s="30"/>
      <c r="S13" s="30"/>
      <c r="T13" s="2022" t="s">
        <v>2070</v>
      </c>
      <c r="U13" s="2023"/>
      <c r="V13" s="2023"/>
      <c r="W13" s="2023"/>
      <c r="X13" s="2023"/>
      <c r="Y13" s="2024"/>
      <c r="Z13" s="2024"/>
      <c r="AA13" s="202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6" t="s">
        <v>2064</v>
      </c>
      <c r="B15" s="2020"/>
      <c r="C15" s="2020"/>
      <c r="D15" s="2020"/>
      <c r="E15" s="2020"/>
      <c r="F15" s="2020"/>
      <c r="G15" s="2020"/>
      <c r="H15" s="2021"/>
      <c r="T15" s="2026" t="s">
        <v>2071</v>
      </c>
      <c r="U15" s="1970"/>
      <c r="V15" s="1970"/>
      <c r="W15" s="1970"/>
      <c r="X15" s="1970"/>
      <c r="Y15" s="2027"/>
      <c r="Z15" s="2027"/>
      <c r="AA15" s="202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6" t="s">
        <v>2188</v>
      </c>
      <c r="B17" s="1977"/>
      <c r="C17" s="1977"/>
      <c r="D17" s="1977"/>
      <c r="E17" s="1977"/>
      <c r="F17" s="1977"/>
      <c r="G17" s="1977"/>
      <c r="H17" s="2002"/>
      <c r="T17" s="2033" t="s">
        <v>2072</v>
      </c>
      <c r="U17" s="2034"/>
      <c r="V17" s="2034"/>
      <c r="W17" s="2034"/>
      <c r="X17" s="2034"/>
      <c r="Y17" s="2034"/>
      <c r="Z17" s="2034"/>
      <c r="AA17" s="2035"/>
    </row>
    <row r="18" spans="1:27" ht="13.5" customHeight="1" x14ac:dyDescent="0.2">
      <c r="A18" s="85" t="s">
        <v>530</v>
      </c>
      <c r="B18" s="76"/>
      <c r="C18" s="72"/>
      <c r="D18" s="76"/>
      <c r="E18" s="76"/>
      <c r="F18" s="76"/>
      <c r="G18" s="76"/>
      <c r="H18" s="56"/>
      <c r="I18" s="2001" t="s">
        <v>676</v>
      </c>
      <c r="J18" s="1952"/>
      <c r="K18" s="1952"/>
      <c r="L18" s="1952"/>
      <c r="M18" s="1952"/>
      <c r="N18" s="1952"/>
      <c r="O18" s="1952"/>
      <c r="P18" s="1952"/>
      <c r="Q18" s="1952"/>
      <c r="R18" s="1952"/>
      <c r="S18" s="1953"/>
      <c r="T18" s="85" t="s">
        <v>711</v>
      </c>
      <c r="U18" s="51"/>
      <c r="V18" s="72"/>
      <c r="W18" s="50"/>
      <c r="X18" s="85" t="s">
        <v>266</v>
      </c>
      <c r="Y18" s="81"/>
      <c r="Z18" s="159" t="s">
        <v>677</v>
      </c>
      <c r="AA18" s="46"/>
    </row>
    <row r="19" spans="1:27" ht="13.5" customHeight="1" x14ac:dyDescent="0.2">
      <c r="A19" s="2016" t="s">
        <v>2065</v>
      </c>
      <c r="B19" s="1962"/>
      <c r="C19" s="1962"/>
      <c r="D19" s="1962"/>
      <c r="E19" s="1962"/>
      <c r="F19" s="1962"/>
      <c r="G19" s="1962"/>
      <c r="H19" s="1942"/>
      <c r="I19" s="30"/>
      <c r="J19" s="99"/>
      <c r="K19" s="40"/>
      <c r="L19" s="38"/>
      <c r="M19" s="112" t="s">
        <v>315</v>
      </c>
      <c r="P19" s="27"/>
      <c r="Q19" s="27"/>
      <c r="R19" s="27"/>
      <c r="S19" s="31"/>
      <c r="T19" s="2016" t="s">
        <v>2073</v>
      </c>
      <c r="U19" s="1941"/>
      <c r="V19" s="1941"/>
      <c r="W19" s="1942"/>
      <c r="X19" s="2031" t="s">
        <v>2074</v>
      </c>
      <c r="Y19" s="2032"/>
      <c r="Z19" s="2029">
        <v>62236</v>
      </c>
      <c r="AA19" s="203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0" t="s">
        <v>2187</v>
      </c>
      <c r="B21" s="1941"/>
      <c r="C21" s="1941"/>
      <c r="D21" s="1941"/>
      <c r="E21" s="1941"/>
      <c r="F21" s="1941"/>
      <c r="G21" s="1941"/>
      <c r="H21" s="1942"/>
      <c r="I21" s="1996" t="s">
        <v>678</v>
      </c>
      <c r="J21" s="1991"/>
      <c r="K21" s="1991"/>
      <c r="L21" s="1991"/>
      <c r="M21" s="1991"/>
      <c r="N21" s="1991"/>
      <c r="O21" s="1991"/>
      <c r="P21" s="1991"/>
      <c r="Q21" s="1991"/>
      <c r="R21" s="1991"/>
      <c r="S21" s="1997"/>
      <c r="T21" s="2040" t="s">
        <v>2075</v>
      </c>
      <c r="U21" s="2041"/>
      <c r="V21" s="2041"/>
      <c r="W21" s="2041"/>
      <c r="X21" s="2046" t="s">
        <v>2076</v>
      </c>
      <c r="Y21" s="2047"/>
      <c r="Z21" s="2047"/>
      <c r="AA21" s="2048"/>
    </row>
    <row r="22" spans="1:27" ht="13.5" customHeight="1" x14ac:dyDescent="0.2">
      <c r="A22" s="87" t="s">
        <v>531</v>
      </c>
      <c r="B22" s="59"/>
      <c r="C22" s="59"/>
      <c r="D22" s="59"/>
      <c r="E22" s="59"/>
      <c r="F22" s="59"/>
      <c r="G22" s="59"/>
      <c r="H22" s="60"/>
      <c r="I22" s="1998" t="s">
        <v>1429</v>
      </c>
      <c r="J22" s="1999"/>
      <c r="K22" s="1999"/>
      <c r="L22" s="1999"/>
      <c r="M22" s="1999"/>
      <c r="N22" s="1999"/>
      <c r="O22" s="1999"/>
      <c r="P22" s="1999"/>
      <c r="Q22" s="1999"/>
      <c r="R22" s="1999"/>
      <c r="S22" s="2000"/>
      <c r="T22" s="85" t="s">
        <v>1516</v>
      </c>
      <c r="U22" s="51"/>
      <c r="V22" s="72"/>
      <c r="W22" s="51"/>
      <c r="X22" s="160" t="s">
        <v>1318</v>
      </c>
      <c r="Z22" s="45"/>
      <c r="AA22" s="46"/>
    </row>
    <row r="23" spans="1:27" ht="13.5" customHeight="1" x14ac:dyDescent="0.2">
      <c r="A23" s="1993"/>
      <c r="B23" s="1994"/>
      <c r="C23" s="1994"/>
      <c r="D23" s="1994"/>
      <c r="E23" s="1994"/>
      <c r="F23" s="1994"/>
      <c r="G23" s="1994"/>
      <c r="H23" s="1995"/>
      <c r="T23" s="1976" t="s">
        <v>2180</v>
      </c>
      <c r="U23" s="2039"/>
      <c r="V23" s="2039"/>
      <c r="W23" s="2039"/>
      <c r="X23" s="2043">
        <v>44530</v>
      </c>
      <c r="Y23" s="2044"/>
      <c r="Z23" s="2044"/>
      <c r="AA23" s="2045"/>
    </row>
    <row r="24" spans="1:27" ht="14.1" customHeight="1" x14ac:dyDescent="0.2">
      <c r="A24" s="88" t="s">
        <v>677</v>
      </c>
      <c r="B24" s="49"/>
      <c r="C24" s="49"/>
      <c r="D24" s="49"/>
      <c r="E24" s="49"/>
      <c r="F24" s="49"/>
      <c r="G24" s="49"/>
      <c r="H24" s="61"/>
      <c r="J24" s="1963">
        <f>IF(B5="x",IF(AUDITCHECK!D29="AFR form Incomplete.","",IF(AUDITCHECK!D29="Deficit reduction plan is required.","School District must complete a deficit reduction plan in the 2019-2020 Budget",)),"")</f>
        <v>0</v>
      </c>
      <c r="K24" s="1963"/>
      <c r="L24" s="1963"/>
      <c r="M24" s="1963"/>
      <c r="N24" s="1963"/>
      <c r="O24" s="1963"/>
      <c r="P24" s="1963"/>
      <c r="Q24" s="1963"/>
      <c r="R24" s="1963"/>
      <c r="S24" s="1964"/>
      <c r="T24" s="105" t="s">
        <v>531</v>
      </c>
      <c r="U24" s="106"/>
      <c r="V24" s="106"/>
      <c r="W24" s="106"/>
      <c r="X24" s="107"/>
      <c r="Y24" s="107"/>
      <c r="Z24" s="107"/>
      <c r="AA24" s="108"/>
    </row>
    <row r="25" spans="1:27" ht="14.1" customHeight="1" x14ac:dyDescent="0.2">
      <c r="A25" s="1940">
        <v>62286</v>
      </c>
      <c r="B25" s="1941"/>
      <c r="C25" s="1941"/>
      <c r="D25" s="1941"/>
      <c r="E25" s="1941"/>
      <c r="F25" s="1941"/>
      <c r="G25" s="1941"/>
      <c r="H25" s="1942"/>
      <c r="I25" s="113"/>
      <c r="J25" s="1965"/>
      <c r="K25" s="1965"/>
      <c r="L25" s="1965"/>
      <c r="M25" s="1965"/>
      <c r="N25" s="1965"/>
      <c r="O25" s="1965"/>
      <c r="P25" s="1965"/>
      <c r="Q25" s="1965"/>
      <c r="R25" s="1965"/>
      <c r="S25" s="1966"/>
      <c r="T25" s="2036" t="s">
        <v>2077</v>
      </c>
      <c r="U25" s="2037"/>
      <c r="V25" s="2037"/>
      <c r="W25" s="2037"/>
      <c r="X25" s="2037"/>
      <c r="Y25" s="2037"/>
      <c r="Z25" s="2037"/>
      <c r="AA25" s="203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1" t="s">
        <v>1511</v>
      </c>
      <c r="J27" s="1952"/>
      <c r="K27" s="1952"/>
      <c r="L27" s="1952"/>
      <c r="M27" s="1952"/>
      <c r="N27" s="1952"/>
      <c r="O27" s="1952"/>
      <c r="P27" s="1952"/>
      <c r="Q27" s="1952"/>
      <c r="R27" s="1952"/>
      <c r="S27" s="195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2063</v>
      </c>
      <c r="F29" s="141" t="s">
        <v>1316</v>
      </c>
      <c r="G29" s="114"/>
      <c r="I29" s="54"/>
      <c r="J29" s="148" t="s">
        <v>2063</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2063</v>
      </c>
      <c r="C30" s="124" t="s">
        <v>1164</v>
      </c>
      <c r="D30" s="28"/>
      <c r="E30" s="28"/>
      <c r="F30" s="140"/>
      <c r="G30" s="114"/>
      <c r="H30" s="114"/>
      <c r="I30" s="54"/>
      <c r="J30" s="148" t="s">
        <v>2063</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2063</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2063</v>
      </c>
      <c r="C34" s="32" t="s">
        <v>542</v>
      </c>
      <c r="D34" s="31"/>
      <c r="E34" s="31"/>
      <c r="F34" s="31"/>
      <c r="G34" s="31"/>
      <c r="H34" s="31"/>
      <c r="I34" s="54"/>
      <c r="J34" s="83"/>
      <c r="L34" s="101"/>
      <c r="M34" s="93" t="s">
        <v>707</v>
      </c>
      <c r="N34" s="30"/>
      <c r="O34" s="30"/>
      <c r="P34" s="30"/>
      <c r="Q34" s="30"/>
      <c r="R34" s="30"/>
      <c r="S34" s="55"/>
      <c r="T34" s="30"/>
      <c r="U34" s="148" t="s">
        <v>2063</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2"/>
      <c r="Q35" s="1941"/>
      <c r="R35" s="194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6" t="s">
        <v>2068</v>
      </c>
      <c r="B38" s="1977"/>
      <c r="C38" s="1977"/>
      <c r="D38" s="1977"/>
      <c r="E38" s="1977"/>
      <c r="F38" s="1941"/>
      <c r="G38" s="1941"/>
      <c r="H38" s="1942"/>
      <c r="I38" s="1969"/>
      <c r="J38" s="1970"/>
      <c r="K38" s="1970"/>
      <c r="L38" s="1970"/>
      <c r="M38" s="1970"/>
      <c r="N38" s="1970"/>
      <c r="O38" s="1970"/>
      <c r="P38" s="1971"/>
      <c r="Q38" s="1971"/>
      <c r="R38" s="1971"/>
      <c r="S38" s="1972"/>
      <c r="T38" s="2026" t="s">
        <v>2078</v>
      </c>
      <c r="U38" s="1970"/>
      <c r="V38" s="1970"/>
      <c r="W38" s="1970"/>
      <c r="X38" s="1971"/>
      <c r="Y38" s="1971"/>
      <c r="Z38" s="1971"/>
      <c r="AA38" s="1972"/>
    </row>
    <row r="39" spans="1:27" ht="12" customHeight="1" x14ac:dyDescent="0.2">
      <c r="A39" s="1946" t="s">
        <v>531</v>
      </c>
      <c r="B39" s="1947"/>
      <c r="C39" s="72"/>
      <c r="D39" s="69"/>
      <c r="E39" s="69"/>
      <c r="F39" s="79"/>
      <c r="G39" s="69"/>
      <c r="H39" s="56"/>
      <c r="I39" s="1946" t="s">
        <v>531</v>
      </c>
      <c r="J39" s="1947"/>
      <c r="K39" s="1947"/>
      <c r="L39" s="1947"/>
      <c r="M39" s="1947"/>
      <c r="N39" s="67"/>
      <c r="O39" s="72"/>
      <c r="P39" s="72"/>
      <c r="Q39" s="78"/>
      <c r="R39" s="72"/>
      <c r="S39" s="56"/>
      <c r="T39" s="72" t="s">
        <v>531</v>
      </c>
      <c r="U39" s="51"/>
      <c r="V39" s="72"/>
      <c r="W39" s="50"/>
      <c r="X39" s="78"/>
      <c r="Y39" s="45"/>
      <c r="Z39" s="45"/>
      <c r="AA39" s="46"/>
    </row>
    <row r="40" spans="1:27" ht="13.5" customHeight="1" x14ac:dyDescent="0.2">
      <c r="A40" s="1954" t="s">
        <v>2069</v>
      </c>
      <c r="B40" s="1955"/>
      <c r="C40" s="1956"/>
      <c r="D40" s="1956"/>
      <c r="E40" s="1956"/>
      <c r="F40" s="1957"/>
      <c r="G40" s="1957"/>
      <c r="H40" s="1958"/>
      <c r="I40" s="1979"/>
      <c r="J40" s="1980"/>
      <c r="K40" s="1980"/>
      <c r="L40" s="1980"/>
      <c r="M40" s="1980"/>
      <c r="N40" s="1980"/>
      <c r="O40" s="1980"/>
      <c r="P40" s="1980"/>
      <c r="Q40" s="1980"/>
      <c r="R40" s="1980"/>
      <c r="S40" s="1981"/>
      <c r="T40" s="1979" t="s">
        <v>2079</v>
      </c>
      <c r="U40" s="2042"/>
      <c r="V40" s="1980"/>
      <c r="W40" s="1980"/>
      <c r="X40" s="1980"/>
      <c r="Y40" s="1980"/>
      <c r="Z40" s="1980"/>
      <c r="AA40" s="198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8" t="s">
        <v>2066</v>
      </c>
      <c r="B42" s="1960"/>
      <c r="C42" s="1961"/>
      <c r="D42" s="1959" t="s">
        <v>2067</v>
      </c>
      <c r="E42" s="1960"/>
      <c r="F42" s="1960"/>
      <c r="G42" s="1960"/>
      <c r="H42" s="1961"/>
      <c r="I42" s="1943"/>
      <c r="J42" s="1944"/>
      <c r="K42" s="1944"/>
      <c r="L42" s="1944"/>
      <c r="M42" s="1944"/>
      <c r="N42" s="1944"/>
      <c r="O42" s="1945"/>
      <c r="P42" s="1978"/>
      <c r="Q42" s="1944"/>
      <c r="R42" s="1944"/>
      <c r="S42" s="1945"/>
      <c r="T42" s="1943" t="s">
        <v>2080</v>
      </c>
      <c r="U42" s="1944"/>
      <c r="V42" s="1944"/>
      <c r="W42" s="1945"/>
      <c r="X42" s="1978" t="s">
        <v>2081</v>
      </c>
      <c r="Y42" s="1944"/>
      <c r="Z42" s="1944"/>
      <c r="AA42" s="194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3"/>
      <c r="B44" s="1974"/>
      <c r="C44" s="1974"/>
      <c r="D44" s="1974"/>
      <c r="E44" s="1974"/>
      <c r="F44" s="1974"/>
      <c r="G44" s="1974"/>
      <c r="H44" s="1975"/>
      <c r="I44" s="1948"/>
      <c r="J44" s="1949"/>
      <c r="K44" s="1949"/>
      <c r="L44" s="1949"/>
      <c r="M44" s="1949"/>
      <c r="N44" s="1949"/>
      <c r="O44" s="1949"/>
      <c r="P44" s="1949"/>
      <c r="Q44" s="1949"/>
      <c r="R44" s="1949"/>
      <c r="S44" s="1950"/>
      <c r="T44" s="1948"/>
      <c r="U44" s="1967"/>
      <c r="V44" s="1967"/>
      <c r="W44" s="1967"/>
      <c r="X44" s="1967"/>
      <c r="Y44" s="1967"/>
      <c r="Z44" s="1949"/>
      <c r="AA44" s="1950"/>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1943</v>
      </c>
      <c r="D46" s="41"/>
      <c r="E46" s="41"/>
      <c r="F46" s="41"/>
      <c r="G46" s="41"/>
      <c r="Q46" s="29" t="s">
        <v>1420</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12" sqref="B1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1858</v>
      </c>
      <c r="C4" s="162" t="s">
        <v>1169</v>
      </c>
      <c r="D4" s="169" t="s">
        <v>10</v>
      </c>
      <c r="E4" s="170" t="s">
        <v>22</v>
      </c>
    </row>
    <row r="5" spans="1:5" x14ac:dyDescent="0.2">
      <c r="A5" s="168" t="s">
        <v>1860</v>
      </c>
      <c r="C5" s="162" t="s">
        <v>1169</v>
      </c>
      <c r="D5" s="169" t="s">
        <v>10</v>
      </c>
      <c r="E5" s="170" t="s">
        <v>22</v>
      </c>
    </row>
    <row r="6" spans="1:5" x14ac:dyDescent="0.2">
      <c r="A6" s="168" t="s">
        <v>1859</v>
      </c>
      <c r="C6" s="162" t="s">
        <v>1169</v>
      </c>
      <c r="D6" s="167" t="s">
        <v>11</v>
      </c>
      <c r="E6" s="170" t="s">
        <v>941</v>
      </c>
    </row>
    <row r="7" spans="1:5" x14ac:dyDescent="0.2">
      <c r="A7" s="168" t="s">
        <v>1861</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1862</v>
      </c>
      <c r="C11" s="162" t="s">
        <v>1169</v>
      </c>
      <c r="D11" s="169" t="s">
        <v>14</v>
      </c>
      <c r="E11" s="170" t="s">
        <v>1156</v>
      </c>
    </row>
    <row r="12" spans="1:5" x14ac:dyDescent="0.2">
      <c r="B12" s="169" t="s">
        <v>1863</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1864</v>
      </c>
      <c r="C15" s="162" t="s">
        <v>1169</v>
      </c>
      <c r="D15" s="169" t="s">
        <v>17</v>
      </c>
      <c r="E15" s="170" t="s">
        <v>636</v>
      </c>
    </row>
    <row r="16" spans="1:5" x14ac:dyDescent="0.2">
      <c r="A16" s="172"/>
      <c r="B16" s="162" t="s">
        <v>1865</v>
      </c>
      <c r="C16" s="162" t="s">
        <v>1169</v>
      </c>
      <c r="D16" s="169" t="s">
        <v>681</v>
      </c>
      <c r="E16" s="170" t="s">
        <v>1040</v>
      </c>
    </row>
    <row r="17" spans="1:5" x14ac:dyDescent="0.2">
      <c r="B17" s="167" t="s">
        <v>988</v>
      </c>
      <c r="C17" s="162" t="s">
        <v>1169</v>
      </c>
    </row>
    <row r="18" spans="1:5" x14ac:dyDescent="0.2">
      <c r="B18" s="167" t="s">
        <v>1871</v>
      </c>
      <c r="D18" s="169" t="s">
        <v>18</v>
      </c>
      <c r="E18" s="170" t="s">
        <v>1041</v>
      </c>
    </row>
    <row r="19" spans="1:5" x14ac:dyDescent="0.2">
      <c r="A19" s="168" t="s">
        <v>1099</v>
      </c>
      <c r="C19" s="162" t="s">
        <v>1169</v>
      </c>
      <c r="D19" s="169"/>
      <c r="E19" s="171"/>
    </row>
    <row r="20" spans="1:5" x14ac:dyDescent="0.2">
      <c r="B20" s="167" t="s">
        <v>1866</v>
      </c>
      <c r="C20" s="162" t="s">
        <v>1169</v>
      </c>
      <c r="D20" s="169" t="s">
        <v>19</v>
      </c>
      <c r="E20" s="170" t="s">
        <v>51</v>
      </c>
    </row>
    <row r="21" spans="1:5" x14ac:dyDescent="0.2">
      <c r="B21" s="167" t="s">
        <v>1867</v>
      </c>
      <c r="C21" s="162" t="s">
        <v>1169</v>
      </c>
      <c r="D21" s="169" t="s">
        <v>20</v>
      </c>
      <c r="E21" s="170" t="s">
        <v>1610</v>
      </c>
    </row>
    <row r="22" spans="1:5" x14ac:dyDescent="0.2">
      <c r="A22" s="168"/>
      <c r="B22" s="162" t="s">
        <v>1855</v>
      </c>
      <c r="C22" s="162" t="s">
        <v>1169</v>
      </c>
      <c r="D22" s="167" t="s">
        <v>1857</v>
      </c>
      <c r="E22" s="1836" t="s">
        <v>1611</v>
      </c>
    </row>
    <row r="23" spans="1:5" x14ac:dyDescent="0.2">
      <c r="A23" s="168"/>
      <c r="B23" s="162" t="s">
        <v>1856</v>
      </c>
      <c r="D23" s="167" t="s">
        <v>637</v>
      </c>
      <c r="E23" s="1836" t="s">
        <v>959</v>
      </c>
    </row>
    <row r="24" spans="1:5" x14ac:dyDescent="0.2">
      <c r="A24" s="168" t="s">
        <v>1609</v>
      </c>
      <c r="C24" s="162" t="s">
        <v>1169</v>
      </c>
      <c r="D24" s="167" t="s">
        <v>1393</v>
      </c>
      <c r="E24" s="170" t="s">
        <v>960</v>
      </c>
    </row>
    <row r="25" spans="1:5" x14ac:dyDescent="0.2">
      <c r="A25" s="168" t="s">
        <v>1868</v>
      </c>
      <c r="C25" s="162" t="s">
        <v>1169</v>
      </c>
      <c r="D25" s="169" t="s">
        <v>21</v>
      </c>
      <c r="E25" s="170" t="s">
        <v>1042</v>
      </c>
    </row>
    <row r="26" spans="1:5" x14ac:dyDescent="0.2">
      <c r="A26" s="168" t="s">
        <v>1869</v>
      </c>
      <c r="C26" s="162" t="s">
        <v>1169</v>
      </c>
      <c r="D26" s="169" t="s">
        <v>563</v>
      </c>
      <c r="E26" s="170" t="s">
        <v>1043</v>
      </c>
    </row>
    <row r="27" spans="1:5" x14ac:dyDescent="0.2">
      <c r="A27" s="168" t="s">
        <v>1870</v>
      </c>
      <c r="C27" s="162" t="s">
        <v>1169</v>
      </c>
      <c r="D27" s="169" t="s">
        <v>557</v>
      </c>
      <c r="E27" s="170" t="s">
        <v>683</v>
      </c>
    </row>
    <row r="28" spans="1:5" x14ac:dyDescent="0.2">
      <c r="A28" s="168" t="s">
        <v>1872</v>
      </c>
      <c r="D28" s="169" t="s">
        <v>684</v>
      </c>
      <c r="E28" s="170" t="s">
        <v>1366</v>
      </c>
    </row>
    <row r="29" spans="1:5" x14ac:dyDescent="0.2">
      <c r="A29" s="168" t="s">
        <v>1873</v>
      </c>
      <c r="D29" s="169" t="s">
        <v>1394</v>
      </c>
      <c r="E29" s="170" t="s">
        <v>1375</v>
      </c>
    </row>
    <row r="30" spans="1:5" x14ac:dyDescent="0.2">
      <c r="A30" s="173" t="s">
        <v>1874</v>
      </c>
      <c r="C30" s="162" t="s">
        <v>1169</v>
      </c>
      <c r="D30" s="169" t="s">
        <v>40</v>
      </c>
      <c r="E30" s="170" t="s">
        <v>982</v>
      </c>
    </row>
    <row r="31" spans="1:5" x14ac:dyDescent="0.2">
      <c r="A31" s="168" t="s">
        <v>1521</v>
      </c>
      <c r="C31" s="162" t="s">
        <v>1169</v>
      </c>
      <c r="D31" s="167"/>
      <c r="E31" s="171"/>
    </row>
    <row r="32" spans="1:5" x14ac:dyDescent="0.2">
      <c r="B32" s="167" t="s">
        <v>1875</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1901</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85" t="s">
        <v>1775</v>
      </c>
    </row>
    <row r="60" spans="1:3" x14ac:dyDescent="0.2">
      <c r="A60" s="196"/>
      <c r="B60" s="1485" t="s">
        <v>1776</v>
      </c>
    </row>
    <row r="61" spans="1:3" ht="6" customHeight="1" x14ac:dyDescent="0.2">
      <c r="A61" s="197"/>
      <c r="B61" s="189"/>
    </row>
    <row r="62" spans="1:3" x14ac:dyDescent="0.2">
      <c r="A62" s="169" t="s">
        <v>1616</v>
      </c>
      <c r="B62" s="198" t="s">
        <v>1772</v>
      </c>
    </row>
    <row r="63" spans="1:3" x14ac:dyDescent="0.2">
      <c r="A63" s="188"/>
      <c r="B63" s="169" t="s">
        <v>1787</v>
      </c>
    </row>
    <row r="64" spans="1:3" x14ac:dyDescent="0.2">
      <c r="A64" s="195"/>
      <c r="B64" s="1487"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86" t="s">
        <v>1619</v>
      </c>
    </row>
    <row r="72" spans="1:9" ht="9" customHeight="1" x14ac:dyDescent="0.2">
      <c r="A72" s="192"/>
      <c r="B72" s="199"/>
    </row>
    <row r="73" spans="1:9" x14ac:dyDescent="0.2">
      <c r="A73" s="189" t="s">
        <v>1620</v>
      </c>
      <c r="B73" s="169" t="s">
        <v>1783</v>
      </c>
    </row>
    <row r="74" spans="1:9" x14ac:dyDescent="0.2">
      <c r="A74" s="189"/>
      <c r="B74" s="169" t="s">
        <v>1782</v>
      </c>
    </row>
    <row r="75" spans="1:9" ht="8.25" customHeight="1" x14ac:dyDescent="0.2">
      <c r="A75" s="189"/>
      <c r="B75" s="189"/>
    </row>
    <row r="76" spans="1:9" ht="12.2" customHeight="1" x14ac:dyDescent="0.2">
      <c r="A76" s="189" t="s">
        <v>1621</v>
      </c>
      <c r="B76" s="198" t="s">
        <v>1784</v>
      </c>
    </row>
    <row r="77" spans="1:9" ht="12.2" customHeight="1" x14ac:dyDescent="0.2">
      <c r="A77" s="190"/>
      <c r="B77" s="169" t="s">
        <v>1622</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9" colorId="8" zoomScale="110" zoomScaleNormal="110" workbookViewId="0">
      <selection activeCell="B12" sqref="B1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1945</v>
      </c>
    </row>
    <row r="32" spans="1:4" s="181" customFormat="1" x14ac:dyDescent="0.2">
      <c r="A32" s="219"/>
      <c r="B32" s="236"/>
      <c r="C32" s="227"/>
      <c r="D32" s="237" t="s">
        <v>1792</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2063</v>
      </c>
      <c r="C53" s="179">
        <v>22</v>
      </c>
      <c r="D53" s="247" t="s">
        <v>1462</v>
      </c>
      <c r="E53" s="248"/>
      <c r="F53" s="249"/>
      <c r="G53" s="249" t="s">
        <v>1461</v>
      </c>
      <c r="H53" s="250">
        <v>35977</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1946</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1904</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1927</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1928</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2070</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1905</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9" colorId="8" zoomScale="110" zoomScaleNormal="110" workbookViewId="0">
      <selection activeCell="B12" sqref="B1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1947</v>
      </c>
      <c r="E7" s="222"/>
      <c r="F7" s="351" t="s">
        <v>272</v>
      </c>
      <c r="G7" s="222"/>
      <c r="H7" s="222"/>
      <c r="I7" s="222"/>
      <c r="J7" s="352">
        <v>111901462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2.09392E-3</v>
      </c>
      <c r="E10" s="356" t="s">
        <v>1005</v>
      </c>
      <c r="F10" s="355">
        <v>6.3011000000000002E-4</v>
      </c>
      <c r="G10" s="356" t="s">
        <v>1005</v>
      </c>
      <c r="H10" s="355">
        <v>2.9704999999999998E-4</v>
      </c>
      <c r="I10" s="356" t="s">
        <v>1006</v>
      </c>
      <c r="J10" s="1732">
        <f>ROUND(D10+F10+H10,5)</f>
        <v>3.0200000000000001E-3</v>
      </c>
      <c r="K10" s="222"/>
      <c r="L10" s="355">
        <v>4.155E-5</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12915521</v>
      </c>
      <c r="E16" s="356"/>
      <c r="F16" s="1733">
        <f>SUM('Acct Summary 7-8'!C17,'Acct Summary 7-8'!D17,'Acct Summary 7-8'!F17)</f>
        <v>12089830</v>
      </c>
      <c r="G16" s="356"/>
      <c r="H16" s="1733">
        <f>SUM(D16-F16)</f>
        <v>825691</v>
      </c>
      <c r="I16" s="222"/>
      <c r="J16" s="1733">
        <f>SUM('Acct Summary 7-8'!C81,'Acct Summary 7-8'!D81,'Acct Summary 7-8'!F81,'Acct Summary 7-8'!I81)</f>
        <v>4870824</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15442401.756000001</v>
      </c>
      <c r="I31" s="368"/>
      <c r="J31" s="222"/>
      <c r="K31" s="222"/>
      <c r="L31" s="222"/>
      <c r="M31" s="222"/>
    </row>
    <row r="32" spans="1:13" ht="13.35" customHeight="1" x14ac:dyDescent="0.2">
      <c r="B32" s="369" t="s">
        <v>2063</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11500180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B12" sqref="B1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Sparta CUSD 140</v>
      </c>
      <c r="E7" s="391"/>
      <c r="G7" s="252"/>
      <c r="H7" s="387"/>
      <c r="I7" s="387"/>
      <c r="J7" s="387"/>
      <c r="K7" s="387"/>
      <c r="L7" s="329"/>
      <c r="M7" s="329"/>
      <c r="N7" s="329"/>
      <c r="O7" s="329"/>
      <c r="P7" s="329"/>
    </row>
    <row r="8" spans="1:18" ht="12.75" x14ac:dyDescent="0.2">
      <c r="A8" s="329"/>
      <c r="B8" s="329"/>
      <c r="C8" s="389" t="s">
        <v>1125</v>
      </c>
      <c r="D8" s="392">
        <f>COVER!A13</f>
        <v>45079140026</v>
      </c>
      <c r="E8" s="393"/>
      <c r="G8" s="329"/>
      <c r="H8" s="329"/>
      <c r="I8" s="329"/>
      <c r="J8" s="329"/>
      <c r="K8" s="329"/>
      <c r="L8" s="329"/>
      <c r="M8" s="329"/>
      <c r="N8" s="329"/>
      <c r="O8" s="329"/>
      <c r="P8" s="329"/>
    </row>
    <row r="9" spans="1:18" ht="12.75" x14ac:dyDescent="0.2">
      <c r="A9" s="329"/>
      <c r="B9" s="329"/>
      <c r="C9" s="389" t="s">
        <v>713</v>
      </c>
      <c r="D9" s="394" t="str">
        <f>COVER!A15</f>
        <v>Randolph</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4870824</v>
      </c>
      <c r="I12" s="404"/>
      <c r="J12" s="404"/>
      <c r="K12" s="405">
        <f>TRUNC((H12/H13*100000),5)/100000</f>
        <v>0.37712950169999998</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12915521</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12089830</v>
      </c>
      <c r="I17" s="404"/>
      <c r="J17" s="416"/>
      <c r="K17" s="405">
        <f>TRUNC((H17/H18*100000),5)/100000</f>
        <v>0.936069865</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12915521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4870824</v>
      </c>
      <c r="I24" s="422"/>
      <c r="J24" s="422"/>
      <c r="K24" s="423">
        <f>TRUNC(((H24/H25*100000)/100000),2)</f>
        <v>145.03</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33582.861109999998</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1930</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287251.05294999998</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11500180</v>
      </c>
      <c r="I32" s="420"/>
      <c r="J32" s="420"/>
      <c r="K32" s="423">
        <f>TRUNC(100-((((H32/H33*100))*100)/100),2)</f>
        <v>25.52</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15442401.756000001</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1985</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activeCell="B12" sqref="B12"/>
      <selection pane="bottomLeft" activeCell="B12" sqref="B1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1381679</v>
      </c>
      <c r="D4" s="466">
        <v>425107</v>
      </c>
      <c r="E4" s="466">
        <v>306622</v>
      </c>
      <c r="F4" s="466">
        <v>19884</v>
      </c>
      <c r="G4" s="466">
        <v>28153</v>
      </c>
      <c r="H4" s="466">
        <v>188968</v>
      </c>
      <c r="I4" s="466">
        <v>103182</v>
      </c>
      <c r="J4" s="467"/>
      <c r="K4" s="466">
        <v>12785</v>
      </c>
      <c r="L4" s="466">
        <v>207967</v>
      </c>
      <c r="M4" s="468"/>
      <c r="N4" s="469"/>
    </row>
    <row r="5" spans="1:14" x14ac:dyDescent="0.2">
      <c r="A5" s="463" t="s">
        <v>992</v>
      </c>
      <c r="B5" s="470">
        <v>120</v>
      </c>
      <c r="C5" s="465">
        <v>264887</v>
      </c>
      <c r="D5" s="466">
        <v>81325</v>
      </c>
      <c r="E5" s="466">
        <v>271899</v>
      </c>
      <c r="F5" s="466">
        <v>335748</v>
      </c>
      <c r="G5" s="466">
        <v>53814</v>
      </c>
      <c r="H5" s="466">
        <v>414522</v>
      </c>
      <c r="I5" s="466">
        <v>2259012</v>
      </c>
      <c r="J5" s="467"/>
      <c r="K5" s="471">
        <v>199881</v>
      </c>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1646566</v>
      </c>
      <c r="D13" s="1737">
        <f t="shared" ref="D13:L13" si="0">SUM(D4:D12)</f>
        <v>506432</v>
      </c>
      <c r="E13" s="1737">
        <f t="shared" si="0"/>
        <v>578521</v>
      </c>
      <c r="F13" s="1737">
        <f t="shared" si="0"/>
        <v>355632</v>
      </c>
      <c r="G13" s="1737">
        <f t="shared" si="0"/>
        <v>81967</v>
      </c>
      <c r="H13" s="1737">
        <f t="shared" si="0"/>
        <v>603490</v>
      </c>
      <c r="I13" s="1737">
        <f t="shared" si="0"/>
        <v>2362194</v>
      </c>
      <c r="J13" s="1737">
        <f t="shared" si="0"/>
        <v>0</v>
      </c>
      <c r="K13" s="1737">
        <f t="shared" si="0"/>
        <v>212666</v>
      </c>
      <c r="L13" s="1737">
        <f t="shared" si="0"/>
        <v>207967</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213439</v>
      </c>
      <c r="N16" s="484"/>
    </row>
    <row r="17" spans="1:14" s="485" customFormat="1" ht="12.75" customHeight="1" x14ac:dyDescent="0.2">
      <c r="A17" s="482" t="s">
        <v>1403</v>
      </c>
      <c r="B17" s="483">
        <v>230</v>
      </c>
      <c r="C17" s="477"/>
      <c r="D17" s="477"/>
      <c r="E17" s="477"/>
      <c r="F17" s="477"/>
      <c r="G17" s="477"/>
      <c r="H17" s="477"/>
      <c r="I17" s="477"/>
      <c r="J17" s="477"/>
      <c r="K17" s="477"/>
      <c r="L17" s="477"/>
      <c r="M17" s="467">
        <v>18971965</v>
      </c>
      <c r="N17" s="484"/>
    </row>
    <row r="18" spans="1:14" s="485" customFormat="1" ht="12.75" customHeight="1" x14ac:dyDescent="0.2">
      <c r="A18" s="482" t="s">
        <v>1404</v>
      </c>
      <c r="B18" s="483">
        <v>240</v>
      </c>
      <c r="C18" s="477"/>
      <c r="D18" s="477"/>
      <c r="E18" s="477"/>
      <c r="F18" s="477"/>
      <c r="G18" s="477"/>
      <c r="H18" s="477"/>
      <c r="I18" s="477"/>
      <c r="J18" s="477"/>
      <c r="K18" s="477"/>
      <c r="L18" s="477"/>
      <c r="M18" s="467">
        <v>203736</v>
      </c>
      <c r="N18" s="484"/>
    </row>
    <row r="19" spans="1:14" s="485" customFormat="1" ht="12.75" customHeight="1" x14ac:dyDescent="0.2">
      <c r="A19" s="482" t="s">
        <v>1405</v>
      </c>
      <c r="B19" s="483">
        <v>250</v>
      </c>
      <c r="C19" s="477"/>
      <c r="D19" s="477"/>
      <c r="E19" s="477"/>
      <c r="F19" s="477"/>
      <c r="G19" s="477"/>
      <c r="H19" s="477"/>
      <c r="I19" s="477"/>
      <c r="J19" s="477"/>
      <c r="K19" s="477"/>
      <c r="L19" s="477"/>
      <c r="M19" s="467">
        <v>226522</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578521</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10921659</v>
      </c>
    </row>
    <row r="23" spans="1:14" ht="13.5" customHeight="1" thickBot="1" x14ac:dyDescent="0.25">
      <c r="A23" s="1736" t="s">
        <v>643</v>
      </c>
      <c r="B23" s="1741"/>
      <c r="C23" s="468"/>
      <c r="D23" s="468"/>
      <c r="E23" s="468"/>
      <c r="F23" s="468"/>
      <c r="G23" s="468"/>
      <c r="H23" s="468"/>
      <c r="I23" s="468"/>
      <c r="J23" s="468"/>
      <c r="K23" s="468"/>
      <c r="L23" s="468"/>
      <c r="M23" s="1688">
        <f>SUM(M15:M22)</f>
        <v>19615662</v>
      </c>
      <c r="N23" s="1688">
        <f>SUM(N21:N22)</f>
        <v>11500180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207967</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207967</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11500180</v>
      </c>
    </row>
    <row r="37" spans="1:14" ht="13.5" thickBot="1" x14ac:dyDescent="0.25">
      <c r="A37" s="1736" t="s">
        <v>653</v>
      </c>
      <c r="B37" s="1741"/>
      <c r="C37" s="477"/>
      <c r="D37" s="477"/>
      <c r="E37" s="477"/>
      <c r="F37" s="477"/>
      <c r="G37" s="477"/>
      <c r="H37" s="477"/>
      <c r="I37" s="477"/>
      <c r="J37" s="477"/>
      <c r="K37" s="477"/>
      <c r="L37" s="480"/>
      <c r="M37" s="468"/>
      <c r="N37" s="1688">
        <f>SUM(N36:N36)</f>
        <v>11500180</v>
      </c>
    </row>
    <row r="38" spans="1:14" s="329" customFormat="1" ht="13.5" customHeight="1" thickTop="1" x14ac:dyDescent="0.2">
      <c r="A38" s="496" t="s">
        <v>420</v>
      </c>
      <c r="B38" s="483">
        <v>714</v>
      </c>
      <c r="C38" s="466"/>
      <c r="D38" s="466"/>
      <c r="E38" s="466">
        <v>578521</v>
      </c>
      <c r="F38" s="466">
        <v>355632</v>
      </c>
      <c r="G38" s="466">
        <v>81967</v>
      </c>
      <c r="H38" s="466">
        <v>603490</v>
      </c>
      <c r="I38" s="466"/>
      <c r="J38" s="467"/>
      <c r="K38" s="466">
        <v>212666</v>
      </c>
      <c r="L38" s="481"/>
      <c r="M38" s="497"/>
      <c r="N38" s="497"/>
    </row>
    <row r="39" spans="1:14" s="329" customFormat="1" ht="13.5" customHeight="1" x14ac:dyDescent="0.2">
      <c r="A39" s="496" t="s">
        <v>342</v>
      </c>
      <c r="B39" s="483">
        <v>730</v>
      </c>
      <c r="C39" s="466">
        <v>1646566</v>
      </c>
      <c r="D39" s="466">
        <v>506432</v>
      </c>
      <c r="E39" s="466"/>
      <c r="F39" s="466"/>
      <c r="G39" s="466"/>
      <c r="H39" s="466"/>
      <c r="I39" s="466">
        <v>2362194</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19615662</v>
      </c>
      <c r="N40" s="497"/>
    </row>
    <row r="41" spans="1:14" ht="13.5" customHeight="1" thickBot="1" x14ac:dyDescent="0.25">
      <c r="A41" s="1736" t="s">
        <v>655</v>
      </c>
      <c r="B41" s="1706"/>
      <c r="C41" s="1688">
        <f>(SUM(C34,C37,C38,C39))</f>
        <v>1646566</v>
      </c>
      <c r="D41" s="1688">
        <f t="shared" ref="D41:L41" si="2">SUM(D34,D37,D38:D39)</f>
        <v>506432</v>
      </c>
      <c r="E41" s="1688">
        <f t="shared" si="2"/>
        <v>578521</v>
      </c>
      <c r="F41" s="1688">
        <f t="shared" si="2"/>
        <v>355632</v>
      </c>
      <c r="G41" s="1688">
        <f t="shared" si="2"/>
        <v>81967</v>
      </c>
      <c r="H41" s="1688">
        <f t="shared" si="2"/>
        <v>603490</v>
      </c>
      <c r="I41" s="1688">
        <f t="shared" si="2"/>
        <v>2362194</v>
      </c>
      <c r="J41" s="1688">
        <f t="shared" si="2"/>
        <v>0</v>
      </c>
      <c r="K41" s="1688">
        <f t="shared" si="2"/>
        <v>212666</v>
      </c>
      <c r="L41" s="1688">
        <f t="shared" si="2"/>
        <v>207967</v>
      </c>
      <c r="M41" s="1688">
        <f>SUM(M40)</f>
        <v>19615662</v>
      </c>
      <c r="N41" s="1688">
        <f>SUM(N37)</f>
        <v>11500180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0" activePane="bottomLeft" state="frozen"/>
      <selection activeCell="B12" sqref="B12"/>
      <selection pane="bottomLeft" activeCell="B12" sqref="B1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3217056</v>
      </c>
      <c r="D4" s="1742">
        <f>'Revenues 9-14'!D109</f>
        <v>1034810</v>
      </c>
      <c r="E4" s="1742">
        <f>'Revenues 9-14'!E109</f>
        <v>3258</v>
      </c>
      <c r="F4" s="1742">
        <f>'Revenues 9-14'!F109</f>
        <v>320144</v>
      </c>
      <c r="G4" s="1742">
        <f>'Revenues 9-14'!G109</f>
        <v>349126</v>
      </c>
      <c r="H4" s="1742">
        <f>'Revenues 9-14'!H109</f>
        <v>819854</v>
      </c>
      <c r="I4" s="1742">
        <f>'Revenues 9-14'!I109</f>
        <v>51444</v>
      </c>
      <c r="J4" s="1742">
        <f>'Revenues 9-14'!J109</f>
        <v>91316</v>
      </c>
      <c r="K4" s="1742">
        <f>'Revenues 9-14'!K109</f>
        <v>13537</v>
      </c>
      <c r="L4" s="347"/>
    </row>
    <row r="5" spans="1:13" ht="15.75" customHeight="1" x14ac:dyDescent="0.2">
      <c r="A5" s="1576" t="s">
        <v>1500</v>
      </c>
      <c r="B5" s="1577">
        <v>2000</v>
      </c>
      <c r="C5" s="1743">
        <f>'Revenues 9-14'!C114</f>
        <v>38982</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5562679</v>
      </c>
      <c r="D6" s="1743">
        <f>'Revenues 9-14'!D170</f>
        <v>500000</v>
      </c>
      <c r="E6" s="1743">
        <f>'Revenues 9-14'!E170</f>
        <v>0</v>
      </c>
      <c r="F6" s="1743">
        <f>'Revenues 9-14'!F170</f>
        <v>763733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1426673</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10245390</v>
      </c>
      <c r="D8" s="1688">
        <f t="shared" ref="D8:K8" si="0">SUM(D4:D7)</f>
        <v>1534810</v>
      </c>
      <c r="E8" s="1688">
        <f t="shared" si="0"/>
        <v>3258</v>
      </c>
      <c r="F8" s="1688">
        <f t="shared" si="0"/>
        <v>1083877</v>
      </c>
      <c r="G8" s="1688">
        <f t="shared" si="0"/>
        <v>349126</v>
      </c>
      <c r="H8" s="1688">
        <f t="shared" si="0"/>
        <v>819854</v>
      </c>
      <c r="I8" s="1688">
        <f t="shared" si="0"/>
        <v>51444</v>
      </c>
      <c r="J8" s="1688">
        <f t="shared" si="0"/>
        <v>91316</v>
      </c>
      <c r="K8" s="1688">
        <f t="shared" si="0"/>
        <v>13537</v>
      </c>
      <c r="L8" s="347"/>
    </row>
    <row r="9" spans="1:13" ht="15.75" thickTop="1" x14ac:dyDescent="0.2">
      <c r="A9" s="514" t="s">
        <v>1653</v>
      </c>
      <c r="B9" s="515">
        <v>3998</v>
      </c>
      <c r="C9" s="481">
        <v>3726587</v>
      </c>
      <c r="D9" s="516"/>
      <c r="E9" s="481"/>
      <c r="F9" s="481"/>
      <c r="G9" s="517"/>
      <c r="H9" s="481"/>
      <c r="I9" s="509" t="s">
        <v>1169</v>
      </c>
      <c r="J9" s="478"/>
      <c r="K9" s="481"/>
      <c r="L9" s="347"/>
    </row>
    <row r="10" spans="1:13" s="519" customFormat="1" ht="13.5" thickBot="1" x14ac:dyDescent="0.25">
      <c r="A10" s="1736" t="s">
        <v>1173</v>
      </c>
      <c r="B10" s="1709"/>
      <c r="C10" s="1688">
        <f>SUM(C8:C9)</f>
        <v>13971977</v>
      </c>
      <c r="D10" s="1688">
        <f t="shared" ref="D10:K10" si="1">SUM(D8:D9)</f>
        <v>1534810</v>
      </c>
      <c r="E10" s="1688">
        <f t="shared" si="1"/>
        <v>3258</v>
      </c>
      <c r="F10" s="1688">
        <f t="shared" si="1"/>
        <v>1083877</v>
      </c>
      <c r="G10" s="1688">
        <f t="shared" si="1"/>
        <v>349126</v>
      </c>
      <c r="H10" s="1688">
        <f t="shared" si="1"/>
        <v>819854</v>
      </c>
      <c r="I10" s="1688">
        <f t="shared" si="1"/>
        <v>51444</v>
      </c>
      <c r="J10" s="1688">
        <f t="shared" si="1"/>
        <v>91316</v>
      </c>
      <c r="K10" s="1688">
        <f t="shared" si="1"/>
        <v>13537</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6219448</v>
      </c>
      <c r="D12" s="520" t="s">
        <v>1169</v>
      </c>
      <c r="E12" s="468" t="s">
        <v>1169</v>
      </c>
      <c r="F12" s="468" t="s">
        <v>1169</v>
      </c>
      <c r="G12" s="1742">
        <f>'Expenditures 15-22'!K229</f>
        <v>151692</v>
      </c>
      <c r="H12" s="521"/>
      <c r="I12" s="468" t="s">
        <v>1169</v>
      </c>
      <c r="J12" s="468" t="s">
        <v>1169</v>
      </c>
      <c r="K12" s="521" t="s">
        <v>1169</v>
      </c>
      <c r="L12" s="347"/>
    </row>
    <row r="13" spans="1:13" ht="15.75" customHeight="1" x14ac:dyDescent="0.2">
      <c r="A13" s="1576" t="s">
        <v>457</v>
      </c>
      <c r="B13" s="1578">
        <v>2000</v>
      </c>
      <c r="C13" s="1743">
        <f>'Expenditures 15-22'!K74</f>
        <v>2448929</v>
      </c>
      <c r="D13" s="1743">
        <f>'Expenditures 15-22'!K129</f>
        <v>1337934</v>
      </c>
      <c r="E13" s="469" t="s">
        <v>1169</v>
      </c>
      <c r="F13" s="1743">
        <f>'Expenditures 15-22'!K184</f>
        <v>1057200</v>
      </c>
      <c r="G13" s="1743">
        <f>'Expenditures 15-22'!K279</f>
        <v>209748</v>
      </c>
      <c r="H13" s="1743">
        <f>'Expenditures 15-22'!K303</f>
        <v>1625</v>
      </c>
      <c r="I13" s="468" t="s">
        <v>1169</v>
      </c>
      <c r="J13" s="1743">
        <f>'Expenditures 15-22'!K330</f>
        <v>91414</v>
      </c>
      <c r="K13" s="1747">
        <f>'Expenditures 15-22'!K352</f>
        <v>62327</v>
      </c>
      <c r="L13" s="347"/>
    </row>
    <row r="14" spans="1:13" ht="15.75" customHeight="1" x14ac:dyDescent="0.2">
      <c r="A14" s="1576" t="s">
        <v>449</v>
      </c>
      <c r="B14" s="1578">
        <v>3000</v>
      </c>
      <c r="C14" s="1743">
        <f>'Expenditures 15-22'!K75</f>
        <v>31844</v>
      </c>
      <c r="D14" s="1743">
        <f>'Expenditures 15-22'!K130</f>
        <v>0</v>
      </c>
      <c r="E14" s="520" t="s">
        <v>1169</v>
      </c>
      <c r="F14" s="1743">
        <f>'Expenditures 15-22'!K185</f>
        <v>0</v>
      </c>
      <c r="G14" s="1743">
        <f>'Expenditures 15-22'!K280</f>
        <v>45</v>
      </c>
      <c r="H14" s="512"/>
      <c r="I14" s="468" t="s">
        <v>1169</v>
      </c>
      <c r="J14" s="468" t="s">
        <v>1169</v>
      </c>
      <c r="K14" s="512" t="s">
        <v>1169</v>
      </c>
      <c r="L14" s="347"/>
    </row>
    <row r="15" spans="1:13" ht="15.75" customHeight="1" x14ac:dyDescent="0.2">
      <c r="A15" s="1576" t="s">
        <v>107</v>
      </c>
      <c r="B15" s="1578">
        <v>4000</v>
      </c>
      <c r="C15" s="1743">
        <f>'Expenditures 15-22'!K102</f>
        <v>994475</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1476079</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9694696</v>
      </c>
      <c r="D17" s="1688">
        <f t="shared" si="2"/>
        <v>1337934</v>
      </c>
      <c r="E17" s="1688">
        <f t="shared" si="2"/>
        <v>1476079</v>
      </c>
      <c r="F17" s="1688">
        <f t="shared" si="2"/>
        <v>1057200</v>
      </c>
      <c r="G17" s="1688">
        <f t="shared" si="2"/>
        <v>361485</v>
      </c>
      <c r="H17" s="1688">
        <f t="shared" si="2"/>
        <v>1625</v>
      </c>
      <c r="I17" s="468"/>
      <c r="J17" s="1688">
        <f>SUM(J12:J16)</f>
        <v>91414</v>
      </c>
      <c r="K17" s="1688">
        <f>SUM(K12:K16)</f>
        <v>62327</v>
      </c>
      <c r="L17" s="347"/>
    </row>
    <row r="18" spans="1:12" ht="15" customHeight="1" thickTop="1" x14ac:dyDescent="0.2">
      <c r="A18" s="1744" t="s">
        <v>1654</v>
      </c>
      <c r="B18" s="1745">
        <v>4180</v>
      </c>
      <c r="C18" s="1742">
        <f t="shared" ref="C18:H18" si="3">C9</f>
        <v>3726587</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13421283</v>
      </c>
      <c r="D19" s="1688">
        <f t="shared" si="4"/>
        <v>1337934</v>
      </c>
      <c r="E19" s="1688">
        <f t="shared" si="4"/>
        <v>1476079</v>
      </c>
      <c r="F19" s="1688">
        <f t="shared" si="4"/>
        <v>1057200</v>
      </c>
      <c r="G19" s="1688">
        <f t="shared" si="4"/>
        <v>361485</v>
      </c>
      <c r="H19" s="1688">
        <f t="shared" si="4"/>
        <v>1625</v>
      </c>
      <c r="I19" s="468"/>
      <c r="J19" s="1688">
        <f>SUM(J17:J18)</f>
        <v>91414</v>
      </c>
      <c r="K19" s="1688">
        <f>SUM(K17:K18)</f>
        <v>62327</v>
      </c>
      <c r="L19" s="347"/>
    </row>
    <row r="20" spans="1:12" ht="16.5" thickTop="1" thickBot="1" x14ac:dyDescent="0.25">
      <c r="A20" s="2125" t="s">
        <v>1655</v>
      </c>
      <c r="B20" s="2126"/>
      <c r="C20" s="1746">
        <f>C8-C17</f>
        <v>550694</v>
      </c>
      <c r="D20" s="1746">
        <f t="shared" ref="D20:K20" si="5">D8-D17</f>
        <v>196876</v>
      </c>
      <c r="E20" s="1746">
        <f t="shared" si="5"/>
        <v>-1472821</v>
      </c>
      <c r="F20" s="1746">
        <f t="shared" si="5"/>
        <v>26677</v>
      </c>
      <c r="G20" s="1746">
        <f t="shared" si="5"/>
        <v>-12359</v>
      </c>
      <c r="H20" s="1746">
        <f t="shared" si="5"/>
        <v>818229</v>
      </c>
      <c r="I20" s="1746">
        <f t="shared" si="5"/>
        <v>51444</v>
      </c>
      <c r="J20" s="1746">
        <f t="shared" si="5"/>
        <v>-98</v>
      </c>
      <c r="K20" s="1746">
        <f t="shared" si="5"/>
        <v>-48790</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1793</v>
      </c>
      <c r="B30" s="527">
        <v>7160</v>
      </c>
      <c r="C30" s="477"/>
      <c r="D30" s="467"/>
      <c r="E30" s="477"/>
      <c r="F30" s="477"/>
      <c r="G30" s="477"/>
      <c r="H30" s="477"/>
      <c r="I30" s="477"/>
      <c r="J30" s="477"/>
      <c r="K30" s="477"/>
      <c r="L30" s="524"/>
    </row>
    <row r="31" spans="1:12" s="485" customFormat="1" ht="26.25" x14ac:dyDescent="0.2">
      <c r="A31" s="1489" t="s">
        <v>1797</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v>663263</v>
      </c>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663263</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1796</v>
      </c>
      <c r="B52" s="483">
        <v>8160</v>
      </c>
      <c r="C52" s="477"/>
      <c r="D52" s="477"/>
      <c r="E52" s="477"/>
      <c r="F52" s="477"/>
      <c r="G52" s="477"/>
      <c r="H52" s="477"/>
      <c r="I52" s="477"/>
      <c r="J52" s="477"/>
      <c r="K52" s="1743">
        <f>D30</f>
        <v>0</v>
      </c>
      <c r="L52" s="524"/>
    </row>
    <row r="53" spans="1:12" s="485" customFormat="1" ht="26.25" x14ac:dyDescent="0.2">
      <c r="A53" s="1490" t="s">
        <v>1795</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v>663263</v>
      </c>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663263</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663263</v>
      </c>
      <c r="F77" s="1703">
        <f t="shared" si="8"/>
        <v>0</v>
      </c>
      <c r="G77" s="1703">
        <f t="shared" si="8"/>
        <v>0</v>
      </c>
      <c r="H77" s="1703">
        <f t="shared" si="8"/>
        <v>-663263</v>
      </c>
      <c r="I77" s="1703">
        <f t="shared" si="8"/>
        <v>0</v>
      </c>
      <c r="J77" s="1703">
        <f t="shared" si="8"/>
        <v>0</v>
      </c>
      <c r="K77" s="1703">
        <f t="shared" si="8"/>
        <v>0</v>
      </c>
      <c r="L77" s="347"/>
    </row>
    <row r="78" spans="1:12" ht="21.75" customHeight="1" thickTop="1" thickBot="1" x14ac:dyDescent="0.25">
      <c r="A78" s="2121" t="s">
        <v>597</v>
      </c>
      <c r="B78" s="2122"/>
      <c r="C78" s="1702">
        <f t="shared" ref="C78:K78" si="9">C20+C77</f>
        <v>550694</v>
      </c>
      <c r="D78" s="1702">
        <f t="shared" si="9"/>
        <v>196876</v>
      </c>
      <c r="E78" s="1702">
        <f t="shared" si="9"/>
        <v>-809558</v>
      </c>
      <c r="F78" s="1702">
        <f t="shared" si="9"/>
        <v>26677</v>
      </c>
      <c r="G78" s="1702">
        <f t="shared" si="9"/>
        <v>-12359</v>
      </c>
      <c r="H78" s="1702">
        <f t="shared" si="9"/>
        <v>154966</v>
      </c>
      <c r="I78" s="1702">
        <f t="shared" si="9"/>
        <v>51444</v>
      </c>
      <c r="J78" s="1702">
        <f t="shared" si="9"/>
        <v>-98</v>
      </c>
      <c r="K78" s="1702">
        <f t="shared" si="9"/>
        <v>-48790</v>
      </c>
      <c r="L78" s="533"/>
    </row>
    <row r="79" spans="1:12" ht="13.5" thickTop="1" x14ac:dyDescent="0.2">
      <c r="A79" s="1494" t="s">
        <v>1948</v>
      </c>
      <c r="B79" s="534"/>
      <c r="C79" s="478">
        <v>1095872</v>
      </c>
      <c r="D79" s="535">
        <v>309556</v>
      </c>
      <c r="E79" s="535">
        <v>1388079</v>
      </c>
      <c r="F79" s="535">
        <v>328955</v>
      </c>
      <c r="G79" s="535">
        <v>94326</v>
      </c>
      <c r="H79" s="535">
        <v>448524</v>
      </c>
      <c r="I79" s="535">
        <v>2310750</v>
      </c>
      <c r="J79" s="535">
        <v>98</v>
      </c>
      <c r="K79" s="535">
        <v>261456</v>
      </c>
      <c r="L79" s="347"/>
    </row>
    <row r="80" spans="1:12" x14ac:dyDescent="0.2">
      <c r="A80" s="2127" t="s">
        <v>1794</v>
      </c>
      <c r="B80" s="2128"/>
      <c r="C80" s="467"/>
      <c r="D80" s="467"/>
      <c r="E80" s="467"/>
      <c r="F80" s="467"/>
      <c r="G80" s="467"/>
      <c r="H80" s="467"/>
      <c r="I80" s="467"/>
      <c r="J80" s="467"/>
      <c r="K80" s="467"/>
      <c r="L80" s="347"/>
    </row>
    <row r="81" spans="1:12" ht="13.5" thickBot="1" x14ac:dyDescent="0.25">
      <c r="A81" s="2119" t="s">
        <v>1949</v>
      </c>
      <c r="B81" s="2120"/>
      <c r="C81" s="1688">
        <f>(SUM(C78:C80))</f>
        <v>1646566</v>
      </c>
      <c r="D81" s="1688">
        <f>SUM(D78:D80)</f>
        <v>506432</v>
      </c>
      <c r="E81" s="1688">
        <f t="shared" ref="E81:K81" si="10">SUM(E78:E80)</f>
        <v>578521</v>
      </c>
      <c r="F81" s="1688">
        <f t="shared" si="10"/>
        <v>355632</v>
      </c>
      <c r="G81" s="1688">
        <f t="shared" si="10"/>
        <v>81967</v>
      </c>
      <c r="H81" s="1688">
        <f t="shared" si="10"/>
        <v>603490</v>
      </c>
      <c r="I81" s="1688">
        <f t="shared" si="10"/>
        <v>2362194</v>
      </c>
      <c r="J81" s="1688">
        <f t="shared" si="10"/>
        <v>0</v>
      </c>
      <c r="K81" s="1688">
        <f t="shared" si="10"/>
        <v>212666</v>
      </c>
      <c r="L81" s="347"/>
    </row>
    <row r="82" spans="1:12" ht="0.75" customHeight="1" thickTop="1" thickBot="1" x14ac:dyDescent="0.25">
      <c r="A82" s="536" t="s">
        <v>343</v>
      </c>
      <c r="B82" s="537"/>
      <c r="C82" s="538">
        <f>(C81-C79)</f>
        <v>550694</v>
      </c>
      <c r="D82" s="538">
        <f t="shared" ref="D82:K82" si="11">(D81-D79)</f>
        <v>196876</v>
      </c>
      <c r="E82" s="538">
        <f t="shared" si="11"/>
        <v>-809558</v>
      </c>
      <c r="F82" s="538">
        <f t="shared" si="11"/>
        <v>26677</v>
      </c>
      <c r="G82" s="538">
        <f t="shared" si="11"/>
        <v>-12359</v>
      </c>
      <c r="H82" s="538">
        <f t="shared" si="11"/>
        <v>154966</v>
      </c>
      <c r="I82" s="538">
        <f t="shared" si="11"/>
        <v>51444</v>
      </c>
      <c r="J82" s="538">
        <f t="shared" si="11"/>
        <v>-98</v>
      </c>
      <c r="K82" s="538">
        <f t="shared" si="11"/>
        <v>-48790</v>
      </c>
    </row>
    <row r="83" spans="1:12" ht="14.25" hidden="1" thickTop="1" thickBot="1" x14ac:dyDescent="0.25">
      <c r="A83" s="539" t="s">
        <v>344</v>
      </c>
      <c r="B83" s="464"/>
      <c r="C83" s="540">
        <f>C82/C81</f>
        <v>0.33445000078952197</v>
      </c>
      <c r="D83" s="540">
        <f t="shared" ref="D83:K83" si="12">D82/D81</f>
        <v>0.38875110577530647</v>
      </c>
      <c r="E83" s="540">
        <f t="shared" si="12"/>
        <v>-1.3993580181186163</v>
      </c>
      <c r="F83" s="540">
        <f t="shared" si="12"/>
        <v>7.5012934719035404E-2</v>
      </c>
      <c r="G83" s="540">
        <f t="shared" si="12"/>
        <v>-0.15078019202849927</v>
      </c>
      <c r="H83" s="540">
        <f t="shared" si="12"/>
        <v>0.25678304528658302</v>
      </c>
      <c r="I83" s="540">
        <f t="shared" si="12"/>
        <v>2.177805887238728E-2</v>
      </c>
      <c r="J83" s="540" t="e">
        <f t="shared" si="12"/>
        <v>#DIV/0!</v>
      </c>
      <c r="K83" s="540">
        <f t="shared" si="12"/>
        <v>-0.22942078188332879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62" activePane="bottomLeft" state="frozen"/>
      <selection activeCell="B12" sqref="B12"/>
      <selection pane="bottomLeft" activeCell="C200" sqref="C200"/>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1801</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2219655</v>
      </c>
      <c r="D5" s="481">
        <v>676490</v>
      </c>
      <c r="E5" s="466"/>
      <c r="F5" s="548">
        <v>318916</v>
      </c>
      <c r="G5" s="466">
        <v>164384</v>
      </c>
      <c r="H5" s="466"/>
      <c r="I5" s="466">
        <v>45151</v>
      </c>
      <c r="J5" s="467">
        <v>91277</v>
      </c>
      <c r="K5" s="466">
        <v>4894</v>
      </c>
    </row>
    <row r="6" spans="1:12" ht="15" x14ac:dyDescent="0.2">
      <c r="A6" s="463" t="s">
        <v>1662</v>
      </c>
      <c r="B6" s="470">
        <v>1130</v>
      </c>
      <c r="C6" s="466">
        <v>43601</v>
      </c>
      <c r="D6" s="466"/>
      <c r="E6" s="475"/>
      <c r="F6" s="475"/>
      <c r="G6" s="468"/>
      <c r="H6" s="468"/>
      <c r="I6" s="468"/>
      <c r="J6" s="468"/>
      <c r="K6" s="468"/>
    </row>
    <row r="7" spans="1:12" x14ac:dyDescent="0.2">
      <c r="A7" s="463" t="s">
        <v>110</v>
      </c>
      <c r="B7" s="549">
        <v>1140</v>
      </c>
      <c r="C7" s="466"/>
      <c r="D7" s="466">
        <v>45500</v>
      </c>
      <c r="E7" s="468"/>
      <c r="F7" s="467"/>
      <c r="G7" s="467"/>
      <c r="H7" s="467"/>
      <c r="I7" s="468"/>
      <c r="J7" s="468"/>
      <c r="K7" s="468"/>
    </row>
    <row r="8" spans="1:12" x14ac:dyDescent="0.2">
      <c r="A8" s="463" t="s">
        <v>413</v>
      </c>
      <c r="B8" s="470">
        <v>1150</v>
      </c>
      <c r="C8" s="475"/>
      <c r="D8" s="475"/>
      <c r="E8" s="477"/>
      <c r="F8" s="477"/>
      <c r="G8" s="481">
        <v>180843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2263256</v>
      </c>
      <c r="D12" s="1707">
        <f t="shared" si="0"/>
        <v>721990</v>
      </c>
      <c r="E12" s="1707">
        <f t="shared" si="0"/>
        <v>0</v>
      </c>
      <c r="F12" s="1707">
        <f t="shared" si="0"/>
        <v>318916</v>
      </c>
      <c r="G12" s="1707">
        <f t="shared" si="0"/>
        <v>345227</v>
      </c>
      <c r="H12" s="1707">
        <f t="shared" si="0"/>
        <v>0</v>
      </c>
      <c r="I12" s="1707">
        <f t="shared" si="0"/>
        <v>45151</v>
      </c>
      <c r="J12" s="1707">
        <f t="shared" si="0"/>
        <v>91277</v>
      </c>
      <c r="K12" s="1688">
        <f t="shared" si="0"/>
        <v>4894</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18552</v>
      </c>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531586</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550138</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5521</v>
      </c>
      <c r="D65" s="466">
        <v>338</v>
      </c>
      <c r="E65" s="466">
        <v>3258</v>
      </c>
      <c r="F65" s="467">
        <v>1228</v>
      </c>
      <c r="G65" s="466">
        <v>3899</v>
      </c>
      <c r="H65" s="466">
        <v>1267</v>
      </c>
      <c r="I65" s="466">
        <v>6293</v>
      </c>
      <c r="J65" s="467">
        <v>39</v>
      </c>
      <c r="K65" s="466">
        <v>8643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5521</v>
      </c>
      <c r="D67" s="1688">
        <f t="shared" ref="D67:K67" si="2">SUM(D65:D66)</f>
        <v>338</v>
      </c>
      <c r="E67" s="1688">
        <f t="shared" si="2"/>
        <v>3258</v>
      </c>
      <c r="F67" s="1688">
        <f t="shared" si="2"/>
        <v>1228</v>
      </c>
      <c r="G67" s="1688">
        <f t="shared" si="2"/>
        <v>3899</v>
      </c>
      <c r="H67" s="1688">
        <f t="shared" si="2"/>
        <v>1267</v>
      </c>
      <c r="I67" s="1688">
        <f t="shared" si="2"/>
        <v>6293</v>
      </c>
      <c r="J67" s="1688">
        <f t="shared" si="2"/>
        <v>39</v>
      </c>
      <c r="K67" s="1688">
        <f t="shared" si="2"/>
        <v>8643</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60053</v>
      </c>
      <c r="D69" s="468"/>
      <c r="E69" s="468"/>
      <c r="F69" s="468"/>
      <c r="G69" s="468"/>
      <c r="H69" s="468"/>
      <c r="I69" s="468"/>
      <c r="J69" s="468"/>
      <c r="K69" s="468"/>
    </row>
    <row r="70" spans="1:11" ht="12.75" customHeight="1" x14ac:dyDescent="0.2">
      <c r="A70" s="463" t="s">
        <v>997</v>
      </c>
      <c r="B70" s="470">
        <v>1612</v>
      </c>
      <c r="C70" s="551">
        <v>12099</v>
      </c>
      <c r="D70" s="468"/>
      <c r="E70" s="468"/>
      <c r="F70" s="468"/>
      <c r="G70" s="468"/>
      <c r="H70" s="468"/>
      <c r="I70" s="468"/>
      <c r="J70" s="468"/>
      <c r="K70" s="468"/>
    </row>
    <row r="71" spans="1:11" ht="12.75" customHeight="1" x14ac:dyDescent="0.2">
      <c r="A71" s="463" t="s">
        <v>273</v>
      </c>
      <c r="B71" s="470">
        <v>1613</v>
      </c>
      <c r="C71" s="551">
        <v>91601</v>
      </c>
      <c r="D71" s="468"/>
      <c r="E71" s="468"/>
      <c r="F71" s="468"/>
      <c r="G71" s="468"/>
      <c r="H71" s="468"/>
      <c r="I71" s="468"/>
      <c r="J71" s="468"/>
      <c r="K71" s="468"/>
    </row>
    <row r="72" spans="1:11" ht="12.75" customHeight="1" x14ac:dyDescent="0.2">
      <c r="A72" s="463" t="s">
        <v>24</v>
      </c>
      <c r="B72" s="470">
        <v>1614</v>
      </c>
      <c r="C72" s="551">
        <v>446</v>
      </c>
      <c r="D72" s="468"/>
      <c r="E72" s="468"/>
      <c r="F72" s="468"/>
      <c r="G72" s="468"/>
      <c r="H72" s="468"/>
      <c r="I72" s="468"/>
      <c r="J72" s="468"/>
      <c r="K72" s="468"/>
    </row>
    <row r="73" spans="1:11" ht="12.75" customHeight="1" x14ac:dyDescent="0.2">
      <c r="A73" s="463" t="s">
        <v>998</v>
      </c>
      <c r="B73" s="470">
        <v>1620</v>
      </c>
      <c r="C73" s="551">
        <v>3865</v>
      </c>
      <c r="D73" s="468"/>
      <c r="E73" s="468"/>
      <c r="F73" s="468"/>
      <c r="G73" s="468"/>
      <c r="H73" s="468"/>
      <c r="I73" s="468"/>
      <c r="J73" s="468"/>
      <c r="K73" s="468"/>
    </row>
    <row r="74" spans="1:11" ht="12.75" customHeight="1" x14ac:dyDescent="0.2">
      <c r="A74" s="463" t="s">
        <v>25</v>
      </c>
      <c r="B74" s="470">
        <v>1690</v>
      </c>
      <c r="C74" s="551">
        <v>45812</v>
      </c>
      <c r="D74" s="468"/>
      <c r="E74" s="468"/>
      <c r="F74" s="468"/>
      <c r="G74" s="468"/>
      <c r="H74" s="468"/>
      <c r="I74" s="468"/>
      <c r="J74" s="468"/>
      <c r="K74" s="468"/>
    </row>
    <row r="75" spans="1:11" ht="12.75" customHeight="1" thickBot="1" x14ac:dyDescent="0.25">
      <c r="A75" s="1708" t="s">
        <v>548</v>
      </c>
      <c r="B75" s="1709"/>
      <c r="C75" s="1688">
        <f>SUM(C69:C74)</f>
        <v>213876</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52186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24507</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886</v>
      </c>
      <c r="D81" s="466"/>
      <c r="E81" s="468"/>
      <c r="F81" s="468"/>
      <c r="G81" s="468"/>
      <c r="H81" s="468"/>
      <c r="I81" s="468"/>
      <c r="J81" s="468"/>
      <c r="K81" s="468"/>
    </row>
    <row r="82" spans="1:11" ht="12.75" customHeight="1" thickBot="1" x14ac:dyDescent="0.25">
      <c r="A82" s="1708" t="s">
        <v>241</v>
      </c>
      <c r="B82" s="1709"/>
      <c r="C82" s="1707">
        <f>SUM(C77:C81)</f>
        <v>77579</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24024</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24024</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5861</v>
      </c>
      <c r="E95" s="521"/>
      <c r="F95" s="521"/>
      <c r="G95" s="521"/>
      <c r="H95" s="521"/>
      <c r="I95" s="521"/>
      <c r="J95" s="521"/>
      <c r="K95" s="521"/>
    </row>
    <row r="96" spans="1:11" ht="12.75" customHeight="1" x14ac:dyDescent="0.2">
      <c r="A96" s="463" t="s">
        <v>391</v>
      </c>
      <c r="B96" s="470">
        <v>1920</v>
      </c>
      <c r="C96" s="551">
        <v>1215</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2845</v>
      </c>
      <c r="D99" s="466"/>
      <c r="E99" s="466"/>
      <c r="F99" s="466"/>
      <c r="G99" s="466"/>
      <c r="H99" s="466"/>
      <c r="I99" s="468"/>
      <c r="J99" s="467"/>
      <c r="K99" s="466"/>
    </row>
    <row r="100" spans="1:12" ht="12.75" customHeight="1" x14ac:dyDescent="0.2">
      <c r="A100" s="463" t="s">
        <v>245</v>
      </c>
      <c r="B100" s="470">
        <v>1960</v>
      </c>
      <c r="C100" s="489"/>
      <c r="D100" s="489">
        <v>285189</v>
      </c>
      <c r="E100" s="489"/>
      <c r="F100" s="489"/>
      <c r="G100" s="489"/>
      <c r="H100" s="489"/>
      <c r="I100" s="467"/>
      <c r="J100" s="489"/>
      <c r="K100" s="467"/>
    </row>
    <row r="101" spans="1:12" ht="12.75" customHeight="1" x14ac:dyDescent="0.2">
      <c r="A101" s="463" t="s">
        <v>246</v>
      </c>
      <c r="B101" s="470">
        <v>1970</v>
      </c>
      <c r="C101" s="489">
        <v>3225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818587</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75377</v>
      </c>
      <c r="D107" s="466">
        <v>21432</v>
      </c>
      <c r="E107" s="466"/>
      <c r="F107" s="466"/>
      <c r="G107" s="466"/>
      <c r="H107" s="466"/>
      <c r="I107" s="466"/>
      <c r="J107" s="467"/>
      <c r="K107" s="466"/>
    </row>
    <row r="108" spans="1:12" ht="12.75" customHeight="1" thickBot="1" x14ac:dyDescent="0.25">
      <c r="A108" s="1708" t="s">
        <v>487</v>
      </c>
      <c r="B108" s="1712"/>
      <c r="C108" s="1707">
        <f>SUM(C95:C107)</f>
        <v>82662</v>
      </c>
      <c r="D108" s="1707">
        <f t="shared" ref="D108:K108" si="3">SUM(D95:D107)</f>
        <v>312482</v>
      </c>
      <c r="E108" s="1707">
        <f t="shared" si="3"/>
        <v>0</v>
      </c>
      <c r="F108" s="1707">
        <f t="shared" si="3"/>
        <v>0</v>
      </c>
      <c r="G108" s="1707">
        <f t="shared" si="3"/>
        <v>0</v>
      </c>
      <c r="H108" s="1707">
        <f t="shared" si="3"/>
        <v>818587</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3217056</v>
      </c>
      <c r="D109" s="1715">
        <f t="shared" si="4"/>
        <v>1034810</v>
      </c>
      <c r="E109" s="1715">
        <f t="shared" si="4"/>
        <v>3258</v>
      </c>
      <c r="F109" s="1715">
        <f t="shared" si="4"/>
        <v>320144</v>
      </c>
      <c r="G109" s="1715">
        <f t="shared" si="4"/>
        <v>349126</v>
      </c>
      <c r="H109" s="1715">
        <f t="shared" si="4"/>
        <v>819854</v>
      </c>
      <c r="I109" s="1715">
        <f t="shared" si="4"/>
        <v>51444</v>
      </c>
      <c r="J109" s="1715">
        <f t="shared" si="4"/>
        <v>91316</v>
      </c>
      <c r="K109" s="1702">
        <f t="shared" si="4"/>
        <v>13537</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v>20234</v>
      </c>
      <c r="D111" s="481"/>
      <c r="E111" s="561"/>
      <c r="F111" s="481"/>
      <c r="G111" s="481"/>
      <c r="H111" s="561"/>
      <c r="I111" s="468"/>
      <c r="J111" s="468"/>
      <c r="K111" s="468"/>
    </row>
    <row r="112" spans="1:12" ht="12.75" customHeight="1" x14ac:dyDescent="0.2">
      <c r="A112" s="463" t="s">
        <v>824</v>
      </c>
      <c r="B112" s="470">
        <v>2200</v>
      </c>
      <c r="C112" s="551">
        <v>18748</v>
      </c>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38982</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5147234</v>
      </c>
      <c r="D117" s="481">
        <v>500000</v>
      </c>
      <c r="E117" s="466"/>
      <c r="F117" s="481">
        <v>200000</v>
      </c>
      <c r="G117" s="481"/>
      <c r="H117" s="466"/>
      <c r="I117" s="468"/>
      <c r="J117" s="467"/>
      <c r="K117" s="466"/>
    </row>
    <row r="118" spans="1:11" ht="12.75" customHeight="1" x14ac:dyDescent="0.2">
      <c r="A118" s="463" t="s">
        <v>1798</v>
      </c>
      <c r="B118" s="562">
        <v>3002</v>
      </c>
      <c r="C118" s="551"/>
      <c r="D118" s="466"/>
      <c r="E118" s="466"/>
      <c r="F118" s="466"/>
      <c r="G118" s="466"/>
      <c r="H118" s="466"/>
      <c r="I118" s="468"/>
      <c r="J118" s="467"/>
      <c r="K118" s="466"/>
    </row>
    <row r="119" spans="1:11" ht="12.75" customHeight="1" x14ac:dyDescent="0.2">
      <c r="A119" s="463" t="s">
        <v>1799</v>
      </c>
      <c r="B119" s="562">
        <v>3005</v>
      </c>
      <c r="C119" s="551"/>
      <c r="D119" s="466"/>
      <c r="E119" s="466"/>
      <c r="F119" s="466"/>
      <c r="G119" s="466"/>
      <c r="H119" s="466"/>
      <c r="I119" s="468"/>
      <c r="J119" s="467"/>
      <c r="K119" s="466"/>
    </row>
    <row r="120" spans="1:11" ht="12.75" customHeight="1" x14ac:dyDescent="0.2">
      <c r="A120" s="1930" t="s">
        <v>1935</v>
      </c>
      <c r="B120" s="562">
        <v>3030</v>
      </c>
      <c r="C120" s="551"/>
      <c r="D120" s="466"/>
      <c r="E120" s="466"/>
      <c r="F120" s="466"/>
      <c r="G120" s="466"/>
      <c r="H120" s="466"/>
      <c r="I120" s="468"/>
      <c r="J120" s="467"/>
      <c r="K120" s="466"/>
    </row>
    <row r="121" spans="1:11" x14ac:dyDescent="0.2">
      <c r="A121" s="1496" t="s">
        <v>1800</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5147234</v>
      </c>
      <c r="D122" s="1707">
        <f t="shared" si="5"/>
        <v>500000</v>
      </c>
      <c r="E122" s="1707">
        <f t="shared" si="5"/>
        <v>0</v>
      </c>
      <c r="F122" s="1707">
        <f t="shared" si="5"/>
        <v>200000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45838</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34239</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80077</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1916</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1916</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6799</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18476</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331224</v>
      </c>
      <c r="G152" s="467"/>
      <c r="H152" s="468"/>
      <c r="I152" s="468"/>
      <c r="J152" s="468"/>
      <c r="K152" s="468"/>
    </row>
    <row r="153" spans="1:11" ht="12.75" customHeight="1" x14ac:dyDescent="0.2">
      <c r="A153" s="463" t="s">
        <v>1057</v>
      </c>
      <c r="B153" s="562">
        <v>3510</v>
      </c>
      <c r="C153" s="551"/>
      <c r="D153" s="466"/>
      <c r="E153" s="561"/>
      <c r="F153" s="466">
        <v>232509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563733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271745</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36432</v>
      </c>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415445</v>
      </c>
      <c r="D169" s="1722">
        <f t="shared" si="6"/>
        <v>0</v>
      </c>
      <c r="E169" s="1722">
        <f t="shared" si="6"/>
        <v>0</v>
      </c>
      <c r="F169" s="1722">
        <f t="shared" si="6"/>
        <v>563733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5562679</v>
      </c>
      <c r="D170" s="1715">
        <f t="shared" si="7"/>
        <v>500000</v>
      </c>
      <c r="E170" s="1715">
        <f t="shared" si="7"/>
        <v>0</v>
      </c>
      <c r="F170" s="1715">
        <f t="shared" si="7"/>
        <v>763733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1802</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v>23274</v>
      </c>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23274</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287721</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96752</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384473</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622059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64353</v>
      </c>
      <c r="D203" s="466"/>
      <c r="E203" s="468"/>
      <c r="F203" s="466"/>
      <c r="G203" s="466"/>
      <c r="H203" s="468"/>
      <c r="I203" s="468"/>
      <c r="J203" s="468"/>
      <c r="K203" s="468"/>
    </row>
    <row r="204" spans="1:11" ht="12.75" customHeight="1" thickBot="1" x14ac:dyDescent="0.25">
      <c r="A204" s="1708" t="s">
        <v>400</v>
      </c>
      <c r="B204" s="1709"/>
      <c r="C204" s="1707">
        <f>SUM(C200:C203)</f>
        <v>686412</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v>12300</v>
      </c>
      <c r="D208" s="466"/>
      <c r="E208" s="468"/>
      <c r="F208" s="466"/>
      <c r="G208" s="466"/>
      <c r="H208" s="468"/>
      <c r="I208" s="468"/>
      <c r="J208" s="468"/>
      <c r="K208" s="468"/>
    </row>
    <row r="209" spans="1:11" ht="12.75" customHeight="1" thickBot="1" x14ac:dyDescent="0.25">
      <c r="A209" s="1708" t="s">
        <v>889</v>
      </c>
      <c r="B209" s="1709"/>
      <c r="C209" s="1707">
        <f>SUM(C206:C208)</f>
        <v>12300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298886</v>
      </c>
      <c r="D213" s="466"/>
      <c r="E213" s="468"/>
      <c r="F213" s="466"/>
      <c r="G213" s="466"/>
      <c r="H213" s="468"/>
      <c r="I213" s="468"/>
      <c r="J213" s="468"/>
      <c r="K213" s="468"/>
    </row>
    <row r="214" spans="1:11" ht="12.75" customHeight="1" x14ac:dyDescent="0.2">
      <c r="A214" s="463" t="s">
        <v>1054</v>
      </c>
      <c r="B214" s="470">
        <v>4625</v>
      </c>
      <c r="C214" s="551">
        <v>2546</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301432</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7015</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1936</v>
      </c>
      <c r="B261" s="470">
        <v>4981</v>
      </c>
      <c r="C261" s="575"/>
      <c r="D261" s="576"/>
      <c r="E261" s="468"/>
      <c r="F261" s="576"/>
      <c r="G261" s="576"/>
      <c r="H261" s="468"/>
      <c r="I261" s="468"/>
      <c r="J261" s="468"/>
      <c r="K261" s="468"/>
    </row>
    <row r="262" spans="1:11" ht="12.75" customHeight="1" thickTop="1" thickBot="1" x14ac:dyDescent="0.25">
      <c r="A262" s="1931" t="s">
        <v>1937</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11767</v>
      </c>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1426673</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1426673</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10245390</v>
      </c>
      <c r="D268" s="1715">
        <f t="shared" si="12"/>
        <v>1534810</v>
      </c>
      <c r="E268" s="1715">
        <f t="shared" si="12"/>
        <v>3258</v>
      </c>
      <c r="F268" s="1715">
        <f t="shared" si="12"/>
        <v>1083877</v>
      </c>
      <c r="G268" s="1715">
        <f t="shared" si="12"/>
        <v>349126</v>
      </c>
      <c r="H268" s="1715">
        <f t="shared" si="12"/>
        <v>819854</v>
      </c>
      <c r="I268" s="1715">
        <f t="shared" si="12"/>
        <v>51444</v>
      </c>
      <c r="J268" s="1715">
        <f t="shared" si="12"/>
        <v>91316</v>
      </c>
      <c r="K268" s="1702">
        <f t="shared" si="12"/>
        <v>13537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46" activePane="bottomLeft" state="frozen"/>
      <selection activeCell="B12" sqref="B12"/>
      <selection pane="bottomLeft" activeCell="B12" sqref="B1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1801</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7"/>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3" t="s">
        <v>297</v>
      </c>
      <c r="B3" s="2164"/>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2955742</v>
      </c>
      <c r="D5" s="466">
        <v>782185</v>
      </c>
      <c r="E5" s="466">
        <v>2455</v>
      </c>
      <c r="F5" s="466">
        <v>55172</v>
      </c>
      <c r="G5" s="466">
        <v>58641</v>
      </c>
      <c r="H5" s="466">
        <v>45536</v>
      </c>
      <c r="I5" s="467"/>
      <c r="J5" s="467"/>
      <c r="K5" s="1671">
        <f>SUM(C5:J5)</f>
        <v>3899731</v>
      </c>
      <c r="L5" s="466">
        <v>3850160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157288</v>
      </c>
      <c r="D7" s="467">
        <v>22907</v>
      </c>
      <c r="E7" s="467">
        <v>1730</v>
      </c>
      <c r="F7" s="467">
        <v>1827</v>
      </c>
      <c r="G7" s="467"/>
      <c r="H7" s="467"/>
      <c r="I7" s="467"/>
      <c r="J7" s="467"/>
      <c r="K7" s="1671">
        <f t="shared" ref="K7:K32" si="0">SUM(C7:J7)</f>
        <v>183752</v>
      </c>
      <c r="L7" s="466">
        <v>176485</v>
      </c>
    </row>
    <row r="8" spans="1:14" x14ac:dyDescent="0.2">
      <c r="A8" s="1504" t="s">
        <v>164</v>
      </c>
      <c r="B8" s="614">
        <v>1200</v>
      </c>
      <c r="C8" s="466">
        <v>837411</v>
      </c>
      <c r="D8" s="466">
        <v>190708</v>
      </c>
      <c r="E8" s="466">
        <v>594</v>
      </c>
      <c r="F8" s="466">
        <v>2678</v>
      </c>
      <c r="G8" s="466"/>
      <c r="H8" s="466"/>
      <c r="I8" s="467"/>
      <c r="J8" s="467"/>
      <c r="K8" s="1671">
        <f t="shared" si="0"/>
        <v>1031391</v>
      </c>
      <c r="L8" s="466">
        <v>1054943</v>
      </c>
    </row>
    <row r="9" spans="1:14" x14ac:dyDescent="0.2">
      <c r="A9" s="1504" t="s">
        <v>721</v>
      </c>
      <c r="B9" s="614" t="s">
        <v>968</v>
      </c>
      <c r="C9" s="467">
        <v>79333</v>
      </c>
      <c r="D9" s="467">
        <v>8651</v>
      </c>
      <c r="E9" s="467"/>
      <c r="F9" s="467">
        <v>292</v>
      </c>
      <c r="G9" s="467"/>
      <c r="H9" s="467"/>
      <c r="I9" s="467"/>
      <c r="J9" s="467"/>
      <c r="K9" s="1671">
        <f t="shared" si="0"/>
        <v>88276</v>
      </c>
      <c r="L9" s="466">
        <v>88111</v>
      </c>
    </row>
    <row r="10" spans="1:14" x14ac:dyDescent="0.2">
      <c r="A10" s="1504" t="s">
        <v>722</v>
      </c>
      <c r="B10" s="614">
        <v>1250</v>
      </c>
      <c r="C10" s="466">
        <v>218392</v>
      </c>
      <c r="D10" s="466">
        <v>51456</v>
      </c>
      <c r="E10" s="466">
        <v>7684</v>
      </c>
      <c r="F10" s="466">
        <v>130927</v>
      </c>
      <c r="G10" s="466"/>
      <c r="H10" s="466"/>
      <c r="I10" s="467"/>
      <c r="J10" s="467"/>
      <c r="K10" s="1671">
        <f t="shared" si="0"/>
        <v>408459</v>
      </c>
      <c r="L10" s="466">
        <v>409040</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222295</v>
      </c>
      <c r="D13" s="466">
        <v>78342</v>
      </c>
      <c r="E13" s="466">
        <v>450</v>
      </c>
      <c r="F13" s="466">
        <v>11825</v>
      </c>
      <c r="G13" s="466"/>
      <c r="H13" s="466"/>
      <c r="I13" s="467"/>
      <c r="J13" s="467"/>
      <c r="K13" s="1671">
        <f t="shared" si="0"/>
        <v>312912</v>
      </c>
      <c r="L13" s="466">
        <v>313344</v>
      </c>
    </row>
    <row r="14" spans="1:14" x14ac:dyDescent="0.2">
      <c r="A14" s="1504" t="s">
        <v>963</v>
      </c>
      <c r="B14" s="614">
        <v>1500</v>
      </c>
      <c r="C14" s="466">
        <v>200777</v>
      </c>
      <c r="D14" s="466">
        <v>19726</v>
      </c>
      <c r="E14" s="466">
        <v>39562</v>
      </c>
      <c r="F14" s="466">
        <v>18871</v>
      </c>
      <c r="G14" s="466">
        <v>5376</v>
      </c>
      <c r="H14" s="466">
        <v>10615</v>
      </c>
      <c r="I14" s="467"/>
      <c r="J14" s="467"/>
      <c r="K14" s="1671">
        <f t="shared" si="0"/>
        <v>294927</v>
      </c>
      <c r="L14" s="466">
        <v>307467</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4671238</v>
      </c>
      <c r="D33" s="1670">
        <f t="shared" ref="D33:L33" si="1">SUM(D5:D32)</f>
        <v>1153975</v>
      </c>
      <c r="E33" s="1670">
        <f t="shared" si="1"/>
        <v>52475</v>
      </c>
      <c r="F33" s="1670">
        <f t="shared" si="1"/>
        <v>221592</v>
      </c>
      <c r="G33" s="1670">
        <f t="shared" si="1"/>
        <v>64017</v>
      </c>
      <c r="H33" s="1670">
        <f t="shared" si="1"/>
        <v>56151</v>
      </c>
      <c r="I33" s="1670">
        <f t="shared" si="1"/>
        <v>0</v>
      </c>
      <c r="J33" s="1670">
        <f t="shared" si="1"/>
        <v>0</v>
      </c>
      <c r="K33" s="1670">
        <f t="shared" si="1"/>
        <v>6219448</v>
      </c>
      <c r="L33" s="1670">
        <f t="shared" si="1"/>
        <v>6199550</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90392</v>
      </c>
      <c r="D37" s="466">
        <v>26352</v>
      </c>
      <c r="E37" s="466"/>
      <c r="F37" s="466">
        <v>982</v>
      </c>
      <c r="G37" s="466"/>
      <c r="H37" s="466"/>
      <c r="I37" s="467"/>
      <c r="J37" s="467"/>
      <c r="K37" s="1671">
        <f t="shared" si="2"/>
        <v>117726</v>
      </c>
      <c r="L37" s="466">
        <v>117660</v>
      </c>
    </row>
    <row r="38" spans="1:14" x14ac:dyDescent="0.2">
      <c r="A38" s="1504" t="s">
        <v>198</v>
      </c>
      <c r="B38" s="614">
        <v>2130</v>
      </c>
      <c r="C38" s="466">
        <v>25196</v>
      </c>
      <c r="D38" s="466">
        <v>1110</v>
      </c>
      <c r="E38" s="466"/>
      <c r="F38" s="466">
        <v>1919</v>
      </c>
      <c r="G38" s="466"/>
      <c r="H38" s="466"/>
      <c r="I38" s="467"/>
      <c r="J38" s="467"/>
      <c r="K38" s="1671">
        <f t="shared" si="2"/>
        <v>28225</v>
      </c>
      <c r="L38" s="466">
        <v>34984</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v>26690</v>
      </c>
      <c r="D41" s="466">
        <v>252</v>
      </c>
      <c r="E41" s="466"/>
      <c r="F41" s="466">
        <v>260</v>
      </c>
      <c r="G41" s="466"/>
      <c r="H41" s="466"/>
      <c r="I41" s="467"/>
      <c r="J41" s="467"/>
      <c r="K41" s="1671">
        <f t="shared" si="2"/>
        <v>27202</v>
      </c>
      <c r="L41" s="466">
        <v>28083</v>
      </c>
    </row>
    <row r="42" spans="1:14" ht="12.75" customHeight="1" thickBot="1" x14ac:dyDescent="0.25">
      <c r="A42" s="1668" t="s">
        <v>560</v>
      </c>
      <c r="B42" s="1669" t="s">
        <v>716</v>
      </c>
      <c r="C42" s="1670">
        <f>SUM(C36:C41)</f>
        <v>142278</v>
      </c>
      <c r="D42" s="1670">
        <f t="shared" ref="D42:L42" si="3">SUM(D36:D41)</f>
        <v>27714</v>
      </c>
      <c r="E42" s="1670">
        <f t="shared" si="3"/>
        <v>0</v>
      </c>
      <c r="F42" s="1670">
        <f t="shared" si="3"/>
        <v>3161</v>
      </c>
      <c r="G42" s="1670">
        <f t="shared" si="3"/>
        <v>0</v>
      </c>
      <c r="H42" s="1670">
        <f t="shared" si="3"/>
        <v>0</v>
      </c>
      <c r="I42" s="1670">
        <f t="shared" si="3"/>
        <v>0</v>
      </c>
      <c r="J42" s="1670">
        <f t="shared" si="3"/>
        <v>0</v>
      </c>
      <c r="K42" s="1670">
        <f t="shared" si="3"/>
        <v>173153</v>
      </c>
      <c r="L42" s="1670">
        <f t="shared" si="3"/>
        <v>180727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68226</v>
      </c>
      <c r="D44" s="481">
        <v>7629</v>
      </c>
      <c r="E44" s="481">
        <v>108156</v>
      </c>
      <c r="F44" s="481">
        <v>13250</v>
      </c>
      <c r="G44" s="481"/>
      <c r="H44" s="481"/>
      <c r="I44" s="467"/>
      <c r="J44" s="467"/>
      <c r="K44" s="1672">
        <f>SUM(C44:J44)</f>
        <v>197261</v>
      </c>
      <c r="L44" s="481">
        <v>177382</v>
      </c>
    </row>
    <row r="45" spans="1:14" x14ac:dyDescent="0.2">
      <c r="A45" s="1504" t="s">
        <v>815</v>
      </c>
      <c r="B45" s="614">
        <v>2220</v>
      </c>
      <c r="C45" s="466"/>
      <c r="D45" s="466"/>
      <c r="E45" s="466">
        <v>100</v>
      </c>
      <c r="F45" s="466">
        <v>6769</v>
      </c>
      <c r="G45" s="466"/>
      <c r="H45" s="466"/>
      <c r="I45" s="467"/>
      <c r="J45" s="467"/>
      <c r="K45" s="1672">
        <f>SUM(C45:J45)</f>
        <v>6869</v>
      </c>
      <c r="L45" s="466">
        <v>8335</v>
      </c>
    </row>
    <row r="46" spans="1:14" x14ac:dyDescent="0.2">
      <c r="A46" s="1504" t="s">
        <v>816</v>
      </c>
      <c r="B46" s="614">
        <v>2230</v>
      </c>
      <c r="C46" s="466"/>
      <c r="D46" s="466"/>
      <c r="E46" s="466">
        <v>38633</v>
      </c>
      <c r="F46" s="466"/>
      <c r="G46" s="466"/>
      <c r="H46" s="466"/>
      <c r="I46" s="467"/>
      <c r="J46" s="467"/>
      <c r="K46" s="1672">
        <f>SUM(C46:J46)</f>
        <v>38633</v>
      </c>
      <c r="L46" s="466">
        <v>29109</v>
      </c>
    </row>
    <row r="47" spans="1:14" ht="12.75" customHeight="1" thickBot="1" x14ac:dyDescent="0.25">
      <c r="A47" s="1668" t="s">
        <v>561</v>
      </c>
      <c r="B47" s="1669" t="s">
        <v>32</v>
      </c>
      <c r="C47" s="1670">
        <f>SUM(C44:C46)</f>
        <v>68226</v>
      </c>
      <c r="D47" s="1670">
        <f t="shared" ref="D47:K47" si="4">SUM(D44:D46)</f>
        <v>7629</v>
      </c>
      <c r="E47" s="1670">
        <f t="shared" si="4"/>
        <v>146889</v>
      </c>
      <c r="F47" s="1670">
        <f t="shared" si="4"/>
        <v>20019</v>
      </c>
      <c r="G47" s="1670">
        <f t="shared" si="4"/>
        <v>0</v>
      </c>
      <c r="H47" s="1670">
        <f t="shared" si="4"/>
        <v>0</v>
      </c>
      <c r="I47" s="1670">
        <f t="shared" si="4"/>
        <v>0</v>
      </c>
      <c r="J47" s="1670">
        <f t="shared" si="4"/>
        <v>0</v>
      </c>
      <c r="K47" s="1670">
        <f t="shared" si="4"/>
        <v>242763</v>
      </c>
      <c r="L47" s="1670">
        <f>SUM(L44:L46)</f>
        <v>214826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16928</v>
      </c>
      <c r="D49" s="481">
        <v>816</v>
      </c>
      <c r="E49" s="481">
        <v>79088</v>
      </c>
      <c r="F49" s="481">
        <v>5412</v>
      </c>
      <c r="G49" s="481"/>
      <c r="H49" s="481">
        <v>17339</v>
      </c>
      <c r="I49" s="467"/>
      <c r="J49" s="467"/>
      <c r="K49" s="1672">
        <f>SUM(C49:J49)</f>
        <v>119583</v>
      </c>
      <c r="L49" s="481">
        <v>155694</v>
      </c>
    </row>
    <row r="50" spans="1:14" x14ac:dyDescent="0.2">
      <c r="A50" s="1504" t="s">
        <v>818</v>
      </c>
      <c r="B50" s="614">
        <v>2320</v>
      </c>
      <c r="C50" s="466">
        <v>227986</v>
      </c>
      <c r="D50" s="466">
        <v>42742</v>
      </c>
      <c r="E50" s="466">
        <v>22644</v>
      </c>
      <c r="F50" s="466">
        <v>13922</v>
      </c>
      <c r="G50" s="466"/>
      <c r="H50" s="466">
        <v>1950</v>
      </c>
      <c r="I50" s="467"/>
      <c r="J50" s="467"/>
      <c r="K50" s="1672">
        <f>SUM(C50:J50)</f>
        <v>309244</v>
      </c>
      <c r="L50" s="466">
        <v>308388</v>
      </c>
    </row>
    <row r="51" spans="1:14" x14ac:dyDescent="0.2">
      <c r="A51" s="1504" t="s">
        <v>42</v>
      </c>
      <c r="B51" s="614">
        <v>2330</v>
      </c>
      <c r="C51" s="466">
        <v>5000</v>
      </c>
      <c r="D51" s="466">
        <v>1187</v>
      </c>
      <c r="E51" s="466"/>
      <c r="F51" s="466"/>
      <c r="G51" s="466"/>
      <c r="H51" s="466"/>
      <c r="I51" s="467"/>
      <c r="J51" s="467"/>
      <c r="K51" s="1672">
        <f>SUM(C51:J51)</f>
        <v>6187</v>
      </c>
      <c r="L51" s="466"/>
    </row>
    <row r="52" spans="1:14" ht="22.5" x14ac:dyDescent="0.2">
      <c r="A52" s="1505" t="s">
        <v>298</v>
      </c>
      <c r="B52" s="627" t="s">
        <v>366</v>
      </c>
      <c r="C52" s="474"/>
      <c r="D52" s="474"/>
      <c r="E52" s="474"/>
      <c r="F52" s="474"/>
      <c r="G52" s="474"/>
      <c r="H52" s="474"/>
      <c r="I52" s="474"/>
      <c r="J52" s="474"/>
      <c r="K52" s="1672">
        <f>SUM(C52:J52)</f>
        <v>0</v>
      </c>
      <c r="L52" s="474">
        <v>2115</v>
      </c>
    </row>
    <row r="53" spans="1:14" ht="12.75" customHeight="1" thickBot="1" x14ac:dyDescent="0.25">
      <c r="A53" s="1668" t="s">
        <v>717</v>
      </c>
      <c r="B53" s="1669" t="s">
        <v>33</v>
      </c>
      <c r="C53" s="1670">
        <f>SUM(C49:C52)</f>
        <v>249914</v>
      </c>
      <c r="D53" s="1670">
        <f t="shared" ref="D53:L53" si="5">SUM(D49:D52)</f>
        <v>44745</v>
      </c>
      <c r="E53" s="1670">
        <f t="shared" si="5"/>
        <v>101732</v>
      </c>
      <c r="F53" s="1670">
        <f t="shared" si="5"/>
        <v>19334</v>
      </c>
      <c r="G53" s="1670">
        <f t="shared" si="5"/>
        <v>0</v>
      </c>
      <c r="H53" s="1670">
        <f t="shared" si="5"/>
        <v>19289</v>
      </c>
      <c r="I53" s="1670">
        <f t="shared" si="5"/>
        <v>0</v>
      </c>
      <c r="J53" s="1670">
        <f t="shared" si="5"/>
        <v>0</v>
      </c>
      <c r="K53" s="1670">
        <f t="shared" si="5"/>
        <v>435014</v>
      </c>
      <c r="L53" s="1670">
        <f t="shared" si="5"/>
        <v>466197</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493095</v>
      </c>
      <c r="D55" s="481">
        <v>157270</v>
      </c>
      <c r="E55" s="481">
        <v>8662</v>
      </c>
      <c r="F55" s="481">
        <v>67962</v>
      </c>
      <c r="G55" s="481"/>
      <c r="H55" s="481">
        <v>2554</v>
      </c>
      <c r="I55" s="467"/>
      <c r="J55" s="467"/>
      <c r="K55" s="1672">
        <f>SUM(C55:J55)</f>
        <v>729543</v>
      </c>
      <c r="L55" s="481">
        <v>745058</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493095</v>
      </c>
      <c r="D57" s="1674">
        <f t="shared" ref="D57:K57" si="6">SUM(D55:D56)</f>
        <v>157270</v>
      </c>
      <c r="E57" s="1674">
        <f t="shared" si="6"/>
        <v>8662</v>
      </c>
      <c r="F57" s="1674">
        <f t="shared" si="6"/>
        <v>67962</v>
      </c>
      <c r="G57" s="1674">
        <f t="shared" si="6"/>
        <v>0</v>
      </c>
      <c r="H57" s="1674">
        <f t="shared" si="6"/>
        <v>2554</v>
      </c>
      <c r="I57" s="1674">
        <f t="shared" si="6"/>
        <v>0</v>
      </c>
      <c r="J57" s="1674">
        <f t="shared" si="6"/>
        <v>0</v>
      </c>
      <c r="K57" s="1674">
        <f t="shared" si="6"/>
        <v>729543</v>
      </c>
      <c r="L57" s="1670">
        <f>SUM(L55:L56)</f>
        <v>745058</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c r="D60" s="466"/>
      <c r="E60" s="466"/>
      <c r="F60" s="466"/>
      <c r="G60" s="466"/>
      <c r="H60" s="466"/>
      <c r="I60" s="467"/>
      <c r="J60" s="467"/>
      <c r="K60" s="1672">
        <f t="shared" si="7"/>
        <v>0</v>
      </c>
      <c r="L60" s="466"/>
      <c r="M60" s="609"/>
      <c r="N60" s="609"/>
    </row>
    <row r="61" spans="1:14" s="343" customFormat="1" x14ac:dyDescent="0.2">
      <c r="A61" s="1504" t="s">
        <v>197</v>
      </c>
      <c r="B61" s="614">
        <v>2540</v>
      </c>
      <c r="C61" s="466"/>
      <c r="D61" s="466"/>
      <c r="E61" s="466">
        <v>15192</v>
      </c>
      <c r="F61" s="466">
        <v>501</v>
      </c>
      <c r="G61" s="466"/>
      <c r="H61" s="466"/>
      <c r="I61" s="467"/>
      <c r="J61" s="467"/>
      <c r="K61" s="1672">
        <f t="shared" si="7"/>
        <v>15693</v>
      </c>
      <c r="L61" s="466">
        <v>15698</v>
      </c>
      <c r="M61" s="609"/>
      <c r="N61" s="609"/>
    </row>
    <row r="62" spans="1:14" s="343" customFormat="1" x14ac:dyDescent="0.2">
      <c r="A62" s="1504" t="s">
        <v>953</v>
      </c>
      <c r="B62" s="614">
        <v>2550</v>
      </c>
      <c r="C62" s="466"/>
      <c r="D62" s="466"/>
      <c r="E62" s="466">
        <v>59198</v>
      </c>
      <c r="F62" s="466"/>
      <c r="G62" s="466"/>
      <c r="H62" s="466"/>
      <c r="I62" s="467"/>
      <c r="J62" s="467"/>
      <c r="K62" s="1672">
        <f t="shared" si="7"/>
        <v>59198</v>
      </c>
      <c r="L62" s="466">
        <v>59198</v>
      </c>
      <c r="M62" s="609"/>
      <c r="N62" s="609"/>
    </row>
    <row r="63" spans="1:14" s="609" customFormat="1" x14ac:dyDescent="0.2">
      <c r="A63" s="1504" t="s">
        <v>100</v>
      </c>
      <c r="B63" s="614">
        <v>2560</v>
      </c>
      <c r="C63" s="466">
        <v>303285</v>
      </c>
      <c r="D63" s="466">
        <v>74054</v>
      </c>
      <c r="E63" s="466">
        <v>3703</v>
      </c>
      <c r="F63" s="466">
        <v>240187</v>
      </c>
      <c r="G63" s="466"/>
      <c r="H63" s="466"/>
      <c r="I63" s="467"/>
      <c r="J63" s="467"/>
      <c r="K63" s="1672">
        <f t="shared" si="7"/>
        <v>621229</v>
      </c>
      <c r="L63" s="466">
        <v>623704</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303285</v>
      </c>
      <c r="D65" s="1670">
        <f t="shared" ref="D65:L65" si="8">SUM(D59:D64)</f>
        <v>74054</v>
      </c>
      <c r="E65" s="1670">
        <f t="shared" si="8"/>
        <v>78093</v>
      </c>
      <c r="F65" s="1670">
        <f t="shared" si="8"/>
        <v>240688</v>
      </c>
      <c r="G65" s="1670">
        <f t="shared" si="8"/>
        <v>0</v>
      </c>
      <c r="H65" s="1670">
        <f t="shared" si="8"/>
        <v>0</v>
      </c>
      <c r="I65" s="1670">
        <f t="shared" si="8"/>
        <v>0</v>
      </c>
      <c r="J65" s="1670">
        <f t="shared" si="8"/>
        <v>0</v>
      </c>
      <c r="K65" s="1670">
        <f t="shared" si="8"/>
        <v>696120</v>
      </c>
      <c r="L65" s="1670">
        <f t="shared" si="8"/>
        <v>698600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v>130551</v>
      </c>
      <c r="D71" s="466">
        <v>19094</v>
      </c>
      <c r="E71" s="466">
        <v>3255</v>
      </c>
      <c r="F71" s="466">
        <v>16904</v>
      </c>
      <c r="G71" s="466">
        <v>1915</v>
      </c>
      <c r="H71" s="466">
        <v>68</v>
      </c>
      <c r="I71" s="467"/>
      <c r="J71" s="467"/>
      <c r="K71" s="1672">
        <f>SUM(C71:J71)</f>
        <v>171787</v>
      </c>
      <c r="L71" s="466">
        <v>175475</v>
      </c>
      <c r="M71" s="609"/>
      <c r="N71" s="609"/>
    </row>
    <row r="72" spans="1:14" s="343" customFormat="1" ht="12.75" customHeight="1" thickBot="1" x14ac:dyDescent="0.25">
      <c r="A72" s="1668" t="s">
        <v>37</v>
      </c>
      <c r="B72" s="1675" t="s">
        <v>36</v>
      </c>
      <c r="C72" s="1670">
        <f>SUM(C67:C71)</f>
        <v>130551</v>
      </c>
      <c r="D72" s="1670">
        <f t="shared" ref="D72:K72" si="9">SUM(D67:D71)</f>
        <v>19094</v>
      </c>
      <c r="E72" s="1670">
        <f t="shared" si="9"/>
        <v>3255</v>
      </c>
      <c r="F72" s="1670">
        <f t="shared" si="9"/>
        <v>16904</v>
      </c>
      <c r="G72" s="1670">
        <f t="shared" si="9"/>
        <v>1915</v>
      </c>
      <c r="H72" s="1670">
        <f t="shared" si="9"/>
        <v>68</v>
      </c>
      <c r="I72" s="1670">
        <f t="shared" si="9"/>
        <v>0</v>
      </c>
      <c r="J72" s="1670">
        <f t="shared" si="9"/>
        <v>0</v>
      </c>
      <c r="K72" s="1670">
        <f t="shared" si="9"/>
        <v>171787</v>
      </c>
      <c r="L72" s="1670">
        <f>SUM(L67:L71)</f>
        <v>175475</v>
      </c>
      <c r="M72" s="609"/>
      <c r="N72" s="609"/>
    </row>
    <row r="73" spans="1:14" s="343" customFormat="1" ht="14.25" thickTop="1" thickBot="1" x14ac:dyDescent="0.25">
      <c r="A73" s="1510" t="s">
        <v>980</v>
      </c>
      <c r="B73" s="632" t="s">
        <v>574</v>
      </c>
      <c r="C73" s="573"/>
      <c r="D73" s="573"/>
      <c r="E73" s="573"/>
      <c r="F73" s="573">
        <v>549</v>
      </c>
      <c r="G73" s="573"/>
      <c r="H73" s="573"/>
      <c r="I73" s="531"/>
      <c r="J73" s="531"/>
      <c r="K73" s="1670">
        <f>SUM(C73:J73)</f>
        <v>549</v>
      </c>
      <c r="L73" s="576">
        <v>557</v>
      </c>
      <c r="M73" s="609"/>
      <c r="N73" s="609"/>
    </row>
    <row r="74" spans="1:14" ht="12.75" customHeight="1" thickTop="1" thickBot="1" x14ac:dyDescent="0.25">
      <c r="A74" s="1668" t="s">
        <v>811</v>
      </c>
      <c r="B74" s="1676">
        <v>2000</v>
      </c>
      <c r="C74" s="1677">
        <f>SUM(C42,C47,C53,C57,C65,C72,C73)</f>
        <v>1387349</v>
      </c>
      <c r="D74" s="1677">
        <f t="shared" ref="D74:K74" si="10">SUM(D42,D47,D53,D57,D65,D72,D73)</f>
        <v>330506</v>
      </c>
      <c r="E74" s="1677">
        <f t="shared" si="10"/>
        <v>338631</v>
      </c>
      <c r="F74" s="1677">
        <f t="shared" si="10"/>
        <v>368617</v>
      </c>
      <c r="G74" s="1677">
        <f t="shared" si="10"/>
        <v>1915</v>
      </c>
      <c r="H74" s="1677">
        <f t="shared" si="10"/>
        <v>21911</v>
      </c>
      <c r="I74" s="1677">
        <f t="shared" si="10"/>
        <v>0</v>
      </c>
      <c r="J74" s="1677">
        <f t="shared" si="10"/>
        <v>0</v>
      </c>
      <c r="K74" s="1677">
        <f t="shared" si="10"/>
        <v>2448929</v>
      </c>
      <c r="L74" s="1677">
        <f>SUM(L42,L47,L53,L57,L65,L72,L73)</f>
        <v>2481440</v>
      </c>
    </row>
    <row r="75" spans="1:14" s="259" customFormat="1" ht="15.75" customHeight="1" thickTop="1" thickBot="1" x14ac:dyDescent="0.25">
      <c r="A75" s="1610" t="s">
        <v>47</v>
      </c>
      <c r="B75" s="1611" t="s">
        <v>575</v>
      </c>
      <c r="C75" s="573">
        <v>5000</v>
      </c>
      <c r="D75" s="573">
        <v>645</v>
      </c>
      <c r="E75" s="573">
        <v>6069</v>
      </c>
      <c r="F75" s="573">
        <v>20130</v>
      </c>
      <c r="G75" s="573"/>
      <c r="H75" s="573"/>
      <c r="I75" s="531"/>
      <c r="J75" s="531"/>
      <c r="K75" s="1670">
        <f>SUM(C75:J75)</f>
        <v>31844</v>
      </c>
      <c r="L75" s="576">
        <v>27703</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v>273357</v>
      </c>
      <c r="I79" s="477"/>
      <c r="J79" s="477"/>
      <c r="K79" s="1671">
        <f t="shared" si="11"/>
        <v>273357</v>
      </c>
      <c r="L79" s="466">
        <v>273357</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273357</v>
      </c>
      <c r="I84" s="477"/>
      <c r="J84" s="477"/>
      <c r="K84" s="1670">
        <f>SUM(K78:K83)</f>
        <v>273357</v>
      </c>
      <c r="L84" s="1670">
        <f>SUM(L78:L83)</f>
        <v>273357</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684441</v>
      </c>
      <c r="I86" s="477"/>
      <c r="J86" s="477"/>
      <c r="K86" s="1677">
        <f t="shared" ref="K86:K98" si="12">H86</f>
        <v>684441</v>
      </c>
      <c r="L86" s="530">
        <v>650000</v>
      </c>
    </row>
    <row r="87" spans="1:12" ht="14.25" thickTop="1" thickBot="1" x14ac:dyDescent="0.25">
      <c r="A87" s="1513" t="s">
        <v>700</v>
      </c>
      <c r="B87" s="639">
        <v>4230</v>
      </c>
      <c r="C87" s="616"/>
      <c r="D87" s="616"/>
      <c r="E87" s="638"/>
      <c r="F87" s="616"/>
      <c r="G87" s="616"/>
      <c r="H87" s="467"/>
      <c r="I87" s="477"/>
      <c r="J87" s="477"/>
      <c r="K87" s="1677">
        <f t="shared" si="12"/>
        <v>0</v>
      </c>
      <c r="L87" s="530">
        <v>40000</v>
      </c>
    </row>
    <row r="88" spans="1:12" ht="12.75" customHeight="1" thickTop="1" thickBot="1" x14ac:dyDescent="0.25">
      <c r="A88" s="1513" t="s">
        <v>765</v>
      </c>
      <c r="B88" s="639">
        <v>4240</v>
      </c>
      <c r="C88" s="616"/>
      <c r="D88" s="616"/>
      <c r="E88" s="638"/>
      <c r="F88" s="616"/>
      <c r="G88" s="616"/>
      <c r="H88" s="467">
        <v>36677</v>
      </c>
      <c r="I88" s="477"/>
      <c r="J88" s="477"/>
      <c r="K88" s="1677">
        <f t="shared" si="12"/>
        <v>36677</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721118</v>
      </c>
      <c r="I92" s="477"/>
      <c r="J92" s="477"/>
      <c r="K92" s="1677">
        <f t="shared" si="12"/>
        <v>721118</v>
      </c>
      <c r="L92" s="1670">
        <f>SUM(L85:L91)</f>
        <v>690000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994475</v>
      </c>
      <c r="I102" s="477"/>
      <c r="J102" s="477"/>
      <c r="K102" s="1677">
        <f>SUM(K84,K92,K100,K101)</f>
        <v>994475</v>
      </c>
      <c r="L102" s="1677">
        <f>SUM(L84,L92,L100,L101)</f>
        <v>963357</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10000</v>
      </c>
      <c r="M113" s="613"/>
      <c r="N113" s="613"/>
    </row>
    <row r="114" spans="1:14" ht="12.75" customHeight="1" thickTop="1" thickBot="1" x14ac:dyDescent="0.25">
      <c r="A114" s="1668" t="s">
        <v>48</v>
      </c>
      <c r="B114" s="1682"/>
      <c r="C114" s="1670">
        <f>SUM(C33,C74,C75,C102,C112,C113)</f>
        <v>6063587</v>
      </c>
      <c r="D114" s="1670">
        <f t="shared" ref="D114:K114" si="13">SUM(D33,D74,D75,D102,D112,D113)</f>
        <v>1485126</v>
      </c>
      <c r="E114" s="1670">
        <f t="shared" si="13"/>
        <v>397175</v>
      </c>
      <c r="F114" s="1670">
        <f t="shared" si="13"/>
        <v>610339</v>
      </c>
      <c r="G114" s="1670">
        <f t="shared" si="13"/>
        <v>65932</v>
      </c>
      <c r="H114" s="1670">
        <f>SUM(H33,H74,H75,H102,H112,H113)</f>
        <v>1072537</v>
      </c>
      <c r="I114" s="1670">
        <f t="shared" si="13"/>
        <v>0</v>
      </c>
      <c r="J114" s="1670">
        <f t="shared" si="13"/>
        <v>0</v>
      </c>
      <c r="K114" s="1670">
        <f t="shared" si="13"/>
        <v>9694696</v>
      </c>
      <c r="L114" s="1670">
        <f>SUM(L33,L74,L75,L102,L112,L113)</f>
        <v>9682050</v>
      </c>
    </row>
    <row r="115" spans="1:14" ht="13.5" thickTop="1" x14ac:dyDescent="0.2">
      <c r="A115" s="2155" t="s">
        <v>996</v>
      </c>
      <c r="B115" s="2156"/>
      <c r="C115" s="618"/>
      <c r="D115" s="618"/>
      <c r="E115" s="618"/>
      <c r="F115" s="618"/>
      <c r="G115" s="618"/>
      <c r="H115" s="618"/>
      <c r="I115" s="618"/>
      <c r="J115" s="618"/>
      <c r="K115" s="1684">
        <f>'Revenues 9-14'!C268-'Expenditures 15-22'!K114</f>
        <v>550694</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0" t="s">
        <v>296</v>
      </c>
      <c r="B117" s="2161"/>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2059</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v>104841</v>
      </c>
      <c r="F123" s="466">
        <v>3929</v>
      </c>
      <c r="G123" s="466"/>
      <c r="H123" s="466"/>
      <c r="I123" s="467"/>
      <c r="J123" s="467"/>
      <c r="K123" s="1670">
        <f>SUM(C123:J123)</f>
        <v>108770</v>
      </c>
      <c r="L123" s="466">
        <v>134000</v>
      </c>
    </row>
    <row r="124" spans="1:14" ht="14.25" thickTop="1" thickBot="1" x14ac:dyDescent="0.25">
      <c r="A124" s="1504" t="s">
        <v>197</v>
      </c>
      <c r="B124" s="614">
        <v>2540</v>
      </c>
      <c r="C124" s="466">
        <v>416947</v>
      </c>
      <c r="D124" s="466">
        <v>106567</v>
      </c>
      <c r="E124" s="466">
        <v>336884</v>
      </c>
      <c r="F124" s="466">
        <v>368709</v>
      </c>
      <c r="G124" s="466">
        <v>57</v>
      </c>
      <c r="H124" s="466"/>
      <c r="I124" s="467"/>
      <c r="J124" s="467"/>
      <c r="K124" s="1670">
        <f>SUM(C124:J124)</f>
        <v>1229164</v>
      </c>
      <c r="L124" s="466">
        <v>1262961</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416947</v>
      </c>
      <c r="D127" s="1670">
        <f t="shared" ref="D127:L127" si="14">SUM(D122:D126)</f>
        <v>106567</v>
      </c>
      <c r="E127" s="1670">
        <f t="shared" si="14"/>
        <v>441725</v>
      </c>
      <c r="F127" s="1670">
        <f t="shared" si="14"/>
        <v>372638</v>
      </c>
      <c r="G127" s="1670">
        <f t="shared" si="14"/>
        <v>57</v>
      </c>
      <c r="H127" s="1670">
        <f t="shared" si="14"/>
        <v>0</v>
      </c>
      <c r="I127" s="1670">
        <f t="shared" si="14"/>
        <v>0</v>
      </c>
      <c r="J127" s="1670">
        <f t="shared" si="14"/>
        <v>0</v>
      </c>
      <c r="K127" s="1670">
        <f t="shared" si="14"/>
        <v>1337934</v>
      </c>
      <c r="L127" s="1670">
        <f t="shared" si="14"/>
        <v>1396961</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416947</v>
      </c>
      <c r="D129" s="1677">
        <f t="shared" ref="D129:L129" si="15">SUM(D120,D127,D128)</f>
        <v>106567</v>
      </c>
      <c r="E129" s="1677">
        <f t="shared" si="15"/>
        <v>441725</v>
      </c>
      <c r="F129" s="1677">
        <f t="shared" si="15"/>
        <v>372638</v>
      </c>
      <c r="G129" s="1677">
        <f t="shared" si="15"/>
        <v>57</v>
      </c>
      <c r="H129" s="1677">
        <f t="shared" si="15"/>
        <v>0</v>
      </c>
      <c r="I129" s="1677">
        <f t="shared" si="15"/>
        <v>0</v>
      </c>
      <c r="J129" s="1677">
        <f t="shared" si="15"/>
        <v>0</v>
      </c>
      <c r="K129" s="1677">
        <f t="shared" si="15"/>
        <v>1337934</v>
      </c>
      <c r="L129" s="1677">
        <f t="shared" si="15"/>
        <v>1396961</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1844</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5000</v>
      </c>
    </row>
    <row r="151" spans="1:14" ht="12.75" customHeight="1" thickTop="1" thickBot="1" x14ac:dyDescent="0.25">
      <c r="A151" s="2172" t="s">
        <v>620</v>
      </c>
      <c r="B151" s="2152"/>
      <c r="C151" s="1670">
        <f>SUM(C129,C130,C139,C149,C150)</f>
        <v>416947</v>
      </c>
      <c r="D151" s="1670">
        <f t="shared" ref="D151:K151" si="16">SUM(D129,D130,D139,D149,D150)</f>
        <v>106567</v>
      </c>
      <c r="E151" s="1670">
        <f t="shared" si="16"/>
        <v>441725</v>
      </c>
      <c r="F151" s="1670">
        <f t="shared" si="16"/>
        <v>372638</v>
      </c>
      <c r="G151" s="1670">
        <f t="shared" si="16"/>
        <v>57</v>
      </c>
      <c r="H151" s="1670">
        <f t="shared" si="16"/>
        <v>0</v>
      </c>
      <c r="I151" s="1670">
        <f t="shared" si="16"/>
        <v>0</v>
      </c>
      <c r="J151" s="1670">
        <f t="shared" si="16"/>
        <v>0</v>
      </c>
      <c r="K151" s="1670">
        <f t="shared" si="16"/>
        <v>1337934</v>
      </c>
      <c r="L151" s="1670">
        <f>SUM(L129,L130,L139,L149,L150)</f>
        <v>1401961</v>
      </c>
    </row>
    <row r="152" spans="1:14" ht="12.75" customHeight="1" thickTop="1" x14ac:dyDescent="0.2">
      <c r="A152" s="2175" t="s">
        <v>1178</v>
      </c>
      <c r="B152" s="2176"/>
      <c r="C152" s="618"/>
      <c r="D152" s="618"/>
      <c r="E152" s="618"/>
      <c r="F152" s="618"/>
      <c r="G152" s="618"/>
      <c r="H152" s="618"/>
      <c r="I152" s="618"/>
      <c r="J152" s="616"/>
      <c r="K152" s="1684">
        <f>'Revenues 9-14'!D268-'Expenditures 15-22'!K151</f>
        <v>196876</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0" t="s">
        <v>621</v>
      </c>
      <c r="B154" s="2162"/>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1845</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1844</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1846</v>
      </c>
      <c r="C158" s="616"/>
      <c r="D158" s="616"/>
      <c r="E158" s="616"/>
      <c r="F158" s="616"/>
      <c r="G158" s="616"/>
      <c r="H158" s="467"/>
      <c r="I158" s="616"/>
      <c r="J158" s="616"/>
      <c r="K158" s="1671">
        <f>H158</f>
        <v>0</v>
      </c>
      <c r="L158" s="467"/>
      <c r="M158" s="619"/>
      <c r="N158" s="619"/>
    </row>
    <row r="159" spans="1:14" s="620" customFormat="1" ht="12" x14ac:dyDescent="0.2">
      <c r="A159" s="1826" t="s">
        <v>1847</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1848</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354701</v>
      </c>
      <c r="I169" s="616"/>
      <c r="J169" s="616"/>
      <c r="K169" s="1671">
        <f>SUM(C169:H169)</f>
        <v>354701</v>
      </c>
      <c r="L169" s="656">
        <v>354701</v>
      </c>
    </row>
    <row r="170" spans="1:14" ht="33.75" customHeight="1" x14ac:dyDescent="0.2">
      <c r="A170" s="669" t="s">
        <v>1670</v>
      </c>
      <c r="B170" s="671" t="s">
        <v>31</v>
      </c>
      <c r="C170" s="616"/>
      <c r="D170" s="616"/>
      <c r="E170" s="616"/>
      <c r="F170" s="616"/>
      <c r="G170" s="616"/>
      <c r="H170" s="569">
        <v>1120000</v>
      </c>
      <c r="I170" s="616"/>
      <c r="J170" s="616"/>
      <c r="K170" s="1671">
        <f>SUM(C170:J170)</f>
        <v>1120000</v>
      </c>
      <c r="L170" s="569">
        <v>1120000</v>
      </c>
    </row>
    <row r="171" spans="1:14" ht="15.75" customHeight="1" x14ac:dyDescent="0.2">
      <c r="A171" s="621" t="s">
        <v>766</v>
      </c>
      <c r="B171" s="672" t="s">
        <v>84</v>
      </c>
      <c r="C171" s="616"/>
      <c r="D171" s="616"/>
      <c r="E171" s="466"/>
      <c r="F171" s="616"/>
      <c r="G171" s="616"/>
      <c r="H171" s="569">
        <v>1378</v>
      </c>
      <c r="I171" s="477"/>
      <c r="J171" s="616"/>
      <c r="K171" s="1671">
        <f>SUM(C171:J171)</f>
        <v>1378</v>
      </c>
      <c r="L171" s="569">
        <v>2178</v>
      </c>
    </row>
    <row r="172" spans="1:14" ht="12.75" customHeight="1" thickBot="1" x14ac:dyDescent="0.25">
      <c r="A172" s="1668" t="s">
        <v>638</v>
      </c>
      <c r="B172" s="1669" t="s">
        <v>492</v>
      </c>
      <c r="C172" s="616"/>
      <c r="D172" s="616"/>
      <c r="E172" s="1677">
        <f>SUM(E168,E169,E170,E171)</f>
        <v>0</v>
      </c>
      <c r="F172" s="616"/>
      <c r="G172" s="616"/>
      <c r="H172" s="1677">
        <f>SUM(H168,H169,H170,H171)</f>
        <v>1476079</v>
      </c>
      <c r="I172" s="638"/>
      <c r="J172" s="616"/>
      <c r="K172" s="1677">
        <f>SUM(K168,K169,K170,K171)</f>
        <v>1476079</v>
      </c>
      <c r="L172" s="1677">
        <f>SUM(L168,L169,L170,L171)</f>
        <v>1476879</v>
      </c>
    </row>
    <row r="173" spans="1:14" ht="15.75" customHeight="1" thickTop="1" thickBot="1" x14ac:dyDescent="0.25">
      <c r="A173" s="1619" t="s">
        <v>85</v>
      </c>
      <c r="B173" s="1611" t="s">
        <v>861</v>
      </c>
      <c r="C173" s="616"/>
      <c r="D173" s="616"/>
      <c r="E173" s="623"/>
      <c r="F173" s="616"/>
      <c r="G173" s="616"/>
      <c r="H173" s="626"/>
      <c r="I173" s="638"/>
      <c r="J173" s="616"/>
      <c r="K173" s="623"/>
      <c r="L173" s="576">
        <v>5000</v>
      </c>
    </row>
    <row r="174" spans="1:14" ht="12.75" customHeight="1" thickTop="1" thickBot="1" x14ac:dyDescent="0.25">
      <c r="A174" s="1689" t="s">
        <v>90</v>
      </c>
      <c r="B174" s="1690"/>
      <c r="C174" s="616"/>
      <c r="D174" s="616"/>
      <c r="E174" s="1677">
        <f>SUM(E172,E173)</f>
        <v>0</v>
      </c>
      <c r="F174" s="616"/>
      <c r="G174" s="616"/>
      <c r="H174" s="1677">
        <f>SUM(H160,H172,H173)</f>
        <v>1476079</v>
      </c>
      <c r="I174" s="638"/>
      <c r="J174" s="616"/>
      <c r="K174" s="1677">
        <f>SUM(K160,K172,K173)</f>
        <v>1476079</v>
      </c>
      <c r="L174" s="1677">
        <f>SUM(L160,L172,L173)</f>
        <v>1481879</v>
      </c>
    </row>
    <row r="175" spans="1:14" ht="13.5" thickTop="1" x14ac:dyDescent="0.2">
      <c r="A175" s="2155" t="s">
        <v>996</v>
      </c>
      <c r="B175" s="2156"/>
      <c r="C175" s="616"/>
      <c r="D175" s="616"/>
      <c r="E175" s="616"/>
      <c r="F175" s="616"/>
      <c r="G175" s="616"/>
      <c r="H175" s="618"/>
      <c r="I175" s="616"/>
      <c r="J175" s="616"/>
      <c r="K175" s="1684">
        <f>'Revenues 9-14'!E268-'Expenditures 15-22'!K174</f>
        <v>-1472821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2059</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5855</v>
      </c>
      <c r="D182" s="466">
        <v>756</v>
      </c>
      <c r="E182" s="466">
        <v>978777</v>
      </c>
      <c r="F182" s="466">
        <v>71812</v>
      </c>
      <c r="G182" s="466"/>
      <c r="H182" s="466"/>
      <c r="I182" s="467"/>
      <c r="J182" s="467"/>
      <c r="K182" s="1671">
        <f>SUM(C182:J182)</f>
        <v>1057200</v>
      </c>
      <c r="L182" s="466">
        <v>966854</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5855</v>
      </c>
      <c r="D184" s="1677">
        <f t="shared" ref="D184:J184" si="17">SUM(D180,D182,D183)</f>
        <v>756</v>
      </c>
      <c r="E184" s="1677">
        <f t="shared" si="17"/>
        <v>978777</v>
      </c>
      <c r="F184" s="1677">
        <f t="shared" si="17"/>
        <v>71812</v>
      </c>
      <c r="G184" s="1677">
        <f t="shared" si="17"/>
        <v>0</v>
      </c>
      <c r="H184" s="1677">
        <f t="shared" si="17"/>
        <v>0</v>
      </c>
      <c r="I184" s="1677">
        <f t="shared" si="17"/>
        <v>0</v>
      </c>
      <c r="J184" s="1677">
        <f t="shared" si="17"/>
        <v>0</v>
      </c>
      <c r="K184" s="1677">
        <f>SUM(K180,K182,K183)</f>
        <v>1057200</v>
      </c>
      <c r="L184" s="1677">
        <f>SUM(L180, L182:L183)</f>
        <v>966854</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5855</v>
      </c>
      <c r="D210" s="1670">
        <f>SUM(D184,D185)</f>
        <v>756</v>
      </c>
      <c r="E210" s="1670">
        <f>SUM(E184,E185,E196)</f>
        <v>978777</v>
      </c>
      <c r="F210" s="1670">
        <f>SUM(F184,F185)</f>
        <v>71812</v>
      </c>
      <c r="G210" s="1670">
        <f>SUM(G184,G185)</f>
        <v>0</v>
      </c>
      <c r="H210" s="1670">
        <f>SUM(H184,H185,H196,H208,H209)</f>
        <v>0</v>
      </c>
      <c r="I210" s="1670">
        <f>SUM(I184,I185)</f>
        <v>0</v>
      </c>
      <c r="J210" s="1670">
        <f>SUM(J184,J185)</f>
        <v>0</v>
      </c>
      <c r="K210" s="1671">
        <f>SUM(K184,K185,K196,K208,K209)</f>
        <v>1057200</v>
      </c>
      <c r="L210" s="1670">
        <f>SUM(L184,L185,L196,L208,L209)</f>
        <v>966854</v>
      </c>
    </row>
    <row r="211" spans="1:14" ht="13.5" thickTop="1" x14ac:dyDescent="0.2">
      <c r="A211" s="2155" t="s">
        <v>996</v>
      </c>
      <c r="B211" s="2156"/>
      <c r="C211" s="618"/>
      <c r="D211" s="618"/>
      <c r="E211" s="618"/>
      <c r="F211" s="618"/>
      <c r="G211" s="618"/>
      <c r="H211" s="618"/>
      <c r="I211" s="616"/>
      <c r="J211" s="616"/>
      <c r="K211" s="1684">
        <f>'Revenues 9-14'!F268-'Expenditures 15-22'!K210</f>
        <v>26677</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7" t="s">
        <v>965</v>
      </c>
      <c r="B213" s="2178"/>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40828</v>
      </c>
      <c r="E215" s="616"/>
      <c r="F215" s="616"/>
      <c r="G215" s="616"/>
      <c r="H215" s="616"/>
      <c r="I215" s="616"/>
      <c r="J215" s="616"/>
      <c r="K215" s="1671">
        <f>D215</f>
        <v>40828</v>
      </c>
      <c r="L215" s="466">
        <v>44113</v>
      </c>
    </row>
    <row r="216" spans="1:14" x14ac:dyDescent="0.2">
      <c r="A216" s="1504" t="s">
        <v>163</v>
      </c>
      <c r="B216" s="614" t="s">
        <v>967</v>
      </c>
      <c r="C216" s="616"/>
      <c r="D216" s="467">
        <v>8594</v>
      </c>
      <c r="E216" s="616"/>
      <c r="F216" s="616"/>
      <c r="G216" s="616"/>
      <c r="H216" s="616"/>
      <c r="I216" s="616"/>
      <c r="J216" s="616"/>
      <c r="K216" s="1671">
        <f t="shared" ref="K216:K228" si="19">D216</f>
        <v>8594</v>
      </c>
      <c r="L216" s="466">
        <v>8672</v>
      </c>
    </row>
    <row r="217" spans="1:14" x14ac:dyDescent="0.2">
      <c r="A217" s="1504" t="s">
        <v>164</v>
      </c>
      <c r="B217" s="614">
        <v>1200</v>
      </c>
      <c r="C217" s="616"/>
      <c r="D217" s="466">
        <v>55655</v>
      </c>
      <c r="E217" s="616"/>
      <c r="F217" s="616"/>
      <c r="G217" s="616"/>
      <c r="H217" s="616"/>
      <c r="I217" s="616"/>
      <c r="J217" s="616"/>
      <c r="K217" s="1671">
        <f t="shared" si="19"/>
        <v>55655</v>
      </c>
      <c r="L217" s="466">
        <v>54581</v>
      </c>
    </row>
    <row r="218" spans="1:14" x14ac:dyDescent="0.2">
      <c r="A218" s="1504" t="s">
        <v>278</v>
      </c>
      <c r="B218" s="614" t="s">
        <v>968</v>
      </c>
      <c r="C218" s="616"/>
      <c r="D218" s="467">
        <v>3492</v>
      </c>
      <c r="E218" s="616"/>
      <c r="F218" s="616"/>
      <c r="G218" s="616"/>
      <c r="H218" s="616"/>
      <c r="I218" s="616"/>
      <c r="J218" s="616"/>
      <c r="K218" s="1671">
        <f t="shared" si="19"/>
        <v>3492</v>
      </c>
      <c r="L218" s="466">
        <v>3912</v>
      </c>
    </row>
    <row r="219" spans="1:14" x14ac:dyDescent="0.2">
      <c r="A219" s="1504" t="s">
        <v>279</v>
      </c>
      <c r="B219" s="614">
        <v>1250</v>
      </c>
      <c r="C219" s="616"/>
      <c r="D219" s="466">
        <v>33165</v>
      </c>
      <c r="E219" s="616"/>
      <c r="F219" s="616"/>
      <c r="G219" s="616"/>
      <c r="H219" s="616"/>
      <c r="I219" s="616"/>
      <c r="J219" s="616"/>
      <c r="K219" s="1671">
        <f t="shared" si="19"/>
        <v>33165</v>
      </c>
      <c r="L219" s="466">
        <v>17988</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3068</v>
      </c>
      <c r="E222" s="616"/>
      <c r="F222" s="616"/>
      <c r="G222" s="616"/>
      <c r="H222" s="616"/>
      <c r="I222" s="616"/>
      <c r="J222" s="616"/>
      <c r="K222" s="1671">
        <f t="shared" si="19"/>
        <v>3068</v>
      </c>
      <c r="L222" s="466">
        <v>3157</v>
      </c>
    </row>
    <row r="223" spans="1:14" x14ac:dyDescent="0.2">
      <c r="A223" s="1504" t="s">
        <v>963</v>
      </c>
      <c r="B223" s="614">
        <v>1500</v>
      </c>
      <c r="C223" s="616"/>
      <c r="D223" s="466">
        <v>6890</v>
      </c>
      <c r="E223" s="616"/>
      <c r="F223" s="616"/>
      <c r="G223" s="616"/>
      <c r="H223" s="616"/>
      <c r="I223" s="616"/>
      <c r="J223" s="616"/>
      <c r="K223" s="1671">
        <f t="shared" si="19"/>
        <v>6890</v>
      </c>
      <c r="L223" s="466">
        <v>6936</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151692</v>
      </c>
      <c r="E229" s="616"/>
      <c r="F229" s="616"/>
      <c r="G229" s="616"/>
      <c r="H229" s="616"/>
      <c r="I229" s="616"/>
      <c r="J229" s="616"/>
      <c r="K229" s="1670">
        <f>SUM(K215:K228)</f>
        <v>151692</v>
      </c>
      <c r="L229" s="1670">
        <f>SUM(L215:L228)</f>
        <v>139359</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5629</v>
      </c>
      <c r="E233" s="616"/>
      <c r="F233" s="616"/>
      <c r="G233" s="616"/>
      <c r="H233" s="616"/>
      <c r="I233" s="616"/>
      <c r="J233" s="616"/>
      <c r="K233" s="1671">
        <f t="shared" si="20"/>
        <v>5629</v>
      </c>
      <c r="L233" s="466">
        <v>5839</v>
      </c>
    </row>
    <row r="234" spans="1:12" x14ac:dyDescent="0.2">
      <c r="A234" s="1504" t="s">
        <v>198</v>
      </c>
      <c r="B234" s="614">
        <v>2130</v>
      </c>
      <c r="C234" s="616"/>
      <c r="D234" s="466">
        <v>4454</v>
      </c>
      <c r="E234" s="616"/>
      <c r="F234" s="616"/>
      <c r="G234" s="616"/>
      <c r="H234" s="616"/>
      <c r="I234" s="616"/>
      <c r="J234" s="616"/>
      <c r="K234" s="1671">
        <f t="shared" si="20"/>
        <v>4454</v>
      </c>
      <c r="L234" s="466">
        <v>4143</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v>2600</v>
      </c>
      <c r="E237" s="616"/>
      <c r="F237" s="616"/>
      <c r="G237" s="616"/>
      <c r="H237" s="616"/>
      <c r="I237" s="616"/>
      <c r="J237" s="616"/>
      <c r="K237" s="1671">
        <f t="shared" si="20"/>
        <v>2600</v>
      </c>
      <c r="L237" s="466">
        <v>2991</v>
      </c>
    </row>
    <row r="238" spans="1:12" ht="12.75" customHeight="1" thickBot="1" x14ac:dyDescent="0.25">
      <c r="A238" s="1668" t="s">
        <v>560</v>
      </c>
      <c r="B238" s="1675" t="s">
        <v>716</v>
      </c>
      <c r="C238" s="616"/>
      <c r="D238" s="1670">
        <f>SUM(D232:D237)</f>
        <v>12683</v>
      </c>
      <c r="E238" s="616"/>
      <c r="F238" s="616"/>
      <c r="G238" s="616"/>
      <c r="H238" s="616"/>
      <c r="I238" s="616"/>
      <c r="J238" s="616"/>
      <c r="K238" s="1670">
        <f>SUM(K232:K237)</f>
        <v>12683</v>
      </c>
      <c r="L238" s="1670">
        <f>SUM(L232:L237)</f>
        <v>12973</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2100</v>
      </c>
      <c r="E240" s="616"/>
      <c r="F240" s="616"/>
      <c r="G240" s="616"/>
      <c r="H240" s="616"/>
      <c r="I240" s="616"/>
      <c r="J240" s="616"/>
      <c r="K240" s="1672">
        <f>D240</f>
        <v>2100</v>
      </c>
      <c r="L240" s="481">
        <v>1300</v>
      </c>
    </row>
    <row r="241" spans="1:12" x14ac:dyDescent="0.2">
      <c r="A241" s="1504" t="s">
        <v>815</v>
      </c>
      <c r="B241" s="614">
        <v>2220</v>
      </c>
      <c r="C241" s="616"/>
      <c r="D241" s="466"/>
      <c r="E241" s="616"/>
      <c r="F241" s="616"/>
      <c r="G241" s="616"/>
      <c r="H241" s="616"/>
      <c r="I241" s="616"/>
      <c r="J241" s="616"/>
      <c r="K241" s="1672">
        <f>D241</f>
        <v>0</v>
      </c>
      <c r="L241" s="466">
        <v>2878</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2100</v>
      </c>
      <c r="E243" s="616"/>
      <c r="F243" s="616"/>
      <c r="G243" s="616"/>
      <c r="H243" s="616"/>
      <c r="I243" s="616"/>
      <c r="J243" s="616"/>
      <c r="K243" s="1670">
        <f>SUM(K240:K242)</f>
        <v>2100</v>
      </c>
      <c r="L243" s="1670">
        <f>SUM(L240:L242)</f>
        <v>4178</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2818</v>
      </c>
      <c r="E245" s="616"/>
      <c r="F245" s="616"/>
      <c r="G245" s="616"/>
      <c r="H245" s="616"/>
      <c r="I245" s="616"/>
      <c r="J245" s="616"/>
      <c r="K245" s="1672">
        <f>D245</f>
        <v>2818</v>
      </c>
      <c r="L245" s="481">
        <v>2976</v>
      </c>
    </row>
    <row r="246" spans="1:12" x14ac:dyDescent="0.2">
      <c r="A246" s="1504" t="s">
        <v>818</v>
      </c>
      <c r="B246" s="614">
        <v>2320</v>
      </c>
      <c r="C246" s="616"/>
      <c r="D246" s="466">
        <v>23281</v>
      </c>
      <c r="E246" s="616"/>
      <c r="F246" s="616"/>
      <c r="G246" s="616"/>
      <c r="H246" s="616"/>
      <c r="I246" s="616"/>
      <c r="J246" s="616"/>
      <c r="K246" s="1672">
        <f t="shared" ref="K246:K256" si="21">D246</f>
        <v>23281</v>
      </c>
      <c r="L246" s="466">
        <v>21327</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1804</v>
      </c>
      <c r="B249" s="683" t="s">
        <v>282</v>
      </c>
      <c r="C249" s="616"/>
      <c r="D249" s="474"/>
      <c r="E249" s="616"/>
      <c r="F249" s="616"/>
      <c r="G249" s="616"/>
      <c r="H249" s="616"/>
      <c r="I249" s="616"/>
      <c r="J249" s="616"/>
      <c r="K249" s="1672">
        <f t="shared" si="21"/>
        <v>0</v>
      </c>
      <c r="L249" s="466"/>
    </row>
    <row r="250" spans="1:12" x14ac:dyDescent="0.2">
      <c r="A250" s="1505" t="s">
        <v>1805</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26099</v>
      </c>
      <c r="E257" s="616"/>
      <c r="F257" s="616"/>
      <c r="G257" s="616"/>
      <c r="H257" s="616"/>
      <c r="I257" s="616"/>
      <c r="J257" s="616"/>
      <c r="K257" s="1670">
        <f>SUM(K245:K256)</f>
        <v>26099</v>
      </c>
      <c r="L257" s="1670">
        <f>SUM(L245:L256)</f>
        <v>24303</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29145</v>
      </c>
      <c r="E259" s="616"/>
      <c r="F259" s="616"/>
      <c r="G259" s="616"/>
      <c r="H259" s="616"/>
      <c r="I259" s="616"/>
      <c r="J259" s="616"/>
      <c r="K259" s="1672">
        <f>D259</f>
        <v>29145</v>
      </c>
      <c r="L259" s="481">
        <v>29000</v>
      </c>
    </row>
    <row r="260" spans="1:14" s="597" customFormat="1" x14ac:dyDescent="0.2">
      <c r="A260" s="1522" t="s">
        <v>1803</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29145</v>
      </c>
      <c r="E261" s="616"/>
      <c r="F261" s="616"/>
      <c r="G261" s="616"/>
      <c r="H261" s="616"/>
      <c r="I261" s="616"/>
      <c r="J261" s="616"/>
      <c r="K261" s="1670">
        <f>SUM(K259:K260)</f>
        <v>29145</v>
      </c>
      <c r="L261" s="1670">
        <f>SUM(L259:L260)</f>
        <v>29000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75910</v>
      </c>
      <c r="E266" s="616"/>
      <c r="F266" s="616"/>
      <c r="G266" s="616"/>
      <c r="H266" s="616"/>
      <c r="I266" s="616"/>
      <c r="J266" s="616"/>
      <c r="K266" s="1672">
        <f t="shared" si="22"/>
        <v>75910</v>
      </c>
      <c r="L266" s="466">
        <v>75792</v>
      </c>
    </row>
    <row r="267" spans="1:14" x14ac:dyDescent="0.2">
      <c r="A267" s="1504" t="s">
        <v>953</v>
      </c>
      <c r="B267" s="614">
        <v>2550</v>
      </c>
      <c r="C267" s="616"/>
      <c r="D267" s="466">
        <v>85</v>
      </c>
      <c r="E267" s="616"/>
      <c r="F267" s="616"/>
      <c r="G267" s="616"/>
      <c r="H267" s="616"/>
      <c r="I267" s="616"/>
      <c r="J267" s="616"/>
      <c r="K267" s="1672">
        <f t="shared" si="22"/>
        <v>85</v>
      </c>
      <c r="L267" s="466">
        <v>80</v>
      </c>
    </row>
    <row r="268" spans="1:14" x14ac:dyDescent="0.2">
      <c r="A268" s="1504" t="s">
        <v>100</v>
      </c>
      <c r="B268" s="614">
        <v>2560</v>
      </c>
      <c r="C268" s="616"/>
      <c r="D268" s="466">
        <v>54078</v>
      </c>
      <c r="E268" s="616"/>
      <c r="F268" s="616"/>
      <c r="G268" s="616"/>
      <c r="H268" s="616"/>
      <c r="I268" s="616"/>
      <c r="J268" s="616"/>
      <c r="K268" s="1672">
        <f t="shared" si="22"/>
        <v>54078</v>
      </c>
      <c r="L268" s="466">
        <v>55345</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130073</v>
      </c>
      <c r="E270" s="616"/>
      <c r="F270" s="616"/>
      <c r="G270" s="616"/>
      <c r="H270" s="616"/>
      <c r="I270" s="616"/>
      <c r="J270" s="616"/>
      <c r="K270" s="1670">
        <f>SUM(K263:K269)</f>
        <v>130073</v>
      </c>
      <c r="L270" s="1670">
        <f>SUM(L263:L269)</f>
        <v>131217</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v>9648</v>
      </c>
      <c r="E276" s="616"/>
      <c r="F276" s="616"/>
      <c r="G276" s="616"/>
      <c r="H276" s="616"/>
      <c r="I276" s="616"/>
      <c r="J276" s="616"/>
      <c r="K276" s="1672">
        <f>D276</f>
        <v>9648</v>
      </c>
      <c r="L276" s="466">
        <v>10107</v>
      </c>
    </row>
    <row r="277" spans="1:12" ht="12.75" customHeight="1" thickBot="1" x14ac:dyDescent="0.25">
      <c r="A277" s="1691" t="s">
        <v>37</v>
      </c>
      <c r="B277" s="1669" t="s">
        <v>36</v>
      </c>
      <c r="C277" s="616"/>
      <c r="D277" s="1670">
        <f>SUM(D272:D276)</f>
        <v>9648</v>
      </c>
      <c r="E277" s="616"/>
      <c r="F277" s="616"/>
      <c r="G277" s="616"/>
      <c r="H277" s="616"/>
      <c r="I277" s="616"/>
      <c r="J277" s="616"/>
      <c r="K277" s="1670">
        <f>SUM(K272:K276)</f>
        <v>9648</v>
      </c>
      <c r="L277" s="1670">
        <f>SUM(L272:L276)</f>
        <v>10107</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209748</v>
      </c>
      <c r="E279" s="616"/>
      <c r="F279" s="616"/>
      <c r="G279" s="616"/>
      <c r="H279" s="616"/>
      <c r="I279" s="616"/>
      <c r="J279" s="616"/>
      <c r="K279" s="1677">
        <f>SUM(K238,K243,K257,K261,K270,K277,K278)</f>
        <v>209748</v>
      </c>
      <c r="L279" s="1677">
        <f>SUM(L238,L243,L257,L261,L270,L277,L278)</f>
        <v>211778</v>
      </c>
    </row>
    <row r="280" spans="1:12" ht="15.75" customHeight="1" thickTop="1" thickBot="1" x14ac:dyDescent="0.25">
      <c r="A280" s="1624" t="s">
        <v>875</v>
      </c>
      <c r="B280" s="1613">
        <v>3000</v>
      </c>
      <c r="C280" s="616"/>
      <c r="D280" s="576">
        <v>45</v>
      </c>
      <c r="E280" s="616"/>
      <c r="F280" s="616"/>
      <c r="G280" s="616"/>
      <c r="H280" s="616"/>
      <c r="I280" s="616"/>
      <c r="J280" s="616"/>
      <c r="K280" s="1679">
        <f>D280</f>
        <v>45</v>
      </c>
      <c r="L280" s="576">
        <v>40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1844</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3" t="s">
        <v>505</v>
      </c>
      <c r="B295" s="2174"/>
      <c r="C295" s="616"/>
      <c r="D295" s="1670">
        <f>SUM(D229,D279,D280,D285)</f>
        <v>361485</v>
      </c>
      <c r="E295" s="616"/>
      <c r="F295" s="616"/>
      <c r="G295" s="616"/>
      <c r="H295" s="1670">
        <f>H293</f>
        <v>0</v>
      </c>
      <c r="I295" s="616"/>
      <c r="J295" s="616"/>
      <c r="K295" s="1670">
        <f>SUM(K229,K279,K280,K285,K293,K294)</f>
        <v>361485</v>
      </c>
      <c r="L295" s="1670">
        <f>SUM(L229,L279,L280,L285,L293,L294)</f>
        <v>351177</v>
      </c>
    </row>
    <row r="296" spans="1:14" ht="13.5" thickTop="1" x14ac:dyDescent="0.2">
      <c r="A296" s="2155" t="s">
        <v>996</v>
      </c>
      <c r="B296" s="2156"/>
      <c r="C296" s="616"/>
      <c r="D296" s="618"/>
      <c r="E296" s="616"/>
      <c r="F296" s="616"/>
      <c r="G296" s="616"/>
      <c r="H296" s="687"/>
      <c r="I296" s="616"/>
      <c r="J296" s="616"/>
      <c r="K296" s="1684">
        <f>'Revenues 9-14'!G268-'Expenditures 15-22'!K295</f>
        <v>-12359</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5" t="s">
        <v>143</v>
      </c>
      <c r="B298" s="2159"/>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1625</v>
      </c>
      <c r="F301" s="466"/>
      <c r="G301" s="466"/>
      <c r="H301" s="466"/>
      <c r="I301" s="467"/>
      <c r="J301" s="467"/>
      <c r="K301" s="1671">
        <f>SUM(C301:J301)</f>
        <v>1625</v>
      </c>
      <c r="L301" s="467">
        <v>1626</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1625</v>
      </c>
      <c r="F303" s="1677">
        <f t="shared" si="23"/>
        <v>0</v>
      </c>
      <c r="G303" s="1677">
        <f t="shared" si="23"/>
        <v>0</v>
      </c>
      <c r="H303" s="1677">
        <f t="shared" si="23"/>
        <v>0</v>
      </c>
      <c r="I303" s="1677">
        <f t="shared" si="23"/>
        <v>0</v>
      </c>
      <c r="J303" s="1677">
        <f t="shared" si="23"/>
        <v>0</v>
      </c>
      <c r="K303" s="1677">
        <f t="shared" si="23"/>
        <v>1625</v>
      </c>
      <c r="L303" s="1677">
        <f t="shared" si="23"/>
        <v>1626</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1849</v>
      </c>
      <c r="B306" s="690" t="s">
        <v>1844</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0" t="s">
        <v>277</v>
      </c>
      <c r="B312" s="2171"/>
      <c r="C312" s="1670">
        <f>SUM(C303)</f>
        <v>0</v>
      </c>
      <c r="D312" s="1670">
        <f>SUM(D303)</f>
        <v>0</v>
      </c>
      <c r="E312" s="1670">
        <f>SUM(E303,E310)</f>
        <v>1625</v>
      </c>
      <c r="F312" s="1670">
        <f>SUM(F303)</f>
        <v>0</v>
      </c>
      <c r="G312" s="1670">
        <f>SUM(G303)</f>
        <v>0</v>
      </c>
      <c r="H312" s="1670">
        <f>SUM(H303,H310)</f>
        <v>0</v>
      </c>
      <c r="I312" s="1670">
        <f>SUM(I303)</f>
        <v>0</v>
      </c>
      <c r="J312" s="1670">
        <f>SUM(J303)</f>
        <v>0</v>
      </c>
      <c r="K312" s="1670">
        <f>SUM(K303,K310,K311)</f>
        <v>1625</v>
      </c>
      <c r="L312" s="1670">
        <f>SUM(L303,L310,L311)</f>
        <v>1626</v>
      </c>
      <c r="M312" s="665"/>
      <c r="N312" s="665"/>
    </row>
    <row r="313" spans="1:14" ht="13.5" thickTop="1" x14ac:dyDescent="0.2">
      <c r="A313" s="2166" t="s">
        <v>996</v>
      </c>
      <c r="B313" s="2167"/>
      <c r="C313" s="626"/>
      <c r="D313" s="626"/>
      <c r="E313" s="626"/>
      <c r="F313" s="626"/>
      <c r="G313" s="626"/>
      <c r="H313" s="626"/>
      <c r="I313" s="626"/>
      <c r="J313" s="626"/>
      <c r="K313" s="1685">
        <f>'Revenues 9-14'!H268-'Expenditures 15-22'!K312</f>
        <v>818229</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9" t="s">
        <v>149</v>
      </c>
      <c r="B315" s="2180"/>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1" t="s">
        <v>898</v>
      </c>
      <c r="B317" s="2180"/>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v>382</v>
      </c>
      <c r="F319" s="467"/>
      <c r="G319" s="467"/>
      <c r="H319" s="467"/>
      <c r="I319" s="467"/>
      <c r="J319" s="467"/>
      <c r="K319" s="1671">
        <f>SUM(C319:J319)</f>
        <v>382</v>
      </c>
      <c r="L319" s="467">
        <v>382</v>
      </c>
      <c r="M319" s="665"/>
      <c r="N319" s="665"/>
    </row>
    <row r="320" spans="1:14" s="674" customFormat="1" x14ac:dyDescent="0.2">
      <c r="A320" s="1523" t="s">
        <v>1804</v>
      </c>
      <c r="B320" s="698" t="s">
        <v>282</v>
      </c>
      <c r="C320" s="467"/>
      <c r="D320" s="467"/>
      <c r="E320" s="467">
        <v>91032</v>
      </c>
      <c r="F320" s="467"/>
      <c r="G320" s="467"/>
      <c r="H320" s="467"/>
      <c r="I320" s="467"/>
      <c r="J320" s="467"/>
      <c r="K320" s="1671">
        <f t="shared" ref="K320:K327" si="24">SUM(C320:J320)</f>
        <v>91032</v>
      </c>
      <c r="L320" s="467">
        <v>89773</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91414</v>
      </c>
      <c r="F330" s="1670">
        <f t="shared" si="25"/>
        <v>0</v>
      </c>
      <c r="G330" s="1670">
        <f t="shared" si="25"/>
        <v>0</v>
      </c>
      <c r="H330" s="1670">
        <f t="shared" si="25"/>
        <v>0</v>
      </c>
      <c r="I330" s="1670">
        <f t="shared" si="25"/>
        <v>0</v>
      </c>
      <c r="J330" s="1670">
        <f t="shared" si="25"/>
        <v>0</v>
      </c>
      <c r="K330" s="1670">
        <f>SUM(K319:K329)</f>
        <v>91414</v>
      </c>
      <c r="L330" s="1670">
        <f>SUM(L319:L329)</f>
        <v>90155</v>
      </c>
      <c r="M330" s="665"/>
      <c r="N330" s="665"/>
    </row>
    <row r="331" spans="1:14" s="674" customFormat="1" ht="12.75" customHeight="1" thickTop="1" x14ac:dyDescent="0.2">
      <c r="A331" s="1831" t="s">
        <v>1850</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1844</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1846</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1851</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91414</v>
      </c>
      <c r="F342" s="1670">
        <f>SUM(F330)</f>
        <v>0</v>
      </c>
      <c r="G342" s="1670">
        <f>SUM(G330)</f>
        <v>0</v>
      </c>
      <c r="H342" s="1670">
        <f>SUM(H330,H334,H340)</f>
        <v>0</v>
      </c>
      <c r="I342" s="1670">
        <f>SUM(I330)</f>
        <v>0</v>
      </c>
      <c r="J342" s="1670">
        <f>SUM(J330)</f>
        <v>0</v>
      </c>
      <c r="K342" s="1670">
        <f>SUM(K330,K334,K340)</f>
        <v>91414</v>
      </c>
      <c r="L342" s="1677">
        <f>SUM(L330,L340,L341)</f>
        <v>90155</v>
      </c>
    </row>
    <row r="343" spans="1:14" ht="12.75" customHeight="1" thickTop="1" x14ac:dyDescent="0.2">
      <c r="A343" s="2168" t="s">
        <v>996</v>
      </c>
      <c r="B343" s="2169"/>
      <c r="C343" s="616"/>
      <c r="D343" s="616"/>
      <c r="E343" s="616"/>
      <c r="F343" s="616"/>
      <c r="G343" s="616"/>
      <c r="H343" s="616"/>
      <c r="I343" s="616"/>
      <c r="J343" s="616"/>
      <c r="K343" s="1684">
        <f>'Revenues 9-14'!J268-'Expenditures 15-22'!K342</f>
        <v>-98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8" t="s">
        <v>966</v>
      </c>
      <c r="B345" s="2159"/>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4881</v>
      </c>
      <c r="F348" s="466"/>
      <c r="G348" s="466"/>
      <c r="H348" s="466"/>
      <c r="I348" s="467"/>
      <c r="J348" s="467"/>
      <c r="K348" s="1671">
        <f>SUM(C348:J348)</f>
        <v>4881</v>
      </c>
      <c r="L348" s="466">
        <v>4880</v>
      </c>
    </row>
    <row r="349" spans="1:14" x14ac:dyDescent="0.2">
      <c r="A349" s="1504" t="s">
        <v>197</v>
      </c>
      <c r="B349" s="614">
        <v>2540</v>
      </c>
      <c r="C349" s="466"/>
      <c r="D349" s="466"/>
      <c r="E349" s="466">
        <v>57446</v>
      </c>
      <c r="F349" s="466"/>
      <c r="G349" s="466"/>
      <c r="H349" s="466"/>
      <c r="I349" s="467"/>
      <c r="J349" s="467"/>
      <c r="K349" s="1671">
        <f>SUM(C349:J349)</f>
        <v>57446</v>
      </c>
      <c r="L349" s="466">
        <v>57446</v>
      </c>
    </row>
    <row r="350" spans="1:14" ht="12.75" customHeight="1" thickBot="1" x14ac:dyDescent="0.25">
      <c r="A350" s="1668" t="s">
        <v>719</v>
      </c>
      <c r="B350" s="1669" t="s">
        <v>35</v>
      </c>
      <c r="C350" s="1670">
        <f>SUM(C348:C349)</f>
        <v>0</v>
      </c>
      <c r="D350" s="1670">
        <f t="shared" ref="D350:L350" si="26">SUM(D348:D349)</f>
        <v>0</v>
      </c>
      <c r="E350" s="1670">
        <f t="shared" si="26"/>
        <v>62327</v>
      </c>
      <c r="F350" s="1670">
        <f t="shared" si="26"/>
        <v>0</v>
      </c>
      <c r="G350" s="1670">
        <f t="shared" si="26"/>
        <v>0</v>
      </c>
      <c r="H350" s="1670">
        <f t="shared" si="26"/>
        <v>0</v>
      </c>
      <c r="I350" s="1670">
        <f t="shared" si="26"/>
        <v>0</v>
      </c>
      <c r="J350" s="1670">
        <f t="shared" si="26"/>
        <v>0</v>
      </c>
      <c r="K350" s="1670">
        <f t="shared" si="26"/>
        <v>62327</v>
      </c>
      <c r="L350" s="1670">
        <f t="shared" si="26"/>
        <v>62326</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62327</v>
      </c>
      <c r="F352" s="1670">
        <f t="shared" si="27"/>
        <v>0</v>
      </c>
      <c r="G352" s="1670">
        <f t="shared" si="27"/>
        <v>0</v>
      </c>
      <c r="H352" s="1670">
        <f t="shared" si="27"/>
        <v>0</v>
      </c>
      <c r="I352" s="1670">
        <f t="shared" si="27"/>
        <v>0</v>
      </c>
      <c r="J352" s="1670">
        <f t="shared" si="27"/>
        <v>0</v>
      </c>
      <c r="K352" s="1670">
        <f t="shared" si="27"/>
        <v>62327</v>
      </c>
      <c r="L352" s="1670">
        <f t="shared" si="27"/>
        <v>62326</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1852</v>
      </c>
      <c r="B354" s="683" t="s">
        <v>1844</v>
      </c>
      <c r="C354" s="616"/>
      <c r="D354" s="616"/>
      <c r="E354" s="616"/>
      <c r="F354" s="616"/>
      <c r="G354" s="616"/>
      <c r="H354" s="474"/>
      <c r="I354" s="701"/>
      <c r="J354" s="616"/>
      <c r="K354" s="1699">
        <f>H354</f>
        <v>0</v>
      </c>
      <c r="L354" s="471"/>
    </row>
    <row r="355" spans="1:14" ht="12.75" customHeight="1" x14ac:dyDescent="0.2">
      <c r="A355" s="1513" t="s">
        <v>1853</v>
      </c>
      <c r="B355" s="690" t="s">
        <v>1846</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62327</v>
      </c>
      <c r="F367" s="1670">
        <f t="shared" si="28"/>
        <v>0</v>
      </c>
      <c r="G367" s="1670">
        <f t="shared" si="28"/>
        <v>0</v>
      </c>
      <c r="H367" s="1670">
        <f t="shared" si="28"/>
        <v>0</v>
      </c>
      <c r="I367" s="1670">
        <f t="shared" si="28"/>
        <v>0</v>
      </c>
      <c r="J367" s="1670">
        <f t="shared" si="28"/>
        <v>0</v>
      </c>
      <c r="K367" s="1670">
        <f t="shared" si="28"/>
        <v>62327</v>
      </c>
      <c r="L367" s="1670">
        <f t="shared" si="28"/>
        <v>62326</v>
      </c>
    </row>
    <row r="368" spans="1:14" ht="13.5" thickTop="1" x14ac:dyDescent="0.2">
      <c r="A368" s="2155" t="s">
        <v>996</v>
      </c>
      <c r="B368" s="2156"/>
      <c r="C368" s="654"/>
      <c r="D368" s="654"/>
      <c r="E368" s="626"/>
      <c r="F368" s="626"/>
      <c r="G368" s="626"/>
      <c r="H368" s="626"/>
      <c r="I368" s="626"/>
      <c r="J368" s="623"/>
      <c r="K368" s="1671">
        <f>'Revenues 9-14'!K268-'Expenditures 15-22'!K367</f>
        <v>-48790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B12" sqref="B12"/>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1801</v>
      </c>
      <c r="B2" s="1528" t="s">
        <v>1950</v>
      </c>
      <c r="C2" s="714" t="s">
        <v>1951</v>
      </c>
      <c r="D2" s="714" t="s">
        <v>1952</v>
      </c>
      <c r="E2" s="714" t="s">
        <v>1953</v>
      </c>
      <c r="F2" s="714" t="s">
        <v>1954</v>
      </c>
    </row>
    <row r="3" spans="1:6" ht="12" customHeight="1" x14ac:dyDescent="0.2">
      <c r="A3" s="2183"/>
      <c r="B3" s="1525"/>
      <c r="C3" s="1526"/>
      <c r="D3" s="1527" t="s">
        <v>256</v>
      </c>
      <c r="E3" s="1526"/>
      <c r="F3" s="1527" t="s">
        <v>257</v>
      </c>
    </row>
    <row r="4" spans="1:6" ht="13.7" customHeight="1" x14ac:dyDescent="0.2">
      <c r="A4" s="715" t="s">
        <v>1155</v>
      </c>
      <c r="B4" s="1749">
        <f>'Revenues 9-14'!C5</f>
        <v>2219655</v>
      </c>
      <c r="C4" s="1524"/>
      <c r="D4" s="1752">
        <f>B4-C4</f>
        <v>2219655</v>
      </c>
      <c r="E4" s="1524">
        <v>2343127</v>
      </c>
      <c r="F4" s="1752">
        <f>E4-C4</f>
        <v>2343127</v>
      </c>
    </row>
    <row r="5" spans="1:6" ht="13.7" customHeight="1" x14ac:dyDescent="0.2">
      <c r="A5" s="715" t="s">
        <v>870</v>
      </c>
      <c r="B5" s="1750">
        <f>'Revenues 9-14'!D5</f>
        <v>676490</v>
      </c>
      <c r="C5" s="585"/>
      <c r="D5" s="1753">
        <f t="shared" ref="D5:D18" si="0">B5-C5</f>
        <v>676490</v>
      </c>
      <c r="E5" s="585">
        <v>705101</v>
      </c>
      <c r="F5" s="1753">
        <f>E5-C5</f>
        <v>705101</v>
      </c>
    </row>
    <row r="6" spans="1:6" ht="13.7" customHeight="1" x14ac:dyDescent="0.2">
      <c r="A6" s="715" t="s">
        <v>411</v>
      </c>
      <c r="B6" s="1750">
        <f>'Revenues 9-14'!E5</f>
        <v>0</v>
      </c>
      <c r="C6" s="585"/>
      <c r="D6" s="1753">
        <f t="shared" si="0"/>
        <v>0</v>
      </c>
      <c r="E6" s="585">
        <v>1090189</v>
      </c>
      <c r="F6" s="1753">
        <f t="shared" ref="F6:F18" si="1">E6-C6</f>
        <v>1090189</v>
      </c>
    </row>
    <row r="7" spans="1:6" ht="13.7" customHeight="1" x14ac:dyDescent="0.2">
      <c r="A7" s="715" t="s">
        <v>155</v>
      </c>
      <c r="B7" s="1750">
        <f>'Revenues 9-14'!F5</f>
        <v>318916</v>
      </c>
      <c r="C7" s="585"/>
      <c r="D7" s="1753">
        <f t="shared" si="0"/>
        <v>318916</v>
      </c>
      <c r="E7" s="585">
        <v>332403</v>
      </c>
      <c r="F7" s="1753">
        <f t="shared" si="1"/>
        <v>332403</v>
      </c>
    </row>
    <row r="8" spans="1:6" ht="13.7" customHeight="1" x14ac:dyDescent="0.2">
      <c r="A8" s="715" t="s">
        <v>1179</v>
      </c>
      <c r="B8" s="1750">
        <f>'Revenues 9-14'!G5</f>
        <v>164384</v>
      </c>
      <c r="C8" s="585"/>
      <c r="D8" s="1753">
        <f t="shared" si="0"/>
        <v>164384</v>
      </c>
      <c r="E8" s="585">
        <v>169229</v>
      </c>
      <c r="F8" s="1753">
        <f t="shared" si="1"/>
        <v>169229</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45151</v>
      </c>
      <c r="C10" s="585"/>
      <c r="D10" s="1753">
        <f t="shared" si="0"/>
        <v>45151</v>
      </c>
      <c r="E10" s="585">
        <v>46495</v>
      </c>
      <c r="F10" s="1753">
        <f t="shared" si="1"/>
        <v>46495</v>
      </c>
    </row>
    <row r="11" spans="1:6" x14ac:dyDescent="0.2">
      <c r="A11" s="715" t="s">
        <v>409</v>
      </c>
      <c r="B11" s="1750">
        <f>'Revenues 9-14'!J5</f>
        <v>91277</v>
      </c>
      <c r="C11" s="585"/>
      <c r="D11" s="1753">
        <f t="shared" si="0"/>
        <v>91277</v>
      </c>
      <c r="E11" s="585">
        <v>93964</v>
      </c>
      <c r="F11" s="1753">
        <f t="shared" si="1"/>
        <v>93964</v>
      </c>
    </row>
    <row r="12" spans="1:6" ht="13.7" customHeight="1" x14ac:dyDescent="0.2">
      <c r="A12" s="715" t="s">
        <v>157</v>
      </c>
      <c r="B12" s="1750">
        <f>'Revenues 9-14'!K5</f>
        <v>4894</v>
      </c>
      <c r="C12" s="585"/>
      <c r="D12" s="1753">
        <f t="shared" si="0"/>
        <v>4894</v>
      </c>
      <c r="E12" s="585">
        <v>5093</v>
      </c>
      <c r="F12" s="1753">
        <f t="shared" si="1"/>
        <v>5093</v>
      </c>
    </row>
    <row r="13" spans="1:6" ht="13.7" customHeight="1" x14ac:dyDescent="0.2">
      <c r="A13" s="715" t="s">
        <v>936</v>
      </c>
      <c r="B13" s="1750">
        <f>SUM('Revenues 9-14'!C6:D6)</f>
        <v>43601</v>
      </c>
      <c r="C13" s="585"/>
      <c r="D13" s="1753">
        <f t="shared" si="0"/>
        <v>43601</v>
      </c>
      <c r="E13" s="585">
        <v>44895</v>
      </c>
      <c r="F13" s="1753">
        <f t="shared" si="1"/>
        <v>44895</v>
      </c>
    </row>
    <row r="14" spans="1:6" ht="13.7" customHeight="1" x14ac:dyDescent="0.2">
      <c r="A14" s="715" t="s">
        <v>410</v>
      </c>
      <c r="B14" s="1750">
        <f>SUM('Revenues 9-14'!C7:D7,'Revenues 9-14'!F7:H7)</f>
        <v>45500</v>
      </c>
      <c r="C14" s="585"/>
      <c r="D14" s="1753">
        <f t="shared" si="0"/>
        <v>45500</v>
      </c>
      <c r="E14" s="585">
        <v>47312</v>
      </c>
      <c r="F14" s="1753">
        <f t="shared" si="1"/>
        <v>47312</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180843</v>
      </c>
      <c r="C16" s="585"/>
      <c r="D16" s="1753">
        <f t="shared" si="0"/>
        <v>180843</v>
      </c>
      <c r="E16" s="585">
        <v>186170</v>
      </c>
      <c r="F16" s="1753">
        <f t="shared" si="1"/>
        <v>186170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3790711</v>
      </c>
      <c r="C19" s="1751">
        <f>SUM(C4:C18)</f>
        <v>0</v>
      </c>
      <c r="D19" s="1751">
        <f>SUM(D4:D18)</f>
        <v>3790711</v>
      </c>
      <c r="E19" s="1751">
        <f>SUM(E4:E18)</f>
        <v>5063978</v>
      </c>
      <c r="F19" s="1751">
        <f>SUM(F4:F18)</f>
        <v>5063978</v>
      </c>
    </row>
    <row r="20" spans="1:6" ht="13.5" thickTop="1" x14ac:dyDescent="0.2">
      <c r="B20" s="713"/>
      <c r="F20" s="716"/>
    </row>
    <row r="21" spans="1:6" x14ac:dyDescent="0.2">
      <c r="A21" s="717" t="s">
        <v>1807</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B12" sqref="B1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629</v>
      </c>
      <c r="B1" s="2202"/>
      <c r="C1" s="721"/>
    </row>
    <row r="2" spans="1:7" ht="33.75" x14ac:dyDescent="0.2">
      <c r="A2" s="2209" t="s">
        <v>1801</v>
      </c>
      <c r="B2" s="2210"/>
      <c r="C2" s="1884" t="s">
        <v>1955</v>
      </c>
      <c r="D2" s="723" t="s">
        <v>1956</v>
      </c>
      <c r="E2" s="723" t="s">
        <v>1957</v>
      </c>
      <c r="F2" s="1884" t="s">
        <v>1958</v>
      </c>
    </row>
    <row r="3" spans="1:7" ht="15.75" customHeight="1" x14ac:dyDescent="0.2">
      <c r="A3" s="2211" t="s">
        <v>1114</v>
      </c>
      <c r="B3" s="2212"/>
      <c r="C3" s="2205"/>
      <c r="D3" s="2206"/>
      <c r="E3" s="2206"/>
      <c r="F3" s="2207"/>
    </row>
    <row r="4" spans="1:7" ht="12.75" customHeight="1" thickBot="1" x14ac:dyDescent="0.25">
      <c r="A4" s="2199" t="s">
        <v>630</v>
      </c>
      <c r="B4" s="2200"/>
      <c r="C4" s="581"/>
      <c r="D4" s="581"/>
      <c r="E4" s="581"/>
      <c r="F4" s="1755">
        <f>SUM(C4+D4)-E4</f>
        <v>0</v>
      </c>
    </row>
    <row r="5" spans="1:7" ht="15.75" customHeight="1" thickTop="1" x14ac:dyDescent="0.2">
      <c r="A5" s="2203" t="s">
        <v>1110</v>
      </c>
      <c r="B5" s="2198"/>
      <c r="C5" s="2192"/>
      <c r="D5" s="2193"/>
      <c r="E5" s="2193"/>
      <c r="F5" s="2194"/>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5" t="s">
        <v>631</v>
      </c>
      <c r="B15" s="2196"/>
      <c r="C15" s="1755">
        <f>SUM(C6:C14)</f>
        <v>0</v>
      </c>
      <c r="D15" s="1755">
        <f>SUM(D6:D14)</f>
        <v>0</v>
      </c>
      <c r="E15" s="1755">
        <f>SUM(E6:E14)</f>
        <v>0</v>
      </c>
      <c r="F15" s="1755">
        <f>SUM(F6:F14)</f>
        <v>0</v>
      </c>
      <c r="G15" s="552"/>
    </row>
    <row r="16" spans="1:7" s="202" customFormat="1" ht="15.75" customHeight="1" thickTop="1" x14ac:dyDescent="0.2">
      <c r="A16" s="2208" t="s">
        <v>1111</v>
      </c>
      <c r="B16" s="2198"/>
      <c r="C16" s="2192"/>
      <c r="D16" s="2193"/>
      <c r="E16" s="2193"/>
      <c r="F16" s="2194"/>
    </row>
    <row r="17" spans="1:11" ht="12.75" customHeight="1" thickBot="1" x14ac:dyDescent="0.25">
      <c r="A17" s="2190" t="s">
        <v>64</v>
      </c>
      <c r="B17" s="2191"/>
      <c r="C17" s="726"/>
      <c r="D17" s="585"/>
      <c r="E17" s="726"/>
      <c r="F17" s="1755">
        <f>SUM(C17+D17)-E17</f>
        <v>0</v>
      </c>
    </row>
    <row r="18" spans="1:11" ht="12.75" customHeight="1" thickTop="1" thickBot="1" x14ac:dyDescent="0.25">
      <c r="A18" s="2190" t="s">
        <v>6</v>
      </c>
      <c r="B18" s="2191"/>
      <c r="C18" s="726"/>
      <c r="D18" s="585"/>
      <c r="E18" s="726"/>
      <c r="F18" s="1755">
        <f>SUM(C18+D18)-E18</f>
        <v>0</v>
      </c>
    </row>
    <row r="19" spans="1:11" ht="12.75" customHeight="1" thickTop="1" thickBot="1" x14ac:dyDescent="0.25">
      <c r="A19" s="2190" t="s">
        <v>388</v>
      </c>
      <c r="B19" s="2191"/>
      <c r="C19" s="726"/>
      <c r="D19" s="585"/>
      <c r="E19" s="726"/>
      <c r="F19" s="1755">
        <f>SUM(C19+D19)-E19</f>
        <v>0</v>
      </c>
    </row>
    <row r="20" spans="1:11" ht="12.75" customHeight="1" thickTop="1" thickBot="1" x14ac:dyDescent="0.25">
      <c r="A20" s="2190" t="s">
        <v>448</v>
      </c>
      <c r="B20" s="2191"/>
      <c r="C20" s="726"/>
      <c r="D20" s="585"/>
      <c r="E20" s="726"/>
      <c r="F20" s="1755">
        <f>SUM(C20+D20)-E20</f>
        <v>0</v>
      </c>
    </row>
    <row r="21" spans="1:11" ht="14.25" thickTop="1" thickBot="1" x14ac:dyDescent="0.25">
      <c r="A21" s="2195" t="s">
        <v>632</v>
      </c>
      <c r="B21" s="2196"/>
      <c r="C21" s="1755">
        <f>SUM(C17:C20)</f>
        <v>0</v>
      </c>
      <c r="D21" s="1755">
        <f>SUM(D17:D20)</f>
        <v>0</v>
      </c>
      <c r="E21" s="1755">
        <f>SUM(E17:E20)</f>
        <v>0</v>
      </c>
      <c r="F21" s="1755">
        <f>SUM(F17:F20)</f>
        <v>0</v>
      </c>
      <c r="G21" s="552"/>
    </row>
    <row r="22" spans="1:11" ht="15.75" customHeight="1" thickTop="1" x14ac:dyDescent="0.2">
      <c r="A22" s="2197" t="s">
        <v>1112</v>
      </c>
      <c r="B22" s="2198"/>
      <c r="C22" s="2192"/>
      <c r="D22" s="2193"/>
      <c r="E22" s="2193"/>
      <c r="F22" s="2194"/>
    </row>
    <row r="23" spans="1:11" ht="13.5" thickBot="1" x14ac:dyDescent="0.25">
      <c r="A23" s="2199" t="s">
        <v>633</v>
      </c>
      <c r="B23" s="2200"/>
      <c r="C23" s="581"/>
      <c r="D23" s="581"/>
      <c r="E23" s="581"/>
      <c r="F23" s="1755">
        <f>SUM(C23+D23)-E23</f>
        <v>0</v>
      </c>
      <c r="G23" s="552"/>
    </row>
    <row r="24" spans="1:11" ht="15.75" customHeight="1" thickTop="1" x14ac:dyDescent="0.2">
      <c r="A24" s="2197" t="s">
        <v>1113</v>
      </c>
      <c r="B24" s="2198"/>
      <c r="C24" s="2192"/>
      <c r="D24" s="2193"/>
      <c r="E24" s="2193"/>
      <c r="F24" s="2194"/>
    </row>
    <row r="25" spans="1:11" ht="13.5" thickBot="1" x14ac:dyDescent="0.25">
      <c r="A25" s="2199" t="s">
        <v>634</v>
      </c>
      <c r="B25" s="2200"/>
      <c r="C25" s="581"/>
      <c r="D25" s="581"/>
      <c r="E25" s="581"/>
      <c r="F25" s="1755">
        <f>SUM(C25+D25)-E25</f>
        <v>0</v>
      </c>
      <c r="G25" s="552"/>
    </row>
    <row r="26" spans="1:11" ht="15.75" customHeight="1" thickTop="1" x14ac:dyDescent="0.2">
      <c r="A26" s="2203" t="s">
        <v>657</v>
      </c>
      <c r="B26" s="2198"/>
      <c r="C26" s="727"/>
      <c r="D26" s="727"/>
      <c r="E26" s="727"/>
      <c r="F26" s="728"/>
    </row>
    <row r="27" spans="1:11" ht="13.5" thickBot="1" x14ac:dyDescent="0.25">
      <c r="A27" s="2195" t="s">
        <v>1070</v>
      </c>
      <c r="B27" s="2196"/>
      <c r="C27" s="585"/>
      <c r="D27" s="585"/>
      <c r="E27" s="585"/>
      <c r="F27" s="1755">
        <f>SUM(C27+D27)-E27</f>
        <v>0</v>
      </c>
      <c r="G27" s="552"/>
    </row>
    <row r="28" spans="1:11" ht="7.5" customHeight="1" thickTop="1" x14ac:dyDescent="0.2">
      <c r="A28" s="593"/>
    </row>
    <row r="29" spans="1:11" ht="23.25" customHeight="1" x14ac:dyDescent="0.2">
      <c r="A29" s="2201" t="s">
        <v>582</v>
      </c>
      <c r="B29" s="2202"/>
      <c r="C29" s="729"/>
      <c r="D29" s="729"/>
      <c r="E29" s="729"/>
      <c r="F29" s="729"/>
      <c r="G29" s="729"/>
      <c r="H29" s="729"/>
      <c r="I29" s="729"/>
      <c r="J29" s="729"/>
    </row>
    <row r="30" spans="1:11" ht="33.75" x14ac:dyDescent="0.2">
      <c r="A30" s="1529" t="s">
        <v>1071</v>
      </c>
      <c r="B30" s="730" t="s">
        <v>1124</v>
      </c>
      <c r="C30" s="1885" t="s">
        <v>583</v>
      </c>
      <c r="D30" s="1885" t="s">
        <v>1673</v>
      </c>
      <c r="E30" s="1885" t="s">
        <v>1959</v>
      </c>
      <c r="F30" s="1885" t="s">
        <v>1960</v>
      </c>
      <c r="G30" s="1885" t="s">
        <v>1910</v>
      </c>
      <c r="H30" s="1885" t="s">
        <v>1961</v>
      </c>
      <c r="I30" s="1885" t="s">
        <v>1962</v>
      </c>
      <c r="J30" s="1886" t="s">
        <v>2</v>
      </c>
      <c r="K30" s="731"/>
    </row>
    <row r="31" spans="1:11" ht="12" customHeight="1" x14ac:dyDescent="0.2">
      <c r="A31" s="732" t="s">
        <v>2082</v>
      </c>
      <c r="B31" s="733"/>
      <c r="C31" s="734"/>
      <c r="D31" s="735"/>
      <c r="E31" s="734"/>
      <c r="F31" s="734"/>
      <c r="G31" s="734"/>
      <c r="H31" s="734"/>
      <c r="I31" s="1756">
        <f>((E31+F31)-H31)+G31</f>
        <v>0</v>
      </c>
      <c r="J31" s="734"/>
      <c r="K31" s="736"/>
    </row>
    <row r="32" spans="1:11" ht="12" customHeight="1" x14ac:dyDescent="0.2">
      <c r="A32" s="732" t="s">
        <v>2083</v>
      </c>
      <c r="B32" s="733">
        <v>41304</v>
      </c>
      <c r="C32" s="734">
        <v>3545185</v>
      </c>
      <c r="D32" s="735"/>
      <c r="E32" s="734">
        <v>1835180</v>
      </c>
      <c r="F32" s="734"/>
      <c r="G32" s="734"/>
      <c r="H32" s="734"/>
      <c r="I32" s="1756">
        <f>((E32+F32)-H32)+G32</f>
        <v>1835180</v>
      </c>
      <c r="J32" s="734">
        <v>1835180</v>
      </c>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t="s">
        <v>2084</v>
      </c>
      <c r="B34" s="733"/>
      <c r="C34" s="734"/>
      <c r="D34" s="735"/>
      <c r="E34" s="734"/>
      <c r="F34" s="734"/>
      <c r="G34" s="734"/>
      <c r="H34" s="734"/>
      <c r="I34" s="1756">
        <f t="shared" si="1"/>
        <v>0</v>
      </c>
      <c r="J34" s="734"/>
      <c r="K34" s="737"/>
    </row>
    <row r="35" spans="1:11" ht="12" customHeight="1" x14ac:dyDescent="0.2">
      <c r="A35" s="732" t="s">
        <v>2085</v>
      </c>
      <c r="B35" s="733">
        <v>42302</v>
      </c>
      <c r="C35" s="738">
        <v>7730000</v>
      </c>
      <c r="D35" s="735" t="s">
        <v>2086</v>
      </c>
      <c r="E35" s="738">
        <v>7150000</v>
      </c>
      <c r="F35" s="738"/>
      <c r="G35" s="738"/>
      <c r="H35" s="738">
        <v>405000</v>
      </c>
      <c r="I35" s="1756">
        <f t="shared" si="1"/>
        <v>6745000</v>
      </c>
      <c r="J35" s="738">
        <v>6745000</v>
      </c>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t="s">
        <v>2087</v>
      </c>
      <c r="B37" s="733">
        <v>43020</v>
      </c>
      <c r="C37" s="467"/>
      <c r="D37" s="740">
        <v>3</v>
      </c>
      <c r="E37" s="467">
        <v>1585000</v>
      </c>
      <c r="F37" s="467"/>
      <c r="G37" s="467"/>
      <c r="H37" s="467"/>
      <c r="I37" s="1756">
        <f t="shared" si="1"/>
        <v>1585000</v>
      </c>
      <c r="J37" s="467">
        <v>1585000</v>
      </c>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t="s">
        <v>2087</v>
      </c>
      <c r="B39" s="733">
        <v>43020</v>
      </c>
      <c r="C39" s="734"/>
      <c r="D39" s="741">
        <v>1</v>
      </c>
      <c r="E39" s="742">
        <v>2050000</v>
      </c>
      <c r="F39" s="742"/>
      <c r="G39" s="742"/>
      <c r="H39" s="742">
        <v>715000</v>
      </c>
      <c r="I39" s="1756">
        <f t="shared" si="1"/>
        <v>1335000</v>
      </c>
      <c r="J39" s="743">
        <f>1335000-578521</f>
        <v>756479</v>
      </c>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11275185</v>
      </c>
      <c r="D49" s="745"/>
      <c r="E49" s="1756">
        <f t="shared" ref="E49:J49" si="2">SUM(E31:E48)</f>
        <v>12620180</v>
      </c>
      <c r="F49" s="1756">
        <f t="shared" si="2"/>
        <v>0</v>
      </c>
      <c r="G49" s="1756">
        <f t="shared" si="2"/>
        <v>0</v>
      </c>
      <c r="H49" s="1756">
        <f t="shared" si="2"/>
        <v>1120000</v>
      </c>
      <c r="I49" s="1756">
        <f t="shared" si="2"/>
        <v>11500180</v>
      </c>
      <c r="J49" s="1756">
        <f t="shared" si="2"/>
        <v>10921659</v>
      </c>
      <c r="K49" s="737"/>
    </row>
    <row r="50" spans="1:11" ht="6" customHeight="1" x14ac:dyDescent="0.2">
      <c r="A50" s="746"/>
      <c r="B50" s="736"/>
      <c r="C50" s="736"/>
      <c r="D50" s="736"/>
      <c r="E50" s="736"/>
      <c r="F50" s="736"/>
      <c r="G50" s="736"/>
      <c r="H50" s="736"/>
      <c r="I50" s="736"/>
      <c r="J50" s="746"/>
    </row>
    <row r="51" spans="1:11" x14ac:dyDescent="0.2">
      <c r="A51" s="747" t="s">
        <v>1806</v>
      </c>
      <c r="B51" s="746"/>
      <c r="C51" s="737"/>
      <c r="D51" s="737"/>
      <c r="E51" s="737"/>
      <c r="F51" s="737"/>
      <c r="G51" s="737"/>
      <c r="H51" s="736"/>
      <c r="I51" s="736"/>
      <c r="J51" s="746"/>
    </row>
    <row r="52" spans="1:11" ht="11.25" customHeight="1" x14ac:dyDescent="0.2">
      <c r="A52" s="748" t="s">
        <v>912</v>
      </c>
      <c r="B52" s="2184" t="s">
        <v>584</v>
      </c>
      <c r="C52" s="2185"/>
      <c r="D52" s="2185"/>
      <c r="E52" s="749" t="s">
        <v>845</v>
      </c>
      <c r="F52" s="2186"/>
      <c r="G52" s="2187"/>
      <c r="H52" s="736"/>
      <c r="I52" s="736"/>
      <c r="J52" s="746"/>
    </row>
    <row r="53" spans="1:11" ht="11.25" customHeight="1" x14ac:dyDescent="0.2">
      <c r="A53" s="750" t="s">
        <v>913</v>
      </c>
      <c r="B53" s="751" t="s">
        <v>951</v>
      </c>
      <c r="C53" s="746"/>
      <c r="D53" s="737"/>
      <c r="E53" s="749" t="s">
        <v>497</v>
      </c>
      <c r="F53" s="2188"/>
      <c r="G53" s="2189"/>
      <c r="H53" s="736"/>
      <c r="I53" s="736"/>
      <c r="J53" s="746"/>
    </row>
    <row r="54" spans="1:11" ht="11.25" customHeight="1" x14ac:dyDescent="0.2">
      <c r="A54" s="752" t="s">
        <v>914</v>
      </c>
      <c r="B54" s="747" t="s">
        <v>952</v>
      </c>
      <c r="C54" s="746"/>
      <c r="D54" s="737"/>
      <c r="E54" s="749" t="s">
        <v>498</v>
      </c>
      <c r="F54" s="2188"/>
      <c r="G54" s="218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B12" sqref="B1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3" t="s">
        <v>856</v>
      </c>
      <c r="B1" s="2214"/>
      <c r="C1" s="2214"/>
      <c r="D1" s="2214"/>
      <c r="E1" s="2214"/>
      <c r="F1" s="2214"/>
      <c r="G1" s="2215"/>
      <c r="H1" s="1530"/>
      <c r="I1" s="760"/>
      <c r="J1" s="433"/>
    </row>
    <row r="2" spans="1:11" ht="26.25" x14ac:dyDescent="0.2">
      <c r="A2" s="2232" t="s">
        <v>1677</v>
      </c>
      <c r="B2" s="2233"/>
      <c r="C2" s="2233"/>
      <c r="D2" s="2233"/>
      <c r="E2" s="2234"/>
      <c r="F2" s="761" t="s">
        <v>904</v>
      </c>
      <c r="G2" s="762" t="s">
        <v>1674</v>
      </c>
      <c r="H2" s="762" t="s">
        <v>410</v>
      </c>
      <c r="I2" s="762" t="s">
        <v>1158</v>
      </c>
      <c r="J2" s="762" t="s">
        <v>1811</v>
      </c>
      <c r="K2" s="762" t="s">
        <v>138</v>
      </c>
    </row>
    <row r="3" spans="1:11" x14ac:dyDescent="0.2">
      <c r="A3" s="2235" t="s">
        <v>1963</v>
      </c>
      <c r="B3" s="2236"/>
      <c r="C3" s="2236"/>
      <c r="D3" s="2236"/>
      <c r="E3" s="2237"/>
      <c r="F3" s="763"/>
      <c r="G3" s="764"/>
      <c r="H3" s="764"/>
      <c r="I3" s="764"/>
      <c r="J3" s="765"/>
      <c r="K3" s="765"/>
    </row>
    <row r="4" spans="1:11" x14ac:dyDescent="0.2">
      <c r="A4" s="2238" t="s">
        <v>369</v>
      </c>
      <c r="B4" s="2239"/>
      <c r="C4" s="2239"/>
      <c r="D4" s="2239"/>
      <c r="E4" s="2185"/>
      <c r="F4" s="766"/>
      <c r="G4" s="767"/>
      <c r="H4" s="768"/>
      <c r="I4" s="767"/>
      <c r="J4" s="769"/>
      <c r="K4" s="769"/>
    </row>
    <row r="5" spans="1:11" x14ac:dyDescent="0.2">
      <c r="A5" s="2216" t="s">
        <v>1069</v>
      </c>
      <c r="B5" s="2217"/>
      <c r="C5" s="2217"/>
      <c r="D5" s="2217"/>
      <c r="E5" s="2218"/>
      <c r="F5" s="770" t="s">
        <v>848</v>
      </c>
      <c r="G5" s="771"/>
      <c r="H5" s="764">
        <v>45500</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3225</v>
      </c>
    </row>
    <row r="8" spans="1:11" x14ac:dyDescent="0.2">
      <c r="A8" s="778" t="s">
        <v>345</v>
      </c>
      <c r="B8" s="779"/>
      <c r="C8" s="779"/>
      <c r="D8" s="779"/>
      <c r="E8" s="780"/>
      <c r="F8" s="770" t="s">
        <v>851</v>
      </c>
      <c r="G8" s="782"/>
      <c r="H8" s="782"/>
      <c r="I8" s="782"/>
      <c r="J8" s="765">
        <v>818587</v>
      </c>
      <c r="K8" s="769"/>
    </row>
    <row r="9" spans="1:11" x14ac:dyDescent="0.2">
      <c r="A9" s="778" t="s">
        <v>138</v>
      </c>
      <c r="B9" s="779"/>
      <c r="C9" s="779"/>
      <c r="D9" s="779"/>
      <c r="E9" s="780"/>
      <c r="F9" s="777" t="s">
        <v>853</v>
      </c>
      <c r="G9" s="782"/>
      <c r="H9" s="771"/>
      <c r="I9" s="771"/>
      <c r="J9" s="781"/>
      <c r="K9" s="765"/>
    </row>
    <row r="10" spans="1:11" x14ac:dyDescent="0.2">
      <c r="A10" s="2216" t="s">
        <v>1812</v>
      </c>
      <c r="B10" s="2217"/>
      <c r="C10" s="2217"/>
      <c r="D10" s="2217"/>
      <c r="E10" s="2219"/>
      <c r="F10" s="783" t="s">
        <v>862</v>
      </c>
      <c r="G10" s="782"/>
      <c r="H10" s="784"/>
      <c r="I10" s="764"/>
      <c r="J10" s="765"/>
      <c r="K10" s="765"/>
    </row>
    <row r="11" spans="1:11" x14ac:dyDescent="0.2">
      <c r="A11" s="2216" t="s">
        <v>160</v>
      </c>
      <c r="B11" s="2217"/>
      <c r="C11" s="2217"/>
      <c r="D11" s="2217"/>
      <c r="E11" s="2218"/>
      <c r="F11" s="770" t="s">
        <v>852</v>
      </c>
      <c r="G11" s="771"/>
      <c r="H11" s="764"/>
      <c r="I11" s="764"/>
      <c r="J11" s="765"/>
      <c r="K11" s="773"/>
    </row>
    <row r="12" spans="1:11" ht="13.5" thickBot="1" x14ac:dyDescent="0.25">
      <c r="A12" s="2243" t="s">
        <v>905</v>
      </c>
      <c r="B12" s="2244"/>
      <c r="C12" s="2244"/>
      <c r="D12" s="2244"/>
      <c r="E12" s="2245"/>
      <c r="F12" s="1757"/>
      <c r="G12" s="1758">
        <f>SUM(G5:G11)</f>
        <v>0</v>
      </c>
      <c r="H12" s="1758">
        <f>SUM(H5:H11)</f>
        <v>45500</v>
      </c>
      <c r="I12" s="1758">
        <f>SUM(I5:I11)</f>
        <v>0</v>
      </c>
      <c r="J12" s="1758">
        <f>SUM(J5:J11)</f>
        <v>818587</v>
      </c>
      <c r="K12" s="1758">
        <f>SUM(K5:K11)</f>
        <v>3225</v>
      </c>
    </row>
    <row r="13" spans="1:11" ht="13.5" thickTop="1" x14ac:dyDescent="0.2">
      <c r="A13" s="2240" t="s">
        <v>370</v>
      </c>
      <c r="B13" s="2241"/>
      <c r="C13" s="2241"/>
      <c r="D13" s="2241"/>
      <c r="E13" s="2242"/>
      <c r="F13" s="785"/>
      <c r="G13" s="786"/>
      <c r="H13" s="787"/>
      <c r="I13" s="788"/>
      <c r="J13" s="788"/>
      <c r="K13" s="788"/>
    </row>
    <row r="14" spans="1:11" x14ac:dyDescent="0.2">
      <c r="A14" s="2223" t="s">
        <v>456</v>
      </c>
      <c r="B14" s="2223"/>
      <c r="C14" s="2223"/>
      <c r="D14" s="2223"/>
      <c r="E14" s="2224"/>
      <c r="F14" s="789" t="s">
        <v>854</v>
      </c>
      <c r="G14" s="782"/>
      <c r="H14" s="764">
        <v>45500</v>
      </c>
      <c r="I14" s="771"/>
      <c r="J14" s="773"/>
      <c r="K14" s="765">
        <v>3225</v>
      </c>
    </row>
    <row r="15" spans="1:11" x14ac:dyDescent="0.2">
      <c r="A15" s="2217" t="s">
        <v>4</v>
      </c>
      <c r="B15" s="2217"/>
      <c r="C15" s="2217"/>
      <c r="D15" s="2217"/>
      <c r="E15" s="2218"/>
      <c r="F15" s="789" t="s">
        <v>855</v>
      </c>
      <c r="G15" s="771"/>
      <c r="H15" s="764"/>
      <c r="I15" s="764"/>
      <c r="J15" s="765">
        <v>1625</v>
      </c>
      <c r="K15" s="765"/>
    </row>
    <row r="16" spans="1:11" x14ac:dyDescent="0.2">
      <c r="A16" s="2217" t="s">
        <v>298</v>
      </c>
      <c r="B16" s="2217"/>
      <c r="C16" s="2217"/>
      <c r="D16" s="2217"/>
      <c r="E16" s="2218"/>
      <c r="F16" s="789" t="s">
        <v>923</v>
      </c>
      <c r="G16" s="772"/>
      <c r="H16" s="767"/>
      <c r="I16" s="767"/>
      <c r="J16" s="769"/>
      <c r="K16" s="769"/>
    </row>
    <row r="17" spans="1:11" x14ac:dyDescent="0.2">
      <c r="A17" s="2248" t="s">
        <v>935</v>
      </c>
      <c r="B17" s="2248"/>
      <c r="C17" s="2248"/>
      <c r="D17" s="2248"/>
      <c r="E17" s="2249"/>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25" t="s">
        <v>1808</v>
      </c>
      <c r="B19" s="2225"/>
      <c r="C19" s="2225"/>
      <c r="D19" s="2225"/>
      <c r="E19" s="2226"/>
      <c r="F19" s="789" t="s">
        <v>933</v>
      </c>
      <c r="G19" s="782"/>
      <c r="H19" s="782"/>
      <c r="I19" s="782"/>
      <c r="J19" s="765">
        <v>663263</v>
      </c>
      <c r="K19" s="795"/>
    </row>
    <row r="20" spans="1:11" x14ac:dyDescent="0.2">
      <c r="A20" s="2227" t="s">
        <v>1813</v>
      </c>
      <c r="B20" s="2228"/>
      <c r="C20" s="2228"/>
      <c r="D20" s="2228"/>
      <c r="E20" s="2229"/>
      <c r="F20" s="789" t="s">
        <v>934</v>
      </c>
      <c r="G20" s="782"/>
      <c r="H20" s="782"/>
      <c r="I20" s="782"/>
      <c r="J20" s="765"/>
      <c r="K20" s="795"/>
    </row>
    <row r="21" spans="1:11" ht="13.5" thickBot="1" x14ac:dyDescent="0.25">
      <c r="A21" s="2246" t="s">
        <v>638</v>
      </c>
      <c r="B21" s="2246"/>
      <c r="C21" s="2246"/>
      <c r="D21" s="2246"/>
      <c r="E21" s="2246"/>
      <c r="F21" s="1759"/>
      <c r="G21" s="792"/>
      <c r="H21" s="796"/>
      <c r="I21" s="796"/>
      <c r="J21" s="1760">
        <f>SUM(J18:J20)</f>
        <v>663263</v>
      </c>
      <c r="K21" s="793"/>
    </row>
    <row r="22" spans="1:11" ht="13.5" thickTop="1" x14ac:dyDescent="0.2">
      <c r="A22" s="2217" t="s">
        <v>1814</v>
      </c>
      <c r="B22" s="2217"/>
      <c r="C22" s="2217"/>
      <c r="D22" s="2217"/>
      <c r="E22" s="2218"/>
      <c r="F22" s="789" t="s">
        <v>862</v>
      </c>
      <c r="G22" s="782"/>
      <c r="H22" s="764"/>
      <c r="I22" s="764"/>
      <c r="J22" s="797"/>
      <c r="K22" s="765"/>
    </row>
    <row r="23" spans="1:11" ht="13.5" thickBot="1" x14ac:dyDescent="0.25">
      <c r="A23" s="2247" t="s">
        <v>906</v>
      </c>
      <c r="B23" s="2246"/>
      <c r="C23" s="2246"/>
      <c r="D23" s="2246"/>
      <c r="E23" s="2246"/>
      <c r="F23" s="1761"/>
      <c r="G23" s="1758">
        <f>SUM(G14:G16,G21,G22)</f>
        <v>0</v>
      </c>
      <c r="H23" s="1758">
        <f>SUM(H14:H16,H21,H22)</f>
        <v>45500</v>
      </c>
      <c r="I23" s="1758">
        <f>SUM(I14:I16,I21,I22)</f>
        <v>0</v>
      </c>
      <c r="J23" s="1758">
        <f>SUM(J14:J16,J21,J22)</f>
        <v>664888</v>
      </c>
      <c r="K23" s="1758">
        <f>SUM(K14:K16,K21,K22)</f>
        <v>3225</v>
      </c>
    </row>
    <row r="24" spans="1:11" ht="14.25" thickTop="1" thickBot="1" x14ac:dyDescent="0.25">
      <c r="A24" s="2247" t="s">
        <v>1964</v>
      </c>
      <c r="B24" s="2246"/>
      <c r="C24" s="2246"/>
      <c r="D24" s="2246"/>
      <c r="E24" s="2246"/>
      <c r="F24" s="1762"/>
      <c r="G24" s="1763">
        <f>SUM(G3,G12)-G23</f>
        <v>0</v>
      </c>
      <c r="H24" s="1763">
        <f>SUM(H3,H12)-H23</f>
        <v>0</v>
      </c>
      <c r="I24" s="1763">
        <f>SUM(I3,I12)-I23</f>
        <v>0</v>
      </c>
      <c r="J24" s="1763">
        <f>SUM(J3,J12)-J23</f>
        <v>153699</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153699</v>
      </c>
      <c r="K26" s="1758">
        <f>K24-K25</f>
        <v>0</v>
      </c>
    </row>
    <row r="27" spans="1:11" ht="5.25" customHeight="1" thickTop="1" x14ac:dyDescent="0.2">
      <c r="I27" s="202"/>
      <c r="J27" s="202"/>
    </row>
    <row r="28" spans="1:11" ht="29.25" customHeight="1" x14ac:dyDescent="0.2">
      <c r="A28" s="1880" t="s">
        <v>1909</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0"/>
      <c r="I31" s="2221"/>
      <c r="J31" s="2221"/>
      <c r="K31" s="2221"/>
    </row>
    <row r="32" spans="1:11" x14ac:dyDescent="0.2">
      <c r="A32" s="809"/>
      <c r="B32" s="237"/>
      <c r="C32" s="237"/>
      <c r="D32" s="237"/>
      <c r="E32" s="805"/>
      <c r="F32" s="811" t="s">
        <v>540</v>
      </c>
      <c r="G32" s="764"/>
      <c r="H32" s="2222"/>
      <c r="I32" s="2221"/>
      <c r="J32" s="2221"/>
      <c r="K32" s="2221"/>
    </row>
    <row r="33" spans="1:11" ht="1.5" customHeight="1" x14ac:dyDescent="0.2">
      <c r="A33" s="812" t="s">
        <v>1169</v>
      </c>
      <c r="B33" s="364"/>
      <c r="C33" s="364"/>
      <c r="D33" s="364"/>
      <c r="E33" s="364"/>
      <c r="F33" s="364"/>
      <c r="G33" s="813"/>
      <c r="H33" s="2222"/>
      <c r="I33" s="2221"/>
      <c r="J33" s="2221"/>
      <c r="K33" s="2221"/>
    </row>
    <row r="34" spans="1:11" x14ac:dyDescent="0.2">
      <c r="A34" s="814" t="s">
        <v>1815</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7" t="s">
        <v>541</v>
      </c>
      <c r="B41" s="2230"/>
      <c r="C41" s="2230"/>
      <c r="D41" s="2230"/>
      <c r="E41" s="2230"/>
      <c r="F41" s="2231"/>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1809</v>
      </c>
      <c r="B46" s="408" t="s">
        <v>1675</v>
      </c>
    </row>
    <row r="47" spans="1:11" s="823" customFormat="1" ht="12.75" customHeight="1" x14ac:dyDescent="0.2">
      <c r="A47" s="821"/>
      <c r="B47" s="822" t="s">
        <v>1676</v>
      </c>
      <c r="E47" s="822"/>
      <c r="K47" s="824"/>
    </row>
    <row r="48" spans="1:11" ht="12.75" customHeight="1" x14ac:dyDescent="0.2">
      <c r="A48" s="1532" t="s">
        <v>1810</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B12" sqref="B1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1908</v>
      </c>
      <c r="B1" s="2253"/>
      <c r="C1" s="2254"/>
      <c r="D1" s="826"/>
      <c r="E1" s="827"/>
      <c r="F1" s="827"/>
      <c r="G1" s="828"/>
      <c r="H1" s="829"/>
      <c r="I1" s="830"/>
      <c r="J1" s="2250"/>
      <c r="K1" s="2251"/>
      <c r="L1" s="2251"/>
    </row>
    <row r="2" spans="1:14" ht="69.75" customHeight="1" x14ac:dyDescent="0.2">
      <c r="A2" s="831" t="s">
        <v>1678</v>
      </c>
      <c r="B2" s="832" t="s">
        <v>378</v>
      </c>
      <c r="C2" s="833" t="s">
        <v>1965</v>
      </c>
      <c r="D2" s="833" t="s">
        <v>1966</v>
      </c>
      <c r="E2" s="833" t="s">
        <v>1967</v>
      </c>
      <c r="F2" s="833" t="s">
        <v>1968</v>
      </c>
      <c r="G2" s="833" t="s">
        <v>605</v>
      </c>
      <c r="H2" s="833" t="s">
        <v>1969</v>
      </c>
      <c r="I2" s="833" t="s">
        <v>1970</v>
      </c>
      <c r="J2" s="833" t="s">
        <v>1971</v>
      </c>
      <c r="K2" s="833" t="s">
        <v>1972</v>
      </c>
      <c r="L2" s="833" t="s">
        <v>1973</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213439</v>
      </c>
      <c r="D5" s="841"/>
      <c r="E5" s="841"/>
      <c r="F5" s="1760">
        <f>(C5+D5)-E5</f>
        <v>213439</v>
      </c>
      <c r="G5" s="837"/>
      <c r="H5" s="842"/>
      <c r="I5" s="842"/>
      <c r="J5" s="842"/>
      <c r="K5" s="793"/>
      <c r="L5" s="1769">
        <f>F5-K5</f>
        <v>213439</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29983745</v>
      </c>
      <c r="D8" s="844">
        <v>75809</v>
      </c>
      <c r="E8" s="844"/>
      <c r="F8" s="1760">
        <f>(C8+D8)-E8</f>
        <v>30059554</v>
      </c>
      <c r="G8" s="843">
        <v>50</v>
      </c>
      <c r="H8" s="765">
        <v>10347978</v>
      </c>
      <c r="I8" s="765">
        <v>739611</v>
      </c>
      <c r="J8" s="765"/>
      <c r="K8" s="1769">
        <f>(H8+I8)-J8</f>
        <v>11087589</v>
      </c>
      <c r="L8" s="1769">
        <f>F8-K8</f>
        <v>18971965</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789017</v>
      </c>
      <c r="D10" s="846"/>
      <c r="E10" s="846"/>
      <c r="F10" s="1764">
        <f>(C10+D10)-E10</f>
        <v>789017</v>
      </c>
      <c r="G10" s="843">
        <v>20</v>
      </c>
      <c r="H10" s="847">
        <v>553671</v>
      </c>
      <c r="I10" s="847">
        <v>31610</v>
      </c>
      <c r="J10" s="847"/>
      <c r="K10" s="1769">
        <f>(H10+I10)-J10</f>
        <v>585281</v>
      </c>
      <c r="L10" s="1769">
        <f>F10-K10</f>
        <v>203736</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3064600</v>
      </c>
      <c r="D12" s="844"/>
      <c r="E12" s="844"/>
      <c r="F12" s="1760">
        <f>(C12+D12)-E12</f>
        <v>3064600</v>
      </c>
      <c r="G12" s="843">
        <v>10</v>
      </c>
      <c r="H12" s="765">
        <v>2779384</v>
      </c>
      <c r="I12" s="765">
        <f>57526+1168</f>
        <v>58694</v>
      </c>
      <c r="J12" s="765"/>
      <c r="K12" s="1769">
        <f>(H12+I12)-J12</f>
        <v>2838078</v>
      </c>
      <c r="L12" s="1769">
        <f>F12-K12</f>
        <v>226522</v>
      </c>
    </row>
    <row r="13" spans="1:14" ht="14.25" thickTop="1" thickBot="1" x14ac:dyDescent="0.25">
      <c r="A13" s="848" t="s">
        <v>1122</v>
      </c>
      <c r="B13" s="840">
        <v>252</v>
      </c>
      <c r="C13" s="844">
        <v>54981</v>
      </c>
      <c r="D13" s="844"/>
      <c r="E13" s="844"/>
      <c r="F13" s="1760">
        <f>(C13+D13)-E13</f>
        <v>54981</v>
      </c>
      <c r="G13" s="843">
        <v>5</v>
      </c>
      <c r="H13" s="765">
        <v>54981</v>
      </c>
      <c r="I13" s="765"/>
      <c r="J13" s="765"/>
      <c r="K13" s="1769">
        <f>(H13+I13)-J13</f>
        <v>54981</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34105782</v>
      </c>
      <c r="D16" s="1760">
        <f>SUM(D3,D5:D6,D8:D10,D12:D15)</f>
        <v>75809</v>
      </c>
      <c r="E16" s="1760">
        <f>SUM(E3,E5:E6,E8:E10,E12:E15)</f>
        <v>0</v>
      </c>
      <c r="F16" s="1760">
        <f>SUM(F3,F5:F6,F8:F10,F12:F15)</f>
        <v>34181591</v>
      </c>
      <c r="G16" s="843"/>
      <c r="H16" s="1760">
        <f>SUM(H3,H6,H8:H10,H12:H14,)</f>
        <v>13736014</v>
      </c>
      <c r="I16" s="1760">
        <f>SUM(I3,I6,I8:I10,I12:I14,)</f>
        <v>829915</v>
      </c>
      <c r="J16" s="1760">
        <f>SUM(J3,J6,J8:J10,J12:J14,)</f>
        <v>0</v>
      </c>
      <c r="K16" s="1760">
        <f>(H16+I16)-J16</f>
        <v>14565929</v>
      </c>
      <c r="L16" s="1760">
        <f>F16-K16</f>
        <v>19615662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829915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3" activePane="bottomLeft" state="frozen"/>
      <selection activeCell="B12" sqref="B12"/>
      <selection pane="bottomLeft" activeCell="B12" sqref="B1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1974</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9694696</v>
      </c>
      <c r="G8" s="865"/>
    </row>
    <row r="9" spans="1:7" x14ac:dyDescent="0.2">
      <c r="A9" s="869" t="s">
        <v>460</v>
      </c>
      <c r="B9" s="870" t="s">
        <v>1876</v>
      </c>
      <c r="C9" s="871"/>
      <c r="D9" s="869" t="s">
        <v>501</v>
      </c>
      <c r="E9" s="868"/>
      <c r="F9" s="1909">
        <f>'Expenditures 15-22'!K151</f>
        <v>1337934</v>
      </c>
      <c r="G9" s="872"/>
    </row>
    <row r="10" spans="1:7" x14ac:dyDescent="0.2">
      <c r="A10" s="869" t="s">
        <v>499</v>
      </c>
      <c r="B10" s="870" t="s">
        <v>1877</v>
      </c>
      <c r="C10" s="871"/>
      <c r="D10" s="869" t="s">
        <v>501</v>
      </c>
      <c r="E10" s="868"/>
      <c r="F10" s="1909">
        <f>'Expenditures 15-22'!K174</f>
        <v>1476079</v>
      </c>
      <c r="G10" s="872"/>
    </row>
    <row r="11" spans="1:7" x14ac:dyDescent="0.2">
      <c r="A11" s="869" t="s">
        <v>461</v>
      </c>
      <c r="B11" s="870" t="s">
        <v>1878</v>
      </c>
      <c r="C11" s="871"/>
      <c r="D11" s="869" t="s">
        <v>501</v>
      </c>
      <c r="E11" s="868"/>
      <c r="F11" s="1909">
        <f>'Expenditures 15-22'!K210</f>
        <v>1057200</v>
      </c>
      <c r="G11" s="872"/>
    </row>
    <row r="12" spans="1:7" x14ac:dyDescent="0.2">
      <c r="A12" s="869" t="s">
        <v>462</v>
      </c>
      <c r="B12" s="870" t="s">
        <v>1879</v>
      </c>
      <c r="C12" s="871"/>
      <c r="D12" s="869" t="s">
        <v>501</v>
      </c>
      <c r="E12" s="868"/>
      <c r="F12" s="1909">
        <f>'Expenditures 15-22'!K295</f>
        <v>361485</v>
      </c>
      <c r="G12" s="872"/>
    </row>
    <row r="13" spans="1:7" x14ac:dyDescent="0.2">
      <c r="A13" s="869" t="s">
        <v>106</v>
      </c>
      <c r="B13" s="870" t="s">
        <v>1880</v>
      </c>
      <c r="C13" s="871"/>
      <c r="D13" s="869" t="s">
        <v>501</v>
      </c>
      <c r="E13" s="868"/>
      <c r="F13" s="1909">
        <f>'Expenditures 15-22'!K342</f>
        <v>91414</v>
      </c>
      <c r="G13" s="873"/>
    </row>
    <row r="14" spans="1:7" ht="12" customHeight="1" thickBot="1" x14ac:dyDescent="0.25">
      <c r="A14" s="1770"/>
      <c r="B14" s="1771"/>
      <c r="C14" s="1772"/>
      <c r="D14" s="1773" t="s">
        <v>501</v>
      </c>
      <c r="E14" s="1774" t="s">
        <v>958</v>
      </c>
      <c r="F14" s="1775">
        <f>SUM(F8:F13)</f>
        <v>14018808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1998</v>
      </c>
      <c r="C30" s="880">
        <f>'Revenues 9-14'!B150</f>
        <v>3499</v>
      </c>
      <c r="D30" s="881" t="str">
        <f>'Revenues 9-14'!A150</f>
        <v>Adult Ed - Other (Describe &amp; Itemize)</v>
      </c>
      <c r="E30" s="868"/>
      <c r="F30" s="1914">
        <f>('Revenues 9-14'!D150+'Revenues 9-14'!F150)</f>
        <v>0</v>
      </c>
      <c r="G30" s="865"/>
    </row>
    <row r="31" spans="1:7" x14ac:dyDescent="0.2">
      <c r="A31" s="869" t="s">
        <v>1097</v>
      </c>
      <c r="B31" s="870" t="s">
        <v>1999</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2000</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2001</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183752</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88276</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31844</v>
      </c>
      <c r="G52" s="865"/>
    </row>
    <row r="53" spans="1:7" x14ac:dyDescent="0.2">
      <c r="A53" s="869" t="s">
        <v>459</v>
      </c>
      <c r="B53" s="869" t="s">
        <v>1475</v>
      </c>
      <c r="C53" s="889">
        <f>'Expenditures 15-22'!B102</f>
        <v>4000</v>
      </c>
      <c r="D53" s="888" t="str">
        <f>'Expenditures 15-22'!A102</f>
        <v>Total Payments to Other Govt Units</v>
      </c>
      <c r="E53" s="868"/>
      <c r="F53" s="1913">
        <f>'Expenditures 15-22'!K102</f>
        <v>994475</v>
      </c>
      <c r="G53" s="865"/>
    </row>
    <row r="54" spans="1:7" x14ac:dyDescent="0.2">
      <c r="A54" s="869" t="s">
        <v>459</v>
      </c>
      <c r="B54" s="869" t="s">
        <v>1476</v>
      </c>
      <c r="C54" s="889" t="s">
        <v>982</v>
      </c>
      <c r="D54" s="885" t="s">
        <v>1095</v>
      </c>
      <c r="E54" s="868"/>
      <c r="F54" s="1913">
        <f>'Expenditures 15-22'!G114</f>
        <v>65932</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1881</v>
      </c>
      <c r="C57" s="889">
        <f>'Expenditures 15-22'!B139</f>
        <v>4000</v>
      </c>
      <c r="D57" s="887" t="str">
        <f>'Expenditures 15-22'!A139</f>
        <v>Total Payments to Other Govt Units</v>
      </c>
      <c r="E57" s="868"/>
      <c r="F57" s="1913">
        <f>'Expenditures 15-22'!K139</f>
        <v>0</v>
      </c>
      <c r="G57" s="865"/>
    </row>
    <row r="58" spans="1:7" x14ac:dyDescent="0.2">
      <c r="A58" s="869" t="s">
        <v>460</v>
      </c>
      <c r="B58" s="869" t="s">
        <v>1882</v>
      </c>
      <c r="C58" s="886" t="s">
        <v>982</v>
      </c>
      <c r="D58" s="885" t="s">
        <v>1095</v>
      </c>
      <c r="E58" s="868"/>
      <c r="F58" s="1915">
        <f>'Expenditures 15-22'!G151</f>
        <v>57</v>
      </c>
      <c r="G58" s="865"/>
    </row>
    <row r="59" spans="1:7" x14ac:dyDescent="0.2">
      <c r="A59" s="893" t="s">
        <v>460</v>
      </c>
      <c r="B59" s="856" t="s">
        <v>1883</v>
      </c>
      <c r="C59" s="894" t="s">
        <v>982</v>
      </c>
      <c r="D59" s="856" t="s">
        <v>291</v>
      </c>
      <c r="F59" s="1916">
        <f>'Expenditures 15-22'!I151</f>
        <v>0</v>
      </c>
      <c r="G59" s="865"/>
    </row>
    <row r="60" spans="1:7" x14ac:dyDescent="0.2">
      <c r="A60" s="893" t="s">
        <v>499</v>
      </c>
      <c r="B60" s="856" t="s">
        <v>1884</v>
      </c>
      <c r="C60" s="894">
        <v>4000</v>
      </c>
      <c r="D60" s="856" t="s">
        <v>312</v>
      </c>
      <c r="F60" s="1914">
        <f>'Expenditures 15-22'!K160</f>
        <v>0</v>
      </c>
      <c r="G60" s="865"/>
    </row>
    <row r="61" spans="1:7" x14ac:dyDescent="0.2">
      <c r="A61" s="895" t="s">
        <v>499</v>
      </c>
      <c r="B61" s="895" t="s">
        <v>1885</v>
      </c>
      <c r="C61" s="896" t="str">
        <f>'Expenditures 15-22'!B170</f>
        <v>5300</v>
      </c>
      <c r="D61" s="897" t="s">
        <v>311</v>
      </c>
      <c r="E61" s="879"/>
      <c r="F61" s="1913">
        <f>'Expenditures 15-22'!K170</f>
        <v>1120000</v>
      </c>
      <c r="G61" s="865"/>
    </row>
    <row r="62" spans="1:7" x14ac:dyDescent="0.2">
      <c r="A62" s="869" t="s">
        <v>461</v>
      </c>
      <c r="B62" s="869" t="s">
        <v>1886</v>
      </c>
      <c r="C62" s="886">
        <f>'Expenditures 15-22'!B185</f>
        <v>3000</v>
      </c>
      <c r="D62" s="876" t="s">
        <v>449</v>
      </c>
      <c r="E62" s="868"/>
      <c r="F62" s="1913">
        <f>'Expenditures 15-22'!K185-SUM('Expenditures 15-22'!G185,'Expenditures 15-22'!I185)</f>
        <v>0</v>
      </c>
      <c r="G62" s="865"/>
    </row>
    <row r="63" spans="1:7" x14ac:dyDescent="0.2">
      <c r="A63" s="869" t="s">
        <v>461</v>
      </c>
      <c r="B63" s="869" t="s">
        <v>1887</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1888</v>
      </c>
      <c r="C64" s="896" t="str">
        <f>'Expenditures 15-22'!B206</f>
        <v>5300</v>
      </c>
      <c r="D64" s="892" t="s">
        <v>311</v>
      </c>
      <c r="E64" s="868"/>
      <c r="F64" s="1913">
        <f>'Expenditures 15-22'!K206</f>
        <v>0</v>
      </c>
      <c r="G64" s="865"/>
    </row>
    <row r="65" spans="1:8" x14ac:dyDescent="0.2">
      <c r="A65" s="869" t="s">
        <v>461</v>
      </c>
      <c r="B65" s="869" t="s">
        <v>1889</v>
      </c>
      <c r="C65" s="886" t="s">
        <v>982</v>
      </c>
      <c r="D65" s="885" t="s">
        <v>1095</v>
      </c>
      <c r="E65" s="868"/>
      <c r="F65" s="1913">
        <f>'Expenditures 15-22'!G210</f>
        <v>0</v>
      </c>
      <c r="G65" s="865"/>
    </row>
    <row r="66" spans="1:8" x14ac:dyDescent="0.2">
      <c r="A66" s="869" t="s">
        <v>461</v>
      </c>
      <c r="B66" s="869" t="s">
        <v>1890</v>
      </c>
      <c r="C66" s="886" t="s">
        <v>982</v>
      </c>
      <c r="D66" s="885" t="s">
        <v>291</v>
      </c>
      <c r="E66" s="868"/>
      <c r="F66" s="1913">
        <f>'Expenditures 15-22'!I210</f>
        <v>0</v>
      </c>
      <c r="G66" s="865"/>
    </row>
    <row r="67" spans="1:8" x14ac:dyDescent="0.2">
      <c r="A67" s="869" t="s">
        <v>462</v>
      </c>
      <c r="B67" s="869" t="s">
        <v>1891</v>
      </c>
      <c r="C67" s="886" t="str">
        <f>'Expenditures 15-22'!B216</f>
        <v>1125</v>
      </c>
      <c r="D67" s="892" t="str">
        <f>'Expenditures 15-22'!A216</f>
        <v>Pre-K Programs</v>
      </c>
      <c r="E67" s="868"/>
      <c r="F67" s="1913">
        <f>'Expenditures 15-22'!K216</f>
        <v>8594</v>
      </c>
      <c r="G67" s="865"/>
    </row>
    <row r="68" spans="1:8" x14ac:dyDescent="0.2">
      <c r="A68" s="869" t="s">
        <v>462</v>
      </c>
      <c r="B68" s="869" t="s">
        <v>1479</v>
      </c>
      <c r="C68" s="886" t="str">
        <f>'Expenditures 15-22'!B218</f>
        <v>1225</v>
      </c>
      <c r="D68" s="892" t="str">
        <f>'Expenditures 15-22'!A218</f>
        <v>Special Education Programs - Pre-K</v>
      </c>
      <c r="E68" s="868"/>
      <c r="F68" s="1913">
        <f>'Expenditures 15-22'!K218</f>
        <v>3492</v>
      </c>
      <c r="G68" s="865"/>
    </row>
    <row r="69" spans="1:8" x14ac:dyDescent="0.2">
      <c r="A69" s="869" t="s">
        <v>462</v>
      </c>
      <c r="B69" s="869" t="s">
        <v>1892</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1893</v>
      </c>
      <c r="C70" s="886">
        <f>'Expenditures 15-22'!B221</f>
        <v>1300</v>
      </c>
      <c r="D70" s="887" t="str">
        <f>'Expenditures 15-22'!A221</f>
        <v>Adult/Continuing Education Programs</v>
      </c>
      <c r="E70" s="868"/>
      <c r="F70" s="1913">
        <f>'Expenditures 15-22'!K221</f>
        <v>0</v>
      </c>
      <c r="G70" s="865"/>
    </row>
    <row r="71" spans="1:8" x14ac:dyDescent="0.2">
      <c r="A71" s="869" t="s">
        <v>462</v>
      </c>
      <c r="B71" s="869" t="s">
        <v>1894</v>
      </c>
      <c r="C71" s="886">
        <f>'Expenditures 15-22'!B224</f>
        <v>1600</v>
      </c>
      <c r="D71" s="887" t="str">
        <f>'Expenditures 15-22'!A224</f>
        <v>Summer School Programs</v>
      </c>
      <c r="E71" s="868"/>
      <c r="F71" s="1913">
        <f>'Expenditures 15-22'!K224</f>
        <v>0</v>
      </c>
      <c r="G71" s="865"/>
    </row>
    <row r="72" spans="1:8" x14ac:dyDescent="0.2">
      <c r="A72" s="869" t="s">
        <v>462</v>
      </c>
      <c r="B72" s="869" t="s">
        <v>1895</v>
      </c>
      <c r="C72" s="886">
        <f>'Expenditures 15-22'!B280</f>
        <v>3000</v>
      </c>
      <c r="D72" s="876" t="s">
        <v>449</v>
      </c>
      <c r="E72" s="868"/>
      <c r="F72" s="1913">
        <f>'Expenditures 15-22'!K280</f>
        <v>45</v>
      </c>
      <c r="G72" s="865"/>
    </row>
    <row r="73" spans="1:8" x14ac:dyDescent="0.2">
      <c r="A73" s="869" t="s">
        <v>462</v>
      </c>
      <c r="B73" s="869" t="s">
        <v>1896</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1897</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1898</v>
      </c>
      <c r="E76" s="1774" t="s">
        <v>958</v>
      </c>
      <c r="F76" s="1778">
        <f>SUM(F18:F74)</f>
        <v>2496467</v>
      </c>
      <c r="G76" s="865"/>
    </row>
    <row r="77" spans="1:8" s="893" customFormat="1" ht="12" customHeight="1" thickTop="1" thickBot="1" x14ac:dyDescent="0.25">
      <c r="A77" s="1779"/>
      <c r="B77" s="1776"/>
      <c r="C77" s="1772"/>
      <c r="D77" s="1777" t="s">
        <v>1899</v>
      </c>
      <c r="E77" s="1774"/>
      <c r="F77" s="1780">
        <f>(F14-F76)</f>
        <v>11522341</v>
      </c>
      <c r="G77" s="869"/>
    </row>
    <row r="78" spans="1:8" s="893" customFormat="1" ht="12" customHeight="1" thickTop="1" x14ac:dyDescent="0.2">
      <c r="A78" s="1781"/>
      <c r="B78" s="1776"/>
      <c r="C78" s="1772"/>
      <c r="D78" s="1777" t="s">
        <v>2061</v>
      </c>
      <c r="E78" s="1774"/>
      <c r="F78" s="898">
        <v>1059.94</v>
      </c>
      <c r="G78" s="899"/>
      <c r="H78" s="869"/>
    </row>
    <row r="79" spans="1:8" s="893" customFormat="1" ht="12" customHeight="1" thickBot="1" x14ac:dyDescent="0.25">
      <c r="A79" s="1782"/>
      <c r="B79" s="1776"/>
      <c r="C79" s="1772"/>
      <c r="D79" s="1777" t="s">
        <v>1900</v>
      </c>
      <c r="E79" s="1774" t="s">
        <v>958</v>
      </c>
      <c r="F79" s="1783">
        <f>IF(F78&gt;0,F77/F78," Complete Line 78")</f>
        <v>10870.7483442459</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213876</v>
      </c>
      <c r="G94" s="912"/>
    </row>
    <row r="95" spans="1:7" x14ac:dyDescent="0.2">
      <c r="A95" s="908" t="s">
        <v>140</v>
      </c>
      <c r="B95" s="908" t="s">
        <v>175</v>
      </c>
      <c r="C95" s="910">
        <v>1700</v>
      </c>
      <c r="D95" s="918" t="str">
        <f>'Revenues 9-14'!A82</f>
        <v>Total District/School Activity Income</v>
      </c>
      <c r="E95" s="906"/>
      <c r="F95" s="1789">
        <f>SUM('Revenues 9-14'!C82,'Revenues 9-14'!D82)</f>
        <v>77579</v>
      </c>
      <c r="G95" s="912"/>
    </row>
    <row r="96" spans="1:7" x14ac:dyDescent="0.2">
      <c r="A96" s="908" t="s">
        <v>459</v>
      </c>
      <c r="B96" s="908" t="s">
        <v>176</v>
      </c>
      <c r="C96" s="910">
        <f>'Revenues 9-14'!B84</f>
        <v>1811</v>
      </c>
      <c r="D96" s="911" t="str">
        <f>'Revenues 9-14'!A84</f>
        <v>Rentals - Regular Textbooks</v>
      </c>
      <c r="E96" s="906"/>
      <c r="F96" s="1789">
        <f>'Revenues 9-14'!C84</f>
        <v>24024</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5861</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2002</v>
      </c>
      <c r="C105" s="913">
        <v>3100</v>
      </c>
      <c r="D105" s="919" t="str">
        <f>'Revenues 9-14'!A132</f>
        <v>Total Special Education</v>
      </c>
      <c r="E105" s="906"/>
      <c r="F105" s="1789">
        <f>SUM('Revenues 9-14'!C132:D132,'Revenues 9-14'!F132)</f>
        <v>80077</v>
      </c>
      <c r="G105" s="912"/>
    </row>
    <row r="106" spans="1:7" x14ac:dyDescent="0.2">
      <c r="A106" s="908" t="s">
        <v>673</v>
      </c>
      <c r="B106" s="908" t="s">
        <v>2003</v>
      </c>
      <c r="C106" s="920">
        <v>3200</v>
      </c>
      <c r="D106" s="911" t="str">
        <f>'Revenues 9-14'!A141</f>
        <v>Total Career and Technical Education</v>
      </c>
      <c r="E106" s="906"/>
      <c r="F106" s="1789">
        <f>SUM('Revenues 9-14'!C141,'Revenues 9-14'!D141,'Revenues 9-14'!G141)</f>
        <v>1916</v>
      </c>
      <c r="G106" s="912"/>
    </row>
    <row r="107" spans="1:7" x14ac:dyDescent="0.2">
      <c r="A107" s="921" t="s">
        <v>664</v>
      </c>
      <c r="B107" s="908" t="s">
        <v>2004</v>
      </c>
      <c r="C107" s="920">
        <v>3300</v>
      </c>
      <c r="D107" s="911" t="str">
        <f>'Revenues 9-14'!A145</f>
        <v>Total Bilingual Ed</v>
      </c>
      <c r="E107" s="906"/>
      <c r="F107" s="1789">
        <f>SUM('Revenues 9-14'!C145,'Revenues 9-14'!G145)</f>
        <v>0</v>
      </c>
      <c r="G107" s="912"/>
    </row>
    <row r="108" spans="1:7" x14ac:dyDescent="0.2">
      <c r="A108" s="908" t="s">
        <v>459</v>
      </c>
      <c r="B108" s="908" t="s">
        <v>2005</v>
      </c>
      <c r="C108" s="920">
        <f>'Revenues 9-14'!B146</f>
        <v>3360</v>
      </c>
      <c r="D108" s="911" t="str">
        <f>'Revenues 9-14'!A146</f>
        <v>State Free Lunch &amp; Breakfast</v>
      </c>
      <c r="E108" s="906"/>
      <c r="F108" s="1789">
        <f>'Revenues 9-14'!C146</f>
        <v>6799</v>
      </c>
      <c r="G108" s="912"/>
    </row>
    <row r="109" spans="1:7" x14ac:dyDescent="0.2">
      <c r="A109" s="908" t="s">
        <v>673</v>
      </c>
      <c r="B109" s="908" t="s">
        <v>2006</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2007</v>
      </c>
      <c r="C110" s="920">
        <f>'Revenues 9-14'!B148</f>
        <v>3370</v>
      </c>
      <c r="D110" s="911" t="str">
        <f>'Revenues 9-14'!A148</f>
        <v>Driver Education</v>
      </c>
      <c r="E110" s="906"/>
      <c r="F110" s="1789">
        <f>SUM('Revenues 9-14'!C148,'Revenues 9-14'!D148)</f>
        <v>18476</v>
      </c>
      <c r="G110" s="912"/>
    </row>
    <row r="111" spans="1:7" x14ac:dyDescent="0.2">
      <c r="A111" s="908" t="s">
        <v>668</v>
      </c>
      <c r="B111" s="908" t="s">
        <v>2008</v>
      </c>
      <c r="C111" s="922">
        <v>3500</v>
      </c>
      <c r="D111" s="911" t="str">
        <f>'Revenues 9-14'!A155</f>
        <v>Total Transportation</v>
      </c>
      <c r="E111" s="906"/>
      <c r="F111" s="1789">
        <f>SUM('Revenues 9-14'!C155,'Revenues 9-14'!D155,'Revenues 9-14'!F155,'Revenues 9-14'!G155)</f>
        <v>563733</v>
      </c>
      <c r="G111" s="912"/>
    </row>
    <row r="112" spans="1:7" x14ac:dyDescent="0.2">
      <c r="A112" s="908" t="s">
        <v>459</v>
      </c>
      <c r="B112" s="908" t="s">
        <v>2009</v>
      </c>
      <c r="C112" s="920">
        <f>'Revenues 9-14'!B156</f>
        <v>3610</v>
      </c>
      <c r="D112" s="911" t="str">
        <f>'Revenues 9-14'!A156</f>
        <v>Learning Improvement - Change Grants</v>
      </c>
      <c r="E112" s="906"/>
      <c r="F112" s="1789">
        <f>'Revenues 9-14'!C156</f>
        <v>0</v>
      </c>
      <c r="G112" s="912"/>
    </row>
    <row r="113" spans="1:7" x14ac:dyDescent="0.2">
      <c r="A113" s="908" t="s">
        <v>668</v>
      </c>
      <c r="B113" s="908" t="s">
        <v>2010</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2011</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2012</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2013</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2014</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2015</v>
      </c>
      <c r="C118" s="924">
        <f>'Revenues 9-14'!B163</f>
        <v>3780</v>
      </c>
      <c r="D118" s="925" t="str">
        <f>'Revenues 9-14'!A163</f>
        <v>Technology - Technology for Success</v>
      </c>
      <c r="E118" s="906"/>
      <c r="F118" s="1907">
        <f>SUM('Revenues 9-14'!C163:G163)</f>
        <v>0</v>
      </c>
      <c r="G118" s="912"/>
    </row>
    <row r="119" spans="1:7" x14ac:dyDescent="0.2">
      <c r="A119" s="923" t="s">
        <v>504</v>
      </c>
      <c r="B119" s="923" t="s">
        <v>2016</v>
      </c>
      <c r="C119" s="924">
        <f>'Revenues 9-14'!B164</f>
        <v>3815</v>
      </c>
      <c r="D119" s="925" t="str">
        <f>'Revenues 9-14'!A164</f>
        <v>State Charter Schools</v>
      </c>
      <c r="E119" s="906"/>
      <c r="F119" s="1907">
        <f>SUM('Revenues 9-14'!C164,'Revenues 9-14'!F164)</f>
        <v>0</v>
      </c>
      <c r="G119" s="912"/>
    </row>
    <row r="120" spans="1:7" x14ac:dyDescent="0.2">
      <c r="A120" s="927" t="s">
        <v>460</v>
      </c>
      <c r="B120" s="927" t="s">
        <v>2017</v>
      </c>
      <c r="C120" s="928">
        <f>'Revenues 9-14'!B167</f>
        <v>3925</v>
      </c>
      <c r="D120" s="929" t="str">
        <f>'Revenues 9-14'!A167</f>
        <v>School Infrastructure - Maintenance Projects</v>
      </c>
      <c r="E120" s="906"/>
      <c r="F120" s="1789">
        <f>'Revenues 9-14'!D167</f>
        <v>0</v>
      </c>
      <c r="G120" s="930"/>
    </row>
    <row r="121" spans="1:7" x14ac:dyDescent="0.2">
      <c r="A121" s="927" t="s">
        <v>500</v>
      </c>
      <c r="B121" s="927" t="s">
        <v>2018</v>
      </c>
      <c r="C121" s="928">
        <f>'Revenues 9-14'!B168</f>
        <v>3999</v>
      </c>
      <c r="D121" s="929" t="s">
        <v>543</v>
      </c>
      <c r="E121" s="931"/>
      <c r="F121" s="1789">
        <f>SUM('Revenues 9-14'!C168:G168,'Revenues 9-14'!J168)</f>
        <v>36432</v>
      </c>
      <c r="G121" s="930"/>
    </row>
    <row r="122" spans="1:7" x14ac:dyDescent="0.2">
      <c r="A122" s="927" t="s">
        <v>459</v>
      </c>
      <c r="B122" s="927" t="s">
        <v>2019</v>
      </c>
      <c r="C122" s="932">
        <f>'Revenues 9-14'!B177</f>
        <v>4045</v>
      </c>
      <c r="D122" s="929" t="str">
        <f>'Revenues 9-14'!A177 &amp; " (Subtract)"</f>
        <v>Head Start (Subtract)</v>
      </c>
      <c r="E122" s="906"/>
      <c r="F122" s="1789">
        <f>SUM(-'Revenues 9-14'!C177)</f>
        <v>0</v>
      </c>
      <c r="G122" s="930"/>
    </row>
    <row r="123" spans="1:7" x14ac:dyDescent="0.2">
      <c r="A123" s="927" t="s">
        <v>668</v>
      </c>
      <c r="B123" s="927" t="s">
        <v>2020</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2021</v>
      </c>
      <c r="C124" s="932">
        <v>4100</v>
      </c>
      <c r="D124" s="933" t="str">
        <f>'Revenues 9-14'!A188</f>
        <v>Total Title V</v>
      </c>
      <c r="E124" s="906"/>
      <c r="F124" s="1789">
        <f>SUM('Revenues 9-14'!C188,'Revenues 9-14'!D188,'Revenues 9-14'!F188,'Revenues 9-14'!G188)</f>
        <v>23274</v>
      </c>
      <c r="G124" s="930"/>
    </row>
    <row r="125" spans="1:7" x14ac:dyDescent="0.2">
      <c r="A125" s="927" t="s">
        <v>664</v>
      </c>
      <c r="B125" s="927" t="s">
        <v>2022</v>
      </c>
      <c r="C125" s="932">
        <v>4200</v>
      </c>
      <c r="D125" s="929" t="str">
        <f>'Revenues 9-14'!A198</f>
        <v>Total Food Service</v>
      </c>
      <c r="E125" s="906"/>
      <c r="F125" s="1789">
        <f>SUM('Revenues 9-14'!C198,'Revenues 9-14'!G198)</f>
        <v>384473</v>
      </c>
      <c r="G125" s="930"/>
    </row>
    <row r="126" spans="1:7" x14ac:dyDescent="0.2">
      <c r="A126" s="927" t="s">
        <v>668</v>
      </c>
      <c r="B126" s="927" t="s">
        <v>2023</v>
      </c>
      <c r="C126" s="932">
        <v>4300</v>
      </c>
      <c r="D126" s="933" t="str">
        <f>'Revenues 9-14'!A204</f>
        <v>Total Title I</v>
      </c>
      <c r="E126" s="906"/>
      <c r="F126" s="1789">
        <f>SUM('Revenues 9-14'!C204,'Revenues 9-14'!D204,'Revenues 9-14'!F204,'Revenues 9-14'!G204)</f>
        <v>686412</v>
      </c>
      <c r="G126" s="930"/>
    </row>
    <row r="127" spans="1:7" x14ac:dyDescent="0.2">
      <c r="A127" s="927" t="s">
        <v>668</v>
      </c>
      <c r="B127" s="927" t="s">
        <v>2024</v>
      </c>
      <c r="C127" s="932">
        <v>4400</v>
      </c>
      <c r="D127" s="933" t="str">
        <f>'Revenues 9-14'!A209</f>
        <v>Total Title IV</v>
      </c>
      <c r="E127" s="906"/>
      <c r="F127" s="1789">
        <f>SUM('Revenues 9-14'!C209,'Revenues 9-14'!D209,'Revenues 9-14'!F209,'Revenues 9-14'!G209)</f>
        <v>12300</v>
      </c>
      <c r="G127" s="930"/>
    </row>
    <row r="128" spans="1:7" x14ac:dyDescent="0.2">
      <c r="A128" s="927" t="s">
        <v>668</v>
      </c>
      <c r="B128" s="927" t="s">
        <v>2025</v>
      </c>
      <c r="C128" s="932">
        <f>'Revenues 9-14'!B213</f>
        <v>4620</v>
      </c>
      <c r="D128" s="933" t="str">
        <f>'Revenues 9-14'!A213</f>
        <v>Fed - Spec Education - IDEA - Flow Through</v>
      </c>
      <c r="E128" s="906"/>
      <c r="F128" s="1789">
        <f>SUM('Revenues 9-14'!C213:D213,'Revenues 9-14'!F213:G213)</f>
        <v>298886</v>
      </c>
      <c r="G128" s="930"/>
    </row>
    <row r="129" spans="1:7" x14ac:dyDescent="0.2">
      <c r="A129" s="927" t="s">
        <v>668</v>
      </c>
      <c r="B129" s="927" t="s">
        <v>2026</v>
      </c>
      <c r="C129" s="932">
        <f>'Revenues 9-14'!B214</f>
        <v>4625</v>
      </c>
      <c r="D129" s="933" t="str">
        <f>'Revenues 9-14'!A214</f>
        <v>Fed - Spec Education - IDEA - Room &amp; Board</v>
      </c>
      <c r="E129" s="906"/>
      <c r="F129" s="1789">
        <f>SUM('Revenues 9-14'!C214,'Revenues 9-14'!D214,'Revenues 9-14'!F214,'Revenues 9-14'!G214)</f>
        <v>2546</v>
      </c>
      <c r="G129" s="930"/>
    </row>
    <row r="130" spans="1:7" x14ac:dyDescent="0.2">
      <c r="A130" s="927" t="s">
        <v>668</v>
      </c>
      <c r="B130" s="927" t="s">
        <v>2027</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2028</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2029</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2030</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2031</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2032</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2033</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2034</v>
      </c>
      <c r="C138" s="935" t="s">
        <v>212</v>
      </c>
      <c r="D138" s="936" t="str">
        <f>'Revenues 9-14'!A229</f>
        <v>ARRA - IDEA - Part B - Preschool</v>
      </c>
      <c r="E138" s="937"/>
      <c r="F138" s="1789">
        <v>0</v>
      </c>
      <c r="G138" s="905"/>
    </row>
    <row r="139" spans="1:7" s="867" customFormat="1" hidden="1" x14ac:dyDescent="0.2">
      <c r="A139" s="934" t="s">
        <v>206</v>
      </c>
      <c r="B139" s="934" t="s">
        <v>2035</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2036</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2037</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2038</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2039</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2040</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2041</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2042</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2043</v>
      </c>
      <c r="C157" s="940" t="s">
        <v>841</v>
      </c>
      <c r="D157" s="941" t="s">
        <v>777</v>
      </c>
      <c r="E157" s="942"/>
      <c r="F157" s="1789">
        <f>SUM(F133:F156)</f>
        <v>0</v>
      </c>
      <c r="G157" s="905"/>
    </row>
    <row r="158" spans="1:7" s="867" customFormat="1" x14ac:dyDescent="0.2">
      <c r="A158" s="938" t="s">
        <v>459</v>
      </c>
      <c r="B158" s="939" t="s">
        <v>2044</v>
      </c>
      <c r="C158" s="940" t="s">
        <v>1427</v>
      </c>
      <c r="D158" s="941" t="s">
        <v>1428</v>
      </c>
      <c r="E158" s="942"/>
      <c r="F158" s="1789">
        <f>SUM('Revenues 9-14'!C253)</f>
        <v>0</v>
      </c>
      <c r="G158" s="905"/>
    </row>
    <row r="159" spans="1:7" s="867" customFormat="1" x14ac:dyDescent="0.2">
      <c r="A159" s="938" t="s">
        <v>500</v>
      </c>
      <c r="B159" s="939" t="s">
        <v>2045</v>
      </c>
      <c r="C159" s="940" t="s">
        <v>1466</v>
      </c>
      <c r="D159" s="941" t="s">
        <v>1467</v>
      </c>
      <c r="E159" s="942"/>
      <c r="F159" s="1789">
        <f>SUM('Revenues 9-14'!C254:H254,'Revenues 9-14'!J254:K254)</f>
        <v>0</v>
      </c>
      <c r="G159" s="905"/>
    </row>
    <row r="160" spans="1:7" x14ac:dyDescent="0.2">
      <c r="A160" s="927" t="s">
        <v>5</v>
      </c>
      <c r="B160" s="927" t="s">
        <v>2046</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2047</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2048</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2049</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2050</v>
      </c>
      <c r="C164" s="932">
        <f>'Revenues 9-14'!B259</f>
        <v>4932</v>
      </c>
      <c r="D164" s="933" t="str">
        <f>'Revenues 9-14'!A259</f>
        <v>Title II - Teacher Quality</v>
      </c>
      <c r="E164" s="906"/>
      <c r="F164" s="1907">
        <f>SUM('Revenues 9-14'!C259,'Revenues 9-14'!D259,'Revenues 9-14'!F259,'Revenues 9-14'!G259)</f>
        <v>7015</v>
      </c>
      <c r="G164" s="930"/>
    </row>
    <row r="165" spans="1:7" x14ac:dyDescent="0.2">
      <c r="A165" s="927" t="s">
        <v>668</v>
      </c>
      <c r="B165" s="927" t="s">
        <v>2051</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1996</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1997</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2052</v>
      </c>
      <c r="C168" s="932">
        <f>'Revenues 9-14'!B263</f>
        <v>4991</v>
      </c>
      <c r="D168" s="933" t="str">
        <f>'Revenues 9-14'!A263</f>
        <v>Medicaid Matching Funds - Administrative Outreach</v>
      </c>
      <c r="E168" s="906"/>
      <c r="F168" s="1789">
        <f>SUM('Revenues 9-14'!C263:D263,'Revenues 9-14'!F263:G263)</f>
        <v>11767</v>
      </c>
      <c r="G168" s="947">
        <v>6320</v>
      </c>
    </row>
    <row r="169" spans="1:7" x14ac:dyDescent="0.2">
      <c r="A169" s="927" t="s">
        <v>668</v>
      </c>
      <c r="B169" s="927" t="s">
        <v>2053</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2054</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1919</v>
      </c>
      <c r="C171" s="1920">
        <v>3100</v>
      </c>
      <c r="D171" s="1921" t="s">
        <v>1921</v>
      </c>
      <c r="E171" s="906"/>
      <c r="F171" s="1906"/>
      <c r="G171" s="927"/>
    </row>
    <row r="172" spans="1:7" x14ac:dyDescent="0.2">
      <c r="A172" s="1918" t="s">
        <v>664</v>
      </c>
      <c r="B172" s="1919" t="s">
        <v>1919</v>
      </c>
      <c r="C172" s="1920">
        <v>3300</v>
      </c>
      <c r="D172" s="1921" t="s">
        <v>1922</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2055</v>
      </c>
      <c r="E174" s="1787" t="s">
        <v>958</v>
      </c>
      <c r="F174" s="1788">
        <f>SUM(F84:F132,F157:F172)</f>
        <v>2455446</v>
      </c>
    </row>
    <row r="175" spans="1:7" ht="12" customHeight="1" x14ac:dyDescent="0.2">
      <c r="A175" s="1770"/>
      <c r="B175" s="1784"/>
      <c r="C175" s="1785"/>
      <c r="D175" s="1786" t="s">
        <v>2056</v>
      </c>
      <c r="E175" s="1787"/>
      <c r="F175" s="1789">
        <f>'PCTC-OEPP 27-28'!F77-F174</f>
        <v>9066895</v>
      </c>
    </row>
    <row r="176" spans="1:7" ht="12" customHeight="1" x14ac:dyDescent="0.2">
      <c r="A176" s="1770"/>
      <c r="B176" s="1784"/>
      <c r="C176" s="1785"/>
      <c r="D176" s="1786" t="s">
        <v>1816</v>
      </c>
      <c r="E176" s="1787"/>
      <c r="F176" s="1789">
        <f>'Cap Outlay Deprec 26'!I18</f>
        <v>829915</v>
      </c>
    </row>
    <row r="177" spans="1:7" ht="12" customHeight="1" x14ac:dyDescent="0.2">
      <c r="A177" s="1770"/>
      <c r="B177" s="1784"/>
      <c r="C177" s="1785"/>
      <c r="D177" s="1786" t="s">
        <v>2057</v>
      </c>
      <c r="E177" s="1787"/>
      <c r="F177" s="1789">
        <f>F175+F176</f>
        <v>9896810</v>
      </c>
    </row>
    <row r="178" spans="1:7" ht="12" customHeight="1" x14ac:dyDescent="0.2">
      <c r="A178" s="1770"/>
      <c r="B178" s="1790"/>
      <c r="C178" s="1785"/>
      <c r="D178" s="1786" t="str">
        <f>D78</f>
        <v>9 Month ADA from District Average Daily Attendance/Prior General State Aid Inquiry 2018-2019</v>
      </c>
      <c r="E178" s="1787"/>
      <c r="F178" s="1791">
        <f>'PCTC-OEPP 27-28'!F78</f>
        <v>1059.94</v>
      </c>
      <c r="G178" s="930"/>
    </row>
    <row r="179" spans="1:7" ht="12" customHeight="1" thickBot="1" x14ac:dyDescent="0.25">
      <c r="A179" s="1770"/>
      <c r="B179" s="1790"/>
      <c r="C179" s="1785"/>
      <c r="D179" s="1786" t="s">
        <v>2058</v>
      </c>
      <c r="E179" s="1787" t="s">
        <v>1545</v>
      </c>
      <c r="F179" s="1792">
        <f>F177/F178</f>
        <v>9337.141725003301</v>
      </c>
      <c r="G179" s="856">
        <v>6323</v>
      </c>
    </row>
    <row r="180" spans="1:7" ht="12" thickTop="1" x14ac:dyDescent="0.2">
      <c r="B180" s="930"/>
      <c r="C180" s="949"/>
      <c r="D180" s="930"/>
      <c r="E180" s="949"/>
      <c r="F180" s="930"/>
      <c r="G180" s="951">
        <v>6326</v>
      </c>
    </row>
    <row r="181" spans="1:7" ht="12.2" customHeight="1" x14ac:dyDescent="0.2">
      <c r="A181" s="930" t="s">
        <v>1920</v>
      </c>
      <c r="B181" s="930"/>
      <c r="C181" s="949"/>
      <c r="D181" s="930"/>
      <c r="E181" s="949"/>
      <c r="F181" s="930"/>
      <c r="G181" s="930"/>
    </row>
    <row r="182" spans="1:7" s="1922" customFormat="1" ht="12.2" customHeight="1" x14ac:dyDescent="0.2">
      <c r="A182" s="1922" t="s">
        <v>1993</v>
      </c>
      <c r="B182" s="1923"/>
      <c r="C182" s="1924"/>
      <c r="D182" s="1923"/>
      <c r="E182" s="1924"/>
      <c r="F182" s="1923"/>
      <c r="G182" s="1923"/>
    </row>
    <row r="183" spans="1:7" s="1922" customFormat="1" ht="12.2" customHeight="1" x14ac:dyDescent="0.2">
      <c r="A183" s="1925" t="s">
        <v>1995</v>
      </c>
      <c r="C183" s="1924"/>
      <c r="D183" s="1923"/>
      <c r="E183" s="1924"/>
      <c r="F183" s="1923"/>
      <c r="G183" s="1923"/>
    </row>
    <row r="184" spans="1:7" ht="12" customHeight="1" x14ac:dyDescent="0.2">
      <c r="C184" s="949"/>
      <c r="D184" s="930"/>
      <c r="E184" s="949"/>
      <c r="F184" s="930"/>
      <c r="G184" s="930"/>
    </row>
    <row r="185" spans="1:7" x14ac:dyDescent="0.2">
      <c r="A185" s="1926" t="s">
        <v>1924</v>
      </c>
      <c r="B185" s="1927"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4" zoomScaleNormal="100" workbookViewId="0">
      <selection activeCell="D22" sqref="D22"/>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1831</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1817</v>
      </c>
      <c r="B4" s="2270"/>
      <c r="C4" s="2270"/>
      <c r="D4" s="2270"/>
      <c r="E4" s="2270"/>
      <c r="F4" s="2270"/>
      <c r="G4" s="2271"/>
    </row>
    <row r="5" spans="1:7" x14ac:dyDescent="0.25">
      <c r="A5" s="2272"/>
      <c r="B5" s="2273"/>
      <c r="C5" s="2273"/>
      <c r="D5" s="2273"/>
      <c r="E5" s="2273"/>
      <c r="F5" s="2273"/>
      <c r="G5" s="2274"/>
    </row>
    <row r="6" spans="1:7" ht="18.75" x14ac:dyDescent="0.25">
      <c r="A6" s="1534" t="s">
        <v>1818</v>
      </c>
      <c r="B6" s="1535"/>
      <c r="C6" s="1535"/>
      <c r="D6" s="1535"/>
      <c r="E6" s="1535"/>
      <c r="F6" s="1535"/>
      <c r="G6" s="1536"/>
    </row>
    <row r="7" spans="1:7" ht="30.75" customHeight="1" x14ac:dyDescent="0.25">
      <c r="A7" s="2275" t="s">
        <v>1931</v>
      </c>
      <c r="B7" s="2276"/>
      <c r="C7" s="2276"/>
      <c r="D7" s="2276"/>
      <c r="E7" s="2276"/>
      <c r="F7" s="2276"/>
      <c r="G7" s="2277"/>
    </row>
    <row r="8" spans="1:7" ht="15.75" customHeight="1" x14ac:dyDescent="0.25">
      <c r="A8" s="2278" t="s">
        <v>1906</v>
      </c>
      <c r="B8" s="2279"/>
      <c r="C8" s="2279"/>
      <c r="D8" s="2279"/>
      <c r="E8" s="2279"/>
      <c r="F8" s="2279"/>
      <c r="G8" s="2280"/>
    </row>
    <row r="9" spans="1:7" ht="35.25" customHeight="1" x14ac:dyDescent="0.25">
      <c r="A9" s="2275" t="s">
        <v>1934</v>
      </c>
      <c r="B9" s="2276"/>
      <c r="C9" s="2276"/>
      <c r="D9" s="2276"/>
      <c r="E9" s="2276"/>
      <c r="F9" s="2276"/>
      <c r="G9" s="2277"/>
    </row>
    <row r="10" spans="1:7" ht="15" customHeight="1" x14ac:dyDescent="0.25">
      <c r="A10" s="1537" t="s">
        <v>1819</v>
      </c>
      <c r="B10" s="1538"/>
      <c r="C10" s="1538"/>
      <c r="D10" s="1538"/>
      <c r="E10" s="1538"/>
      <c r="F10" s="1538"/>
      <c r="G10" s="1539"/>
    </row>
    <row r="11" spans="1:7" ht="17.25" customHeight="1" x14ac:dyDescent="0.25">
      <c r="A11" s="2275" t="s">
        <v>1933</v>
      </c>
      <c r="B11" s="2276"/>
      <c r="C11" s="2276"/>
      <c r="D11" s="2276"/>
      <c r="E11" s="2276"/>
      <c r="F11" s="2276"/>
      <c r="G11" s="2277"/>
    </row>
    <row r="12" spans="1:7" ht="15" customHeight="1" x14ac:dyDescent="0.25">
      <c r="A12" s="1537" t="s">
        <v>1824</v>
      </c>
      <c r="B12" s="1538"/>
      <c r="C12" s="1538"/>
      <c r="D12" s="1538"/>
      <c r="E12" s="1538"/>
      <c r="F12" s="1538"/>
      <c r="G12" s="1539"/>
    </row>
    <row r="13" spans="1:7" ht="32.25" customHeight="1" x14ac:dyDescent="0.25">
      <c r="A13" s="2266" t="s">
        <v>1975</v>
      </c>
      <c r="B13" s="2267"/>
      <c r="C13" s="2267"/>
      <c r="D13" s="2267"/>
      <c r="E13" s="2267"/>
      <c r="F13" s="2267"/>
      <c r="G13" s="2268"/>
    </row>
    <row r="14" spans="1:7" x14ac:dyDescent="0.25">
      <c r="A14" s="1661" t="s">
        <v>1832</v>
      </c>
      <c r="B14" s="1662"/>
      <c r="C14" s="1662"/>
      <c r="D14" s="1662"/>
      <c r="E14" s="1662"/>
      <c r="F14" s="1662"/>
      <c r="G14" s="1663"/>
    </row>
    <row r="15" spans="1:7" ht="61.5" customHeight="1" x14ac:dyDescent="0.25">
      <c r="A15" s="1546" t="s">
        <v>1825</v>
      </c>
      <c r="B15" s="1546" t="s">
        <v>1826</v>
      </c>
      <c r="C15" s="1546" t="s">
        <v>1827</v>
      </c>
      <c r="D15" s="1547" t="s">
        <v>1828</v>
      </c>
      <c r="E15" s="1547" t="s">
        <v>1820</v>
      </c>
      <c r="F15" s="1547" t="s">
        <v>1829</v>
      </c>
      <c r="G15" s="1547" t="s">
        <v>1830</v>
      </c>
    </row>
    <row r="16" spans="1:7" x14ac:dyDescent="0.25">
      <c r="A16" s="1648" t="s">
        <v>1833</v>
      </c>
      <c r="B16" s="1649" t="s">
        <v>1823</v>
      </c>
      <c r="C16" s="1650" t="s">
        <v>1821</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ht="30" x14ac:dyDescent="0.25">
      <c r="A17" s="1937" t="s">
        <v>2158</v>
      </c>
      <c r="B17" s="1938" t="s">
        <v>2163</v>
      </c>
      <c r="C17" s="1939" t="s">
        <v>2169</v>
      </c>
      <c r="D17" s="1844">
        <v>20500</v>
      </c>
      <c r="E17" s="1540">
        <f t="shared" ref="E17:E141" si="0">IF(D17&lt;=25000,D17,IF(D17&gt;25000,25000,0))</f>
        <v>20500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937" t="s">
        <v>2159</v>
      </c>
      <c r="B18" s="1938" t="s">
        <v>2164</v>
      </c>
      <c r="C18" s="1939" t="s">
        <v>2170</v>
      </c>
      <c r="D18" s="1844">
        <v>9600</v>
      </c>
      <c r="E18" s="1540">
        <f t="shared" ref="E18:E140" si="2">IF(D18&lt;=25000,D18,IF(D18&gt;25000,25000,0))</f>
        <v>9600</v>
      </c>
      <c r="F18" s="1932">
        <f t="shared" si="1"/>
        <v>9600</v>
      </c>
      <c r="G18" s="1793">
        <f t="shared" ref="G18:G140" si="3">IF(F18=0,0,D18-F18)</f>
        <v>0</v>
      </c>
    </row>
    <row r="19" spans="1:8" ht="30" x14ac:dyDescent="0.25">
      <c r="A19" s="1937" t="s">
        <v>2158</v>
      </c>
      <c r="B19" s="1938" t="s">
        <v>2165</v>
      </c>
      <c r="C19" s="1939" t="s">
        <v>2171</v>
      </c>
      <c r="D19" s="1844">
        <v>1400</v>
      </c>
      <c r="E19" s="1540">
        <f t="shared" si="2"/>
        <v>1400</v>
      </c>
      <c r="F19" s="1932">
        <f t="shared" si="1"/>
        <v>0</v>
      </c>
      <c r="G19" s="1793">
        <f t="shared" si="3"/>
        <v>0</v>
      </c>
    </row>
    <row r="20" spans="1:8" x14ac:dyDescent="0.25">
      <c r="A20" s="1937" t="s">
        <v>2160</v>
      </c>
      <c r="B20" s="1938" t="s">
        <v>2166</v>
      </c>
      <c r="C20" s="1939" t="s">
        <v>2172</v>
      </c>
      <c r="D20" s="1844">
        <v>14613</v>
      </c>
      <c r="E20" s="1540">
        <f t="shared" si="2"/>
        <v>14613</v>
      </c>
      <c r="F20" s="1932">
        <f t="shared" si="1"/>
        <v>0</v>
      </c>
      <c r="G20" s="1793">
        <f t="shared" si="3"/>
        <v>0</v>
      </c>
    </row>
    <row r="21" spans="1:8" ht="30" x14ac:dyDescent="0.25">
      <c r="A21" s="1937" t="s">
        <v>2161</v>
      </c>
      <c r="B21" s="1938" t="s">
        <v>2167</v>
      </c>
      <c r="C21" s="1939" t="s">
        <v>2173</v>
      </c>
      <c r="D21" s="1844">
        <v>3796</v>
      </c>
      <c r="E21" s="1540">
        <f t="shared" si="2"/>
        <v>3796</v>
      </c>
      <c r="F21" s="1932">
        <f t="shared" si="1"/>
        <v>3796</v>
      </c>
      <c r="G21" s="1793">
        <f t="shared" si="3"/>
        <v>0</v>
      </c>
    </row>
    <row r="22" spans="1:8" x14ac:dyDescent="0.25">
      <c r="A22" s="1937" t="s">
        <v>2162</v>
      </c>
      <c r="B22" s="1938" t="s">
        <v>2168</v>
      </c>
      <c r="C22" s="1939" t="s">
        <v>2174</v>
      </c>
      <c r="D22" s="1844">
        <v>2923</v>
      </c>
      <c r="E22" s="1540">
        <f t="shared" si="2"/>
        <v>2923</v>
      </c>
      <c r="F22" s="1932">
        <f t="shared" si="1"/>
        <v>2923</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52832</v>
      </c>
      <c r="E141" s="1541">
        <f t="shared" si="0"/>
        <v>25000</v>
      </c>
      <c r="F141" s="1933">
        <f>SUM(F17:F140)</f>
        <v>16319</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4" colorId="8" zoomScale="110" zoomScaleNormal="110" workbookViewId="0">
      <selection activeCell="B12" sqref="B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f>1229164-57+15693+75910</f>
        <v>1320710</v>
      </c>
      <c r="F9" s="974"/>
      <c r="G9" s="975"/>
      <c r="H9" s="162"/>
      <c r="I9" s="162"/>
    </row>
    <row r="10" spans="1:9" s="668" customFormat="1" ht="12" customHeight="1" x14ac:dyDescent="0.2">
      <c r="A10" s="970" t="s">
        <v>1932</v>
      </c>
      <c r="B10" s="971"/>
      <c r="C10" s="976"/>
      <c r="D10" s="972"/>
      <c r="E10" s="973">
        <f>621229+54078</f>
        <v>675307</v>
      </c>
      <c r="F10" s="974"/>
      <c r="G10" s="975"/>
      <c r="H10" s="162"/>
      <c r="I10" s="162"/>
    </row>
    <row r="11" spans="1:9" s="668" customFormat="1" ht="22.5" customHeight="1" x14ac:dyDescent="0.2">
      <c r="A11" s="2286" t="s">
        <v>1976</v>
      </c>
      <c r="B11" s="2287"/>
      <c r="C11" s="2287"/>
      <c r="D11" s="2288"/>
      <c r="E11" s="977">
        <f>30921+10505</f>
        <v>41426</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f>169872+9648</f>
        <v>179520</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6307123</v>
      </c>
      <c r="F19" s="1799"/>
      <c r="G19" s="1801">
        <f>'Expenditures 15-22'!K33-SUM('Expenditures 15-22'!G33,'Expenditures 15-22'!I33)+'Expenditures 15-22'!D229</f>
        <v>6307123</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185836</v>
      </c>
      <c r="F21" s="1802"/>
      <c r="G21" s="1805">
        <f>'Expenditures 15-22'!K42-SUM('Expenditures 15-22'!G42,'Expenditures 15-22'!I42)+'Expenditures 15-22'!K120-SUM('Expenditures 15-22'!G120,'Expenditures 15-22'!I120)+'Expenditures 15-22'!K180-SUM('Expenditures 15-22'!G180,'Expenditures 15-22'!I180)+'Expenditures 15-22'!D238</f>
        <v>185836</v>
      </c>
      <c r="H21" s="987"/>
      <c r="I21" s="162"/>
    </row>
    <row r="22" spans="1:9" s="668" customFormat="1" ht="12" customHeight="1" x14ac:dyDescent="0.2">
      <c r="A22" s="994" t="s">
        <v>564</v>
      </c>
      <c r="B22" s="995"/>
      <c r="C22" s="993">
        <v>2200</v>
      </c>
      <c r="D22" s="1802"/>
      <c r="E22" s="1804">
        <f>'Expenditures 15-22'!K47-SUM('Expenditures 15-22'!G47,'Expenditures 15-22'!I47)+'Expenditures 15-22'!D243</f>
        <v>244863</v>
      </c>
      <c r="F22" s="1802"/>
      <c r="G22" s="1805">
        <f>'Expenditures 15-22'!K47-SUM('Expenditures 15-22'!G47,'Expenditures 15-22'!I47)+'Expenditures 15-22'!D243</f>
        <v>244863</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552527</v>
      </c>
      <c r="F23" s="1802"/>
      <c r="G23" s="1804">
        <f>'Expenditures 15-22'!K53-SUM('Expenditures 15-22'!G53,'Expenditures 15-22'!I53)+'Expenditures 15-22'!D257+'Expenditures 15-22'!K330-SUM('Expenditures 15-22'!G330,'Expenditures 15-22'!I330)</f>
        <v>552527</v>
      </c>
      <c r="H23" s="987"/>
      <c r="I23" s="162"/>
    </row>
    <row r="24" spans="1:9" s="668" customFormat="1" ht="12" customHeight="1" x14ac:dyDescent="0.2">
      <c r="A24" s="994" t="s">
        <v>566</v>
      </c>
      <c r="B24" s="995"/>
      <c r="C24" s="993">
        <v>2400</v>
      </c>
      <c r="D24" s="1802"/>
      <c r="E24" s="1804">
        <f>'Expenditures 15-22'!K57-SUM('Expenditures 15-22'!G57,'Expenditures 15-22'!I57)+'Expenditures 15-22'!D261</f>
        <v>758688</v>
      </c>
      <c r="F24" s="1802"/>
      <c r="G24" s="1805">
        <f>'Expenditures 15-22'!K57-SUM('Expenditures 15-22'!G57,'Expenditures 15-22'!I57)+'Expenditures 15-22'!D261</f>
        <v>758688</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1320710</v>
      </c>
      <c r="F28" s="1806">
        <f>'Expenditures 15-22'!K61-SUM('Expenditures 15-22'!G61,'Expenditures 15-22'!I61)+'Expenditures 15-22'!K124-SUM('Expenditures 15-22'!G124,'Expenditures 15-22'!I124)+'Expenditures 15-22'!D266-E9</f>
        <v>0</v>
      </c>
      <c r="G28" s="1805">
        <f>E9</f>
        <v>1320710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1116483</v>
      </c>
      <c r="F29" s="1802"/>
      <c r="G29" s="1805">
        <f>'Expenditures 15-22'!K62-SUM('Expenditures 15-22'!G62,'Expenditures 15-22'!I62)+'Expenditures 15-22'!K125-SUM('Expenditures 15-22'!G125,'Expenditures 15-22'!I125)+'Expenditures 15-22'!K182-SUM('Expenditures 15-22'!G182,'Expenditures 15-22'!I182)+'Expenditures 15-22'!D267</f>
        <v>1116483</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179520</v>
      </c>
      <c r="F37" s="1804">
        <f>'Expenditures 15-22'!K71-SUM('Expenditures 15-22'!G71,'Expenditures 15-22'!I71)+'Expenditures 15-22'!D276-E14</f>
        <v>0</v>
      </c>
      <c r="G37" s="1804">
        <f>E14</f>
        <v>179520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549</v>
      </c>
      <c r="F38" s="1802"/>
      <c r="G38" s="1804">
        <f>'Expenditures 15-22'!K73-SUM('Expenditures 15-22'!G73,'Expenditures 15-22'!I73)+'Expenditures 15-22'!K128-SUM('Expenditures 15-22'!G128,'Expenditures 15-22'!I128)+'Expenditures 15-22'!K183-SUM('Expenditures 15-22'!G183,'Expenditures 15-22'!I183)+'Expenditures 15-22'!D278</f>
        <v>549</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31889</v>
      </c>
      <c r="F39" s="1802"/>
      <c r="G39" s="1804">
        <f>'Expenditures 15-22'!K75-SUM('Expenditures 15-22'!G75,'Expenditures 15-22'!I75)+'Expenditures 15-22'!K130-SUM('Expenditures 15-22'!G130,'Expenditures 15-22'!I130)+'Expenditures 15-22'!K185-SUM('Expenditures 15-22'!G185,'Expenditures 15-22'!I185)+'Expenditures 15-22'!D280</f>
        <v>31889</v>
      </c>
    </row>
    <row r="40" spans="1:7" ht="12" customHeight="1" x14ac:dyDescent="0.2">
      <c r="A40" s="990" t="s">
        <v>1822</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10698188</v>
      </c>
      <c r="F41" s="1806">
        <f>SUM(F19:F39)</f>
        <v>0</v>
      </c>
      <c r="G41" s="1806">
        <f>SUM(G19:G40)</f>
        <v>10698188</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0</v>
      </c>
      <c r="F43" s="1807" t="s">
        <v>473</v>
      </c>
      <c r="G43" s="1808">
        <f>F41</f>
        <v>0</v>
      </c>
    </row>
    <row r="44" spans="1:7" ht="12" customHeight="1" x14ac:dyDescent="0.2">
      <c r="A44" s="987"/>
      <c r="B44" s="162"/>
      <c r="C44" s="1001"/>
      <c r="D44" s="1807" t="s">
        <v>474</v>
      </c>
      <c r="E44" s="1808">
        <f>E41</f>
        <v>10698188</v>
      </c>
      <c r="F44" s="1807" t="s">
        <v>474</v>
      </c>
      <c r="G44" s="1808">
        <f>G41</f>
        <v>10698188</v>
      </c>
    </row>
    <row r="45" spans="1:7" ht="12" customHeight="1" x14ac:dyDescent="0.2">
      <c r="A45" s="987"/>
      <c r="B45" s="162"/>
      <c r="C45" s="162"/>
      <c r="D45" s="1809" t="s">
        <v>1006</v>
      </c>
      <c r="E45" s="1810">
        <f>(E43/E44)</f>
        <v>0</v>
      </c>
      <c r="F45" s="1809" t="s">
        <v>1006</v>
      </c>
      <c r="G45" s="1810">
        <f>(G43/G44)</f>
        <v>0</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7" activePane="bottomLeft" state="frozen"/>
      <selection activeCell="B12" sqref="B12"/>
      <selection pane="bottomLeft" activeCell="B12" sqref="B12"/>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3" t="s">
        <v>1379</v>
      </c>
      <c r="B1" s="2303"/>
      <c r="C1" s="2303"/>
      <c r="D1" s="2303"/>
      <c r="E1" s="2303"/>
      <c r="F1" s="2303"/>
    </row>
    <row r="2" spans="1:10" x14ac:dyDescent="0.2">
      <c r="A2" s="1887" t="s">
        <v>1911</v>
      </c>
      <c r="B2" s="1848"/>
      <c r="C2" s="1887"/>
      <c r="D2" s="1848"/>
      <c r="E2" s="1848"/>
      <c r="F2" s="1849"/>
    </row>
    <row r="3" spans="1:10" x14ac:dyDescent="0.2">
      <c r="A3" s="1887" t="s">
        <v>1977</v>
      </c>
      <c r="B3" s="1848"/>
      <c r="C3" s="1887"/>
      <c r="D3" s="1848"/>
      <c r="E3" s="1848"/>
      <c r="F3" s="1849"/>
    </row>
    <row r="4" spans="1:10" ht="3.75" customHeight="1" x14ac:dyDescent="0.2">
      <c r="A4" s="1848"/>
      <c r="B4" s="1848"/>
      <c r="C4" s="1848"/>
      <c r="D4" s="1848"/>
      <c r="E4" s="1848"/>
      <c r="F4" s="1849"/>
    </row>
    <row r="5" spans="1:10" ht="15" x14ac:dyDescent="0.25">
      <c r="A5" s="2304" t="s">
        <v>1546</v>
      </c>
      <c r="B5" s="2305"/>
      <c r="C5" s="2306"/>
      <c r="D5" s="2306"/>
      <c r="E5" s="2306"/>
      <c r="F5" s="2306"/>
    </row>
    <row r="6" spans="1:10" ht="12" customHeight="1" x14ac:dyDescent="0.25">
      <c r="A6" s="1850"/>
      <c r="B6" s="1851"/>
      <c r="C6" s="2307" t="str">
        <f>COVER!A17</f>
        <v>Sparta CUSD 140</v>
      </c>
      <c r="D6" s="2307"/>
      <c r="E6" s="2307"/>
      <c r="F6" s="1852"/>
    </row>
    <row r="7" spans="1:10" ht="11.25" customHeight="1" thickBot="1" x14ac:dyDescent="0.3">
      <c r="A7" s="1850"/>
      <c r="B7" s="1851"/>
      <c r="C7" s="2308">
        <f>COVER!A13</f>
        <v>45079140026</v>
      </c>
      <c r="D7" s="2308"/>
      <c r="E7" s="2308"/>
      <c r="F7" s="1852"/>
    </row>
    <row r="8" spans="1:10" ht="25.5" customHeight="1" thickBot="1" x14ac:dyDescent="0.25">
      <c r="A8" s="1893" t="s">
        <v>1907</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t="s">
        <v>2063</v>
      </c>
      <c r="D15" s="1865" t="s">
        <v>2063</v>
      </c>
      <c r="E15" s="1868"/>
      <c r="F15" s="1867" t="s">
        <v>2175</v>
      </c>
      <c r="H15" s="1878">
        <f t="shared" si="0"/>
        <v>5</v>
      </c>
      <c r="I15" s="1878">
        <f t="shared" si="1"/>
        <v>5</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2063</v>
      </c>
      <c r="D19" s="1865" t="s">
        <v>2063</v>
      </c>
      <c r="E19" s="1868"/>
      <c r="F19" s="1867" t="s">
        <v>2176</v>
      </c>
      <c r="H19" s="1878">
        <f t="shared" si="0"/>
        <v>5</v>
      </c>
      <c r="I19" s="1878">
        <f t="shared" si="1"/>
        <v>5</v>
      </c>
      <c r="J19" s="1878">
        <f t="shared" si="2"/>
        <v>0</v>
      </c>
    </row>
    <row r="20" spans="1:12" ht="12" customHeight="1" x14ac:dyDescent="0.2">
      <c r="A20" s="1863" t="s">
        <v>1528</v>
      </c>
      <c r="B20" s="1864"/>
      <c r="C20" s="1865" t="s">
        <v>2063</v>
      </c>
      <c r="D20" s="1865" t="s">
        <v>2063</v>
      </c>
      <c r="E20" s="1868"/>
      <c r="F20" s="1867" t="s">
        <v>2177</v>
      </c>
      <c r="H20" s="1878">
        <f t="shared" si="0"/>
        <v>5</v>
      </c>
      <c r="I20" s="1878">
        <f t="shared" si="1"/>
        <v>5</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2063</v>
      </c>
      <c r="D26" s="1865" t="s">
        <v>2063</v>
      </c>
      <c r="E26" s="1868"/>
      <c r="F26" s="1867" t="s">
        <v>2178</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2063</v>
      </c>
      <c r="D31" s="1865" t="s">
        <v>2063</v>
      </c>
      <c r="E31" s="1868"/>
      <c r="F31" s="1867" t="s">
        <v>2179</v>
      </c>
      <c r="H31" s="1878">
        <f t="shared" si="0"/>
        <v>5</v>
      </c>
      <c r="I31" s="1878">
        <f t="shared" si="1"/>
        <v>5</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25</v>
      </c>
      <c r="I34" s="1878">
        <f>SUM(I11:I32)</f>
        <v>25</v>
      </c>
      <c r="J34" s="1878">
        <f>SUM(J11:J32)</f>
        <v>0</v>
      </c>
      <c r="K34" s="1878">
        <f>SUM(H34:J34)</f>
        <v>50</v>
      </c>
    </row>
    <row r="35" spans="1:11" ht="12" customHeight="1" x14ac:dyDescent="0.2">
      <c r="A35" s="1871" t="s">
        <v>1392</v>
      </c>
      <c r="B35" s="1872"/>
      <c r="C35" s="2309"/>
      <c r="D35" s="2309"/>
      <c r="E35" s="2309"/>
      <c r="F35" s="2310"/>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295"/>
      <c r="B38" s="2296"/>
      <c r="C38" s="2296"/>
      <c r="D38" s="2296"/>
      <c r="E38" s="2296"/>
      <c r="F38" s="2297"/>
    </row>
    <row r="39" spans="1:11" ht="4.5" hidden="1" customHeight="1" x14ac:dyDescent="0.2">
      <c r="A39" s="1873"/>
      <c r="B39" s="1873"/>
      <c r="C39" s="1873"/>
      <c r="D39" s="1873"/>
      <c r="E39" s="1873"/>
      <c r="F39" s="1873"/>
    </row>
    <row r="40" spans="1:11" s="1870" customFormat="1" ht="12" customHeight="1" x14ac:dyDescent="0.25">
      <c r="A40" s="1874" t="s">
        <v>1391</v>
      </c>
      <c r="B40" s="1875"/>
      <c r="C40" s="2298"/>
      <c r="D40" s="2298"/>
      <c r="E40" s="2298"/>
      <c r="F40" s="2299"/>
      <c r="H40" s="1879"/>
      <c r="I40" s="1879"/>
      <c r="J40" s="1879"/>
      <c r="K40" s="1879"/>
    </row>
    <row r="41" spans="1:11" s="1870" customFormat="1" ht="12" customHeight="1" x14ac:dyDescent="0.25">
      <c r="A41" s="2300"/>
      <c r="B41" s="2301"/>
      <c r="C41" s="2301"/>
      <c r="D41" s="2301"/>
      <c r="E41" s="2301"/>
      <c r="F41" s="2302"/>
      <c r="H41" s="1879"/>
      <c r="I41" s="1879"/>
      <c r="J41" s="1879"/>
      <c r="K41" s="1879"/>
    </row>
    <row r="42" spans="1:11" s="1870" customFormat="1" ht="12" customHeight="1" x14ac:dyDescent="0.25">
      <c r="A42" s="2300"/>
      <c r="B42" s="2301"/>
      <c r="C42" s="2301"/>
      <c r="D42" s="2301"/>
      <c r="E42" s="2301"/>
      <c r="F42" s="2302"/>
      <c r="H42" s="1879"/>
      <c r="I42" s="1879"/>
      <c r="J42" s="1879"/>
      <c r="K42" s="1879"/>
    </row>
    <row r="43" spans="1:11" s="1870" customFormat="1" ht="15" x14ac:dyDescent="0.25">
      <c r="A43" s="2289"/>
      <c r="B43" s="2290"/>
      <c r="C43" s="2290"/>
      <c r="D43" s="2290"/>
      <c r="E43" s="2290"/>
      <c r="F43" s="2291"/>
      <c r="H43" s="1879"/>
      <c r="I43" s="1879"/>
      <c r="J43" s="1879"/>
      <c r="K43" s="1879"/>
    </row>
    <row r="44" spans="1:11" s="1870" customFormat="1" ht="12" hidden="1" customHeight="1" x14ac:dyDescent="0.25">
      <c r="A44" s="2289"/>
      <c r="B44" s="2290"/>
      <c r="C44" s="2290"/>
      <c r="D44" s="2290"/>
      <c r="E44" s="2290"/>
      <c r="F44" s="2291"/>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7" colorId="8" zoomScale="110" zoomScaleNormal="110" workbookViewId="0">
      <selection activeCell="B12" sqref="B1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Sparta CUSD 140</v>
      </c>
      <c r="J6" s="2317"/>
      <c r="Q6" s="1664"/>
    </row>
    <row r="7" spans="1:17" x14ac:dyDescent="0.2">
      <c r="A7" s="2318" t="s">
        <v>869</v>
      </c>
      <c r="B7" s="2319"/>
      <c r="C7" s="2319"/>
      <c r="D7" s="2319"/>
      <c r="E7" s="2320"/>
      <c r="F7" s="1017"/>
      <c r="G7" s="1009"/>
      <c r="H7" s="1016" t="s">
        <v>372</v>
      </c>
      <c r="I7" s="2321">
        <f>COVER!A13</f>
        <v>45079140026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1978</v>
      </c>
      <c r="F9" s="1023"/>
      <c r="G9" s="1023"/>
      <c r="H9" s="1896" t="s">
        <v>1979</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309244</v>
      </c>
      <c r="F12" s="1039"/>
      <c r="G12" s="1811">
        <f t="shared" ref="G12:G18" si="0">SUM(E12:F12)</f>
        <v>309244</v>
      </c>
      <c r="H12" s="1040">
        <v>325511</v>
      </c>
      <c r="I12" s="1039"/>
      <c r="J12" s="1811">
        <f t="shared" ref="J12:J18" si="1">SUM(H12:I12)</f>
        <v>325511</v>
      </c>
    </row>
    <row r="13" spans="1:17" ht="15" customHeight="1" x14ac:dyDescent="0.2">
      <c r="A13" s="1035">
        <v>2</v>
      </c>
      <c r="B13" s="1036" t="s">
        <v>42</v>
      </c>
      <c r="C13" s="1037"/>
      <c r="D13" s="1038">
        <v>2330</v>
      </c>
      <c r="E13" s="1811">
        <f>'Expenditures 15-22'!K51</f>
        <v>6187</v>
      </c>
      <c r="F13" s="1039"/>
      <c r="G13" s="1811">
        <f t="shared" si="0"/>
        <v>6187</v>
      </c>
      <c r="H13" s="1040">
        <v>6025</v>
      </c>
      <c r="I13" s="1039"/>
      <c r="J13" s="1811">
        <f t="shared" si="1"/>
        <v>6025</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v>0</v>
      </c>
      <c r="I15" s="1040">
        <v>0</v>
      </c>
      <c r="J15" s="1811">
        <f t="shared" si="1"/>
        <v>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25" t="s">
        <v>7</v>
      </c>
      <c r="C18" s="2326"/>
      <c r="D18" s="2327"/>
      <c r="E18" s="1043"/>
      <c r="F18" s="1043"/>
      <c r="G18" s="1812">
        <f t="shared" si="0"/>
        <v>0</v>
      </c>
      <c r="H18" s="1040">
        <v>0</v>
      </c>
      <c r="I18" s="1040">
        <v>0</v>
      </c>
      <c r="J18" s="1811">
        <f t="shared" si="1"/>
        <v>0</v>
      </c>
    </row>
    <row r="19" spans="1:10" ht="12.75" customHeight="1" thickBot="1" x14ac:dyDescent="0.25">
      <c r="A19" s="1035">
        <v>8</v>
      </c>
      <c r="B19" s="1044" t="s">
        <v>1161</v>
      </c>
      <c r="D19" s="1045"/>
      <c r="E19" s="1813">
        <f t="shared" ref="E19:J19" si="2">SUM(E12:E17)-E18</f>
        <v>315431</v>
      </c>
      <c r="F19" s="1813">
        <f t="shared" si="2"/>
        <v>0</v>
      </c>
      <c r="G19" s="1813">
        <f t="shared" si="2"/>
        <v>315431</v>
      </c>
      <c r="H19" s="1813">
        <f t="shared" si="2"/>
        <v>331536</v>
      </c>
      <c r="I19" s="1813">
        <f t="shared" si="2"/>
        <v>0</v>
      </c>
      <c r="J19" s="1813">
        <f t="shared" si="2"/>
        <v>331536</v>
      </c>
    </row>
    <row r="20" spans="1:10" ht="13.5" thickTop="1" x14ac:dyDescent="0.2">
      <c r="A20" s="1035">
        <v>9</v>
      </c>
      <c r="B20" s="2328" t="s">
        <v>1980</v>
      </c>
      <c r="C20" s="2328"/>
      <c r="D20" s="2329"/>
      <c r="E20" s="1046"/>
      <c r="F20" s="1046"/>
      <c r="G20" s="1046"/>
      <c r="H20" s="1046"/>
      <c r="I20" s="1046"/>
      <c r="J20" s="1814">
        <f>IF(AND(G19&gt;0,J19&gt;0),(((J19-G19)/G19)),"Enter Budget Data")</f>
        <v>5.1057125013077347E-2</v>
      </c>
    </row>
    <row r="21" spans="1:10" ht="9" customHeight="1" x14ac:dyDescent="0.2">
      <c r="B21" s="1047"/>
    </row>
    <row r="22" spans="1:10" x14ac:dyDescent="0.2">
      <c r="A22" s="1048" t="s">
        <v>133</v>
      </c>
      <c r="B22" s="1047"/>
    </row>
    <row r="23" spans="1:10" x14ac:dyDescent="0.2">
      <c r="A23" s="1011" t="s">
        <v>1981</v>
      </c>
      <c r="B23" s="1047"/>
    </row>
    <row r="24" spans="1:10" x14ac:dyDescent="0.2">
      <c r="A24" s="1011" t="s">
        <v>1994</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1982</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2" sqref="B1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2143</v>
      </c>
    </row>
    <row r="6" spans="1:2" x14ac:dyDescent="0.2">
      <c r="A6" s="1068">
        <v>2</v>
      </c>
      <c r="B6" s="329" t="s">
        <v>2144</v>
      </c>
    </row>
    <row r="7" spans="1:2" x14ac:dyDescent="0.2">
      <c r="A7" s="1068">
        <v>3</v>
      </c>
      <c r="B7" s="329" t="s">
        <v>2145</v>
      </c>
    </row>
    <row r="8" spans="1:2" x14ac:dyDescent="0.2">
      <c r="A8" s="1068">
        <v>4</v>
      </c>
      <c r="B8" s="329" t="s">
        <v>2146</v>
      </c>
    </row>
    <row r="9" spans="1:2" x14ac:dyDescent="0.2">
      <c r="A9" s="1068">
        <v>5</v>
      </c>
      <c r="B9" s="329" t="s">
        <v>2147</v>
      </c>
    </row>
    <row r="10" spans="1:2" x14ac:dyDescent="0.2">
      <c r="A10" s="1068">
        <v>6</v>
      </c>
      <c r="B10" s="329" t="s">
        <v>2148</v>
      </c>
    </row>
    <row r="11" spans="1:2" x14ac:dyDescent="0.2">
      <c r="A11" s="1068">
        <v>7</v>
      </c>
      <c r="B11" s="329" t="s">
        <v>2149</v>
      </c>
    </row>
    <row r="12" spans="1:2" x14ac:dyDescent="0.2">
      <c r="A12" s="1068">
        <v>8</v>
      </c>
      <c r="B12" s="329" t="s">
        <v>2150</v>
      </c>
    </row>
    <row r="13" spans="1:2" x14ac:dyDescent="0.2">
      <c r="A13" s="1068">
        <v>9</v>
      </c>
      <c r="B13" s="329" t="s">
        <v>2151</v>
      </c>
    </row>
    <row r="14" spans="1:2" x14ac:dyDescent="0.2">
      <c r="A14" s="1068"/>
      <c r="B14" s="329" t="s">
        <v>2152</v>
      </c>
    </row>
    <row r="15" spans="1:2" x14ac:dyDescent="0.2">
      <c r="A15" s="1068">
        <v>10</v>
      </c>
      <c r="B15" s="329" t="s">
        <v>2153</v>
      </c>
    </row>
    <row r="16" spans="1:2" x14ac:dyDescent="0.2">
      <c r="A16" s="1068">
        <v>11</v>
      </c>
      <c r="B16" s="329" t="s">
        <v>2154</v>
      </c>
    </row>
    <row r="17" spans="1:2" x14ac:dyDescent="0.2">
      <c r="A17" s="1068">
        <v>12</v>
      </c>
      <c r="B17" s="329" t="s">
        <v>2155</v>
      </c>
    </row>
    <row r="18" spans="1:2" x14ac:dyDescent="0.2">
      <c r="A18" s="1068">
        <v>13</v>
      </c>
      <c r="B18" s="329" t="s">
        <v>2156</v>
      </c>
    </row>
    <row r="19" spans="1:2" x14ac:dyDescent="0.2">
      <c r="A19" s="1069">
        <v>14</v>
      </c>
      <c r="B19" s="329" t="s">
        <v>2157</v>
      </c>
    </row>
    <row r="20" spans="1:2" x14ac:dyDescent="0.2">
      <c r="A20" s="1069"/>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Sparta CUSD 140</v>
      </c>
    </row>
    <row r="65" spans="2:2" x14ac:dyDescent="0.2">
      <c r="B65" s="1070">
        <f>COVER!A13</f>
        <v>45079140026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B12" sqref="B1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4" sqref="B4"/>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B12" sqref="B1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1986</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1987</v>
      </c>
      <c r="B4" s="2356"/>
      <c r="C4" s="2356"/>
      <c r="D4" s="2356"/>
      <c r="E4" s="2356"/>
      <c r="F4" s="2357"/>
      <c r="G4" s="1074"/>
      <c r="H4" s="1074"/>
    </row>
    <row r="5" spans="1:8" ht="14.25" customHeight="1" x14ac:dyDescent="0.2">
      <c r="A5" s="2358" t="s">
        <v>1983</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10245390</v>
      </c>
      <c r="C8" s="1815">
        <f>'Acct Summary 7-8'!D8</f>
        <v>1534810</v>
      </c>
      <c r="D8" s="1815">
        <f>'Acct Summary 7-8'!F8</f>
        <v>1083877</v>
      </c>
      <c r="E8" s="1815">
        <f>'Acct Summary 7-8'!I8</f>
        <v>51444</v>
      </c>
      <c r="F8" s="1815">
        <f>SUM(B8:E8)</f>
        <v>12915521</v>
      </c>
    </row>
    <row r="9" spans="1:8" s="1079" customFormat="1" ht="14.25" customHeight="1" thickBot="1" x14ac:dyDescent="0.25">
      <c r="A9" s="1078" t="s">
        <v>1369</v>
      </c>
      <c r="B9" s="1816">
        <f>'Acct Summary 7-8'!C17</f>
        <v>9694696</v>
      </c>
      <c r="C9" s="1816">
        <f>'Acct Summary 7-8'!D17</f>
        <v>1337934</v>
      </c>
      <c r="D9" s="1816">
        <f>'Acct Summary 7-8'!F17</f>
        <v>1057200</v>
      </c>
      <c r="E9" s="1815"/>
      <c r="F9" s="1815">
        <f>SUM(B9:E9)</f>
        <v>12089830</v>
      </c>
    </row>
    <row r="10" spans="1:8" s="1079" customFormat="1" ht="14.25" thickTop="1" thickBot="1" x14ac:dyDescent="0.25">
      <c r="A10" s="1080" t="s">
        <v>1370</v>
      </c>
      <c r="B10" s="1817">
        <f>(B8-B9)</f>
        <v>550694</v>
      </c>
      <c r="C10" s="1817">
        <f>(C8-C9)</f>
        <v>196876</v>
      </c>
      <c r="D10" s="1817">
        <f>(D8-D9)</f>
        <v>26677</v>
      </c>
      <c r="E10" s="1816">
        <f>(E8-E9)</f>
        <v>51444</v>
      </c>
      <c r="F10" s="1818">
        <f>SUM(F8-F9)</f>
        <v>825691</v>
      </c>
    </row>
    <row r="11" spans="1:8" s="1079" customFormat="1" ht="14.25" thickTop="1" thickBot="1" x14ac:dyDescent="0.25">
      <c r="A11" s="1081" t="s">
        <v>1984</v>
      </c>
      <c r="B11" s="1819">
        <f>'Acct Summary 7-8'!C81</f>
        <v>1646566</v>
      </c>
      <c r="C11" s="1819">
        <f>'Acct Summary 7-8'!D81</f>
        <v>506432</v>
      </c>
      <c r="D11" s="1819">
        <f>'Acct Summary 7-8'!F81</f>
        <v>355632</v>
      </c>
      <c r="E11" s="1819">
        <f>'Acct Summary 7-8'!I81</f>
        <v>2362194</v>
      </c>
      <c r="F11" s="1820">
        <f>SUM(B11:E11)</f>
        <v>4870824</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11" colorId="8" zoomScale="110" zoomScaleNormal="110" workbookViewId="0">
      <selection activeCell="D55" sqref="D5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1834</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1912</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1913</v>
      </c>
      <c r="D66" s="1125"/>
    </row>
    <row r="67" spans="1:4" x14ac:dyDescent="0.2">
      <c r="A67" s="1119"/>
      <c r="B67" s="1140"/>
      <c r="C67" s="1147" t="s">
        <v>1021</v>
      </c>
      <c r="D67" s="1125"/>
    </row>
    <row r="68" spans="1:4" x14ac:dyDescent="0.2">
      <c r="A68" s="1100"/>
      <c r="B68" s="1110"/>
      <c r="C68" s="1102" t="s">
        <v>1914</v>
      </c>
      <c r="D68" s="1124" t="str">
        <f>IF('Short-Term Long-Term Debt 24'!F49=SUM(,'Acct Summary 7-8'!C33:K33),"OK","ERROR!")</f>
        <v>OK</v>
      </c>
    </row>
    <row r="69" spans="1:4" x14ac:dyDescent="0.2">
      <c r="A69" s="1100"/>
      <c r="B69" s="1110"/>
      <c r="C69" s="1102" t="s">
        <v>1915</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1916</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1917</v>
      </c>
      <c r="D78" s="1124" t="str">
        <f>IF(ISNUMBER('Acct Summary 7-8'!C9),"OK","ENTRY IS REQUIRED!")</f>
        <v>OK</v>
      </c>
    </row>
    <row r="79" spans="1:4" x14ac:dyDescent="0.2">
      <c r="A79" s="1119"/>
      <c r="B79" s="1120">
        <f>B74+1+1</f>
        <v>12</v>
      </c>
      <c r="C79" s="1130" t="s">
        <v>1902</v>
      </c>
      <c r="D79" s="1131" t="str">
        <f>IF(OR(COVER!$B$6="X",'PCTC-OEPP 27-28'!F78&gt;0),"OK","PLEASE ENTER 9 MO ADA.")</f>
        <v>OK</v>
      </c>
    </row>
    <row r="80" spans="1:4" x14ac:dyDescent="0.2">
      <c r="A80" s="1098"/>
      <c r="B80" s="1120">
        <v>13</v>
      </c>
      <c r="C80" s="1130" t="s">
        <v>1918</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45079140026</v>
      </c>
    </row>
    <row r="3" spans="1:2" x14ac:dyDescent="0.2">
      <c r="A3" t="s">
        <v>956</v>
      </c>
      <c r="B3" s="138" t="str">
        <f>COVER!A15</f>
        <v>Randolph</v>
      </c>
    </row>
    <row r="4" spans="1:2" x14ac:dyDescent="0.2">
      <c r="A4" t="s">
        <v>1007</v>
      </c>
      <c r="B4" s="138" t="str">
        <f>COVER!A17</f>
        <v>Sparta CUSD 140</v>
      </c>
    </row>
    <row r="5" spans="1:2" x14ac:dyDescent="0.2">
      <c r="A5" t="s">
        <v>704</v>
      </c>
      <c r="B5" s="138" t="str">
        <f>COVER!A38</f>
        <v>Dr. Gabrielle Schwemmer</v>
      </c>
    </row>
    <row r="6" spans="1:2" x14ac:dyDescent="0.2">
      <c r="A6" t="s">
        <v>709</v>
      </c>
      <c r="B6" s="138">
        <f>COVER!P35</f>
        <v>0</v>
      </c>
    </row>
    <row r="7" spans="1:2" x14ac:dyDescent="0.2">
      <c r="A7" t="s">
        <v>705</v>
      </c>
      <c r="B7" s="138">
        <f>COVER!I38</f>
        <v>0</v>
      </c>
    </row>
    <row r="8" spans="1:2" x14ac:dyDescent="0.2">
      <c r="A8" t="s">
        <v>706</v>
      </c>
      <c r="B8" s="138" t="str">
        <f>COVER!T38</f>
        <v>Kelton Davis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t="str">
        <f>COVER!T25</f>
        <v>jim@stcpa.com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35977</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264887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1646566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1646566</v>
      </c>
      <c r="D92" s="2" t="str">
        <f t="shared" si="0"/>
        <v>Error?</v>
      </c>
    </row>
    <row r="93" spans="1:4" x14ac:dyDescent="0.2">
      <c r="A93" s="5">
        <v>32</v>
      </c>
      <c r="B93" s="138">
        <f>'Assets-Liab 5-6'!C41</f>
        <v>1646566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81325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506432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506432</v>
      </c>
      <c r="D123" s="2" t="str">
        <f t="shared" si="0"/>
        <v>Error?</v>
      </c>
    </row>
    <row r="124" spans="1:4" x14ac:dyDescent="0.2">
      <c r="A124" s="5">
        <v>63</v>
      </c>
      <c r="B124" s="138">
        <f>'Assets-Liab 5-6'!D41</f>
        <v>506432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271899</v>
      </c>
      <c r="D129" s="2" t="str">
        <f t="shared" si="1"/>
        <v>Error?</v>
      </c>
    </row>
    <row r="130" spans="1:4" x14ac:dyDescent="0.2">
      <c r="A130" s="5">
        <v>69</v>
      </c>
      <c r="B130" s="138">
        <f>'Assets-Liab 5-6'!E12</f>
        <v>0</v>
      </c>
      <c r="D130" s="2" t="str">
        <f t="shared" si="1"/>
        <v>Error?</v>
      </c>
    </row>
    <row r="131" spans="1:4" x14ac:dyDescent="0.2">
      <c r="A131" s="5">
        <v>70</v>
      </c>
      <c r="B131" s="138">
        <f>'Assets-Liab 5-6'!E13</f>
        <v>578521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578521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335748</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355632</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355632</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53814</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81967</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81967</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414522</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603490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603490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213439</v>
      </c>
      <c r="D273" s="2" t="str">
        <f t="shared" si="3"/>
        <v>Error?</v>
      </c>
    </row>
    <row r="274" spans="1:4" x14ac:dyDescent="0.2">
      <c r="A274" s="5">
        <v>213</v>
      </c>
      <c r="B274" s="138">
        <f>'Assets-Liab 5-6'!M17</f>
        <v>18971965</v>
      </c>
      <c r="D274" s="2" t="str">
        <f t="shared" si="3"/>
        <v>Error?</v>
      </c>
    </row>
    <row r="275" spans="1:4" x14ac:dyDescent="0.2">
      <c r="A275" s="5">
        <v>214</v>
      </c>
      <c r="B275" s="138">
        <f>'Assets-Liab 5-6'!M18</f>
        <v>203736</v>
      </c>
      <c r="D275" s="2" t="str">
        <f t="shared" si="3"/>
        <v>Error?</v>
      </c>
    </row>
    <row r="276" spans="1:4" x14ac:dyDescent="0.2">
      <c r="A276" s="5">
        <v>215</v>
      </c>
      <c r="B276" s="138">
        <f>'Assets-Liab 5-6'!M19</f>
        <v>226522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19615662</v>
      </c>
      <c r="C279" s="2" t="s">
        <v>573</v>
      </c>
      <c r="D279" s="2" t="str">
        <f t="shared" si="3"/>
        <v>Error?</v>
      </c>
    </row>
    <row r="280" spans="1:4" x14ac:dyDescent="0.2">
      <c r="A280" s="5">
        <v>219</v>
      </c>
      <c r="B280" s="138">
        <f>'Assets-Liab 5-6'!M40</f>
        <v>19615662</v>
      </c>
      <c r="D280" s="2" t="str">
        <f t="shared" si="3"/>
        <v>Error?</v>
      </c>
    </row>
    <row r="281" spans="1:4" x14ac:dyDescent="0.2">
      <c r="A281" s="5">
        <v>220</v>
      </c>
      <c r="B281" s="138">
        <f>'Assets-Liab 5-6'!M41</f>
        <v>19615662</v>
      </c>
      <c r="C281" s="2" t="s">
        <v>573</v>
      </c>
      <c r="D281" s="2" t="str">
        <f t="shared" si="3"/>
        <v>Error?</v>
      </c>
    </row>
    <row r="282" spans="1:4" x14ac:dyDescent="0.2">
      <c r="A282" s="5">
        <v>221</v>
      </c>
      <c r="B282" s="138">
        <f>'Assets-Liab 5-6'!N21</f>
        <v>578521</v>
      </c>
      <c r="D282" s="2" t="str">
        <f t="shared" si="3"/>
        <v>Error?</v>
      </c>
    </row>
    <row r="283" spans="1:4" x14ac:dyDescent="0.2">
      <c r="A283" s="5">
        <v>222</v>
      </c>
      <c r="B283" s="138">
        <f>'Assets-Liab 5-6'!N22</f>
        <v>10921659</v>
      </c>
      <c r="D283" s="2" t="str">
        <f t="shared" si="3"/>
        <v>Error?</v>
      </c>
    </row>
    <row r="284" spans="1:4" x14ac:dyDescent="0.2">
      <c r="A284" s="5">
        <v>223</v>
      </c>
      <c r="B284" s="138">
        <f>'Assets-Liab 5-6'!N23</f>
        <v>11500180</v>
      </c>
      <c r="C284" s="2" t="s">
        <v>573</v>
      </c>
      <c r="D284" s="2" t="str">
        <f t="shared" si="3"/>
        <v>Error?</v>
      </c>
    </row>
    <row r="285" spans="1:4" x14ac:dyDescent="0.2">
      <c r="A285" s="5">
        <v>224</v>
      </c>
      <c r="B285" s="138">
        <f>'Assets-Liab 5-6'!N36</f>
        <v>11500180</v>
      </c>
      <c r="D285" s="2" t="str">
        <f t="shared" si="3"/>
        <v>Error?</v>
      </c>
    </row>
    <row r="286" spans="1:4" x14ac:dyDescent="0.2">
      <c r="A286" s="10">
        <v>225</v>
      </c>
      <c r="D286" s="2" t="str">
        <f t="shared" si="3"/>
        <v>OK</v>
      </c>
    </row>
    <row r="287" spans="1:4" x14ac:dyDescent="0.2">
      <c r="A287" s="5">
        <v>226</v>
      </c>
      <c r="B287" s="138">
        <f>'Assets-Liab 5-6'!N37</f>
        <v>11500180</v>
      </c>
      <c r="C287" s="2" t="s">
        <v>573</v>
      </c>
      <c r="D287" s="2" t="str">
        <f t="shared" si="3"/>
        <v>Error?</v>
      </c>
    </row>
    <row r="288" spans="1:4" x14ac:dyDescent="0.2">
      <c r="A288" s="5">
        <v>227</v>
      </c>
      <c r="B288" s="138">
        <f>'Assets-Liab 5-6'!N41</f>
        <v>11500180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2955742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222295</v>
      </c>
      <c r="D717" s="2" t="str">
        <f t="shared" si="10"/>
        <v>Error?</v>
      </c>
    </row>
    <row r="718" spans="1:4" x14ac:dyDescent="0.2">
      <c r="A718" s="5">
        <v>657</v>
      </c>
      <c r="B718" s="138">
        <f>'Expenditures 15-22'!C14</f>
        <v>200777</v>
      </c>
      <c r="D718" s="2" t="str">
        <f t="shared" si="10"/>
        <v>Error?</v>
      </c>
    </row>
    <row r="719" spans="1:4" x14ac:dyDescent="0.2">
      <c r="A719" s="5">
        <v>658</v>
      </c>
      <c r="B719" s="138">
        <f>'Expenditures 15-22'!C15</f>
        <v>0</v>
      </c>
      <c r="D719" s="2" t="str">
        <f t="shared" si="10"/>
        <v>Error?</v>
      </c>
    </row>
    <row r="720" spans="1:4" x14ac:dyDescent="0.2">
      <c r="A720" s="5">
        <v>659</v>
      </c>
      <c r="B720" s="138">
        <f>'Expenditures 15-22'!C33</f>
        <v>4671238</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90392</v>
      </c>
      <c r="D722" s="2" t="str">
        <f t="shared" si="10"/>
        <v>Error?</v>
      </c>
    </row>
    <row r="723" spans="1:4" x14ac:dyDescent="0.2">
      <c r="A723" s="5">
        <v>662</v>
      </c>
      <c r="B723" s="138">
        <f>'Expenditures 15-22'!C38</f>
        <v>25196</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26690</v>
      </c>
      <c r="D726" s="2" t="str">
        <f t="shared" si="10"/>
        <v>Error?</v>
      </c>
    </row>
    <row r="727" spans="1:4" x14ac:dyDescent="0.2">
      <c r="A727" s="5">
        <v>666</v>
      </c>
      <c r="B727" s="138">
        <f>'Expenditures 15-22'!C42</f>
        <v>142278</v>
      </c>
      <c r="C727" s="2" t="s">
        <v>573</v>
      </c>
      <c r="D727" s="2" t="str">
        <f t="shared" si="10"/>
        <v>Error?</v>
      </c>
    </row>
    <row r="728" spans="1:4" x14ac:dyDescent="0.2">
      <c r="A728" s="5">
        <v>667</v>
      </c>
      <c r="B728" s="138">
        <f>'Expenditures 15-22'!C44</f>
        <v>68226</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68226</v>
      </c>
      <c r="C731" s="2" t="s">
        <v>573</v>
      </c>
      <c r="D731" s="2" t="str">
        <f t="shared" si="10"/>
        <v>Error?</v>
      </c>
    </row>
    <row r="732" spans="1:4" x14ac:dyDescent="0.2">
      <c r="A732" s="5">
        <v>671</v>
      </c>
      <c r="B732" s="138">
        <f>'Expenditures 15-22'!C49</f>
        <v>16928</v>
      </c>
      <c r="D732" s="2" t="str">
        <f t="shared" si="10"/>
        <v>Error?</v>
      </c>
    </row>
    <row r="733" spans="1:4" x14ac:dyDescent="0.2">
      <c r="A733" s="5">
        <v>672</v>
      </c>
      <c r="B733" s="138">
        <f>'Expenditures 15-22'!C50</f>
        <v>227986</v>
      </c>
      <c r="D733" s="2" t="str">
        <f t="shared" si="10"/>
        <v>Error?</v>
      </c>
    </row>
    <row r="734" spans="1:4" x14ac:dyDescent="0.2">
      <c r="A734" s="5">
        <v>673</v>
      </c>
      <c r="B734" s="138">
        <f>'Expenditures 15-22'!C53</f>
        <v>249914</v>
      </c>
      <c r="C734" s="2" t="s">
        <v>573</v>
      </c>
      <c r="D734" s="2" t="str">
        <f t="shared" si="10"/>
        <v>Error?</v>
      </c>
    </row>
    <row r="735" spans="1:4" x14ac:dyDescent="0.2">
      <c r="A735" s="5">
        <v>674</v>
      </c>
      <c r="B735" s="138">
        <f>'Expenditures 15-22'!C55</f>
        <v>493095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493095</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303285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303285</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130551</v>
      </c>
      <c r="D751" s="2" t="str">
        <f t="shared" si="10"/>
        <v>Error?</v>
      </c>
    </row>
    <row r="752" spans="1:4" x14ac:dyDescent="0.2">
      <c r="A752" s="10">
        <v>691</v>
      </c>
      <c r="D752" s="2" t="str">
        <f t="shared" si="10"/>
        <v>OK</v>
      </c>
    </row>
    <row r="753" spans="1:4" x14ac:dyDescent="0.2">
      <c r="A753" s="5">
        <v>692</v>
      </c>
      <c r="B753" s="138">
        <f>'Expenditures 15-22'!C72</f>
        <v>130551</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1387349</v>
      </c>
      <c r="C755" s="2" t="s">
        <v>573</v>
      </c>
      <c r="D755" s="2" t="str">
        <f t="shared" si="10"/>
        <v>Error?</v>
      </c>
    </row>
    <row r="756" spans="1:4" x14ac:dyDescent="0.2">
      <c r="A756" s="5">
        <v>695</v>
      </c>
      <c r="B756" s="138">
        <f>'Expenditures 15-22'!C75</f>
        <v>5000</v>
      </c>
      <c r="D756" s="2" t="str">
        <f t="shared" si="10"/>
        <v>Error?</v>
      </c>
    </row>
    <row r="757" spans="1:4" x14ac:dyDescent="0.2">
      <c r="A757" s="5">
        <v>696</v>
      </c>
      <c r="B757" s="138">
        <f>'Expenditures 15-22'!C114</f>
        <v>6063587</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782185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78342</v>
      </c>
      <c r="D775" s="2" t="str">
        <f t="shared" si="11"/>
        <v>Error?</v>
      </c>
    </row>
    <row r="776" spans="1:4" x14ac:dyDescent="0.2">
      <c r="A776" s="5">
        <v>715</v>
      </c>
      <c r="B776" s="138">
        <f>'Expenditures 15-22'!D14</f>
        <v>19726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1153975</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26352</v>
      </c>
      <c r="D780" s="2" t="str">
        <f t="shared" si="11"/>
        <v>Error?</v>
      </c>
    </row>
    <row r="781" spans="1:4" x14ac:dyDescent="0.2">
      <c r="A781" s="5">
        <v>720</v>
      </c>
      <c r="B781" s="138">
        <f>'Expenditures 15-22'!D38</f>
        <v>1110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252</v>
      </c>
      <c r="D784" s="2" t="str">
        <f t="shared" si="11"/>
        <v>Error?</v>
      </c>
    </row>
    <row r="785" spans="1:4" x14ac:dyDescent="0.2">
      <c r="A785" s="5">
        <v>724</v>
      </c>
      <c r="B785" s="138">
        <f>'Expenditures 15-22'!D42</f>
        <v>27714</v>
      </c>
      <c r="C785" s="2" t="s">
        <v>573</v>
      </c>
      <c r="D785" s="2" t="str">
        <f t="shared" si="11"/>
        <v>Error?</v>
      </c>
    </row>
    <row r="786" spans="1:4" x14ac:dyDescent="0.2">
      <c r="A786" s="5">
        <v>725</v>
      </c>
      <c r="B786" s="138">
        <f>'Expenditures 15-22'!D44</f>
        <v>7629</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7629</v>
      </c>
      <c r="C789" s="2" t="s">
        <v>573</v>
      </c>
      <c r="D789" s="2" t="str">
        <f t="shared" si="11"/>
        <v>Error?</v>
      </c>
    </row>
    <row r="790" spans="1:4" x14ac:dyDescent="0.2">
      <c r="A790" s="5">
        <v>729</v>
      </c>
      <c r="B790" s="138">
        <f>'Expenditures 15-22'!D49</f>
        <v>816</v>
      </c>
      <c r="D790" s="2" t="str">
        <f t="shared" si="11"/>
        <v>Error?</v>
      </c>
    </row>
    <row r="791" spans="1:4" x14ac:dyDescent="0.2">
      <c r="A791" s="5">
        <v>730</v>
      </c>
      <c r="B791" s="138">
        <f>'Expenditures 15-22'!D50</f>
        <v>42742</v>
      </c>
      <c r="D791" s="2" t="str">
        <f t="shared" si="11"/>
        <v>Error?</v>
      </c>
    </row>
    <row r="792" spans="1:4" x14ac:dyDescent="0.2">
      <c r="A792" s="5">
        <v>731</v>
      </c>
      <c r="B792" s="138">
        <f>'Expenditures 15-22'!D53</f>
        <v>44745</v>
      </c>
      <c r="C792" s="2" t="s">
        <v>573</v>
      </c>
      <c r="D792" s="2" t="str">
        <f t="shared" si="11"/>
        <v>Error?</v>
      </c>
    </row>
    <row r="793" spans="1:4" x14ac:dyDescent="0.2">
      <c r="A793" s="5">
        <v>732</v>
      </c>
      <c r="B793" s="138">
        <f>'Expenditures 15-22'!D55</f>
        <v>157270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157270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74054</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74054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19094</v>
      </c>
      <c r="D809" s="2" t="str">
        <f t="shared" si="11"/>
        <v>Error?</v>
      </c>
    </row>
    <row r="810" spans="1:4" x14ac:dyDescent="0.2">
      <c r="A810" s="10">
        <v>749</v>
      </c>
      <c r="D810" s="2" t="str">
        <f t="shared" si="11"/>
        <v>OK</v>
      </c>
    </row>
    <row r="811" spans="1:4" x14ac:dyDescent="0.2">
      <c r="A811" s="5">
        <v>750</v>
      </c>
      <c r="B811" s="138">
        <f>'Expenditures 15-22'!D72</f>
        <v>19094</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330506</v>
      </c>
      <c r="C813" s="2" t="s">
        <v>573</v>
      </c>
      <c r="D813" s="2" t="str">
        <f t="shared" si="11"/>
        <v>Error?</v>
      </c>
    </row>
    <row r="814" spans="1:4" x14ac:dyDescent="0.2">
      <c r="A814" s="5">
        <v>753</v>
      </c>
      <c r="B814" s="138">
        <f>'Expenditures 15-22'!D75</f>
        <v>645</v>
      </c>
      <c r="D814" s="2" t="str">
        <f t="shared" si="11"/>
        <v>Error?</v>
      </c>
    </row>
    <row r="815" spans="1:4" x14ac:dyDescent="0.2">
      <c r="A815" s="5">
        <v>754</v>
      </c>
      <c r="B815" s="138">
        <f>'Expenditures 15-22'!D114</f>
        <v>1485126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2455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450</v>
      </c>
      <c r="D833" s="2" t="str">
        <f t="shared" si="12"/>
        <v>Error?</v>
      </c>
    </row>
    <row r="834" spans="1:4" x14ac:dyDescent="0.2">
      <c r="A834" s="5">
        <v>773</v>
      </c>
      <c r="B834" s="138">
        <f>'Expenditures 15-22'!E14</f>
        <v>39562</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52475</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108156</v>
      </c>
      <c r="D844" s="2" t="str">
        <f t="shared" si="12"/>
        <v>Error?</v>
      </c>
    </row>
    <row r="845" spans="1:4" x14ac:dyDescent="0.2">
      <c r="A845" s="5">
        <v>784</v>
      </c>
      <c r="B845" s="138">
        <f>'Expenditures 15-22'!E45</f>
        <v>100</v>
      </c>
      <c r="D845" s="2" t="str">
        <f t="shared" si="12"/>
        <v>Error?</v>
      </c>
    </row>
    <row r="846" spans="1:4" x14ac:dyDescent="0.2">
      <c r="A846" s="5">
        <v>785</v>
      </c>
      <c r="B846" s="138">
        <f>'Expenditures 15-22'!E46</f>
        <v>38633</v>
      </c>
      <c r="D846" s="2" t="str">
        <f t="shared" si="12"/>
        <v>Error?</v>
      </c>
    </row>
    <row r="847" spans="1:4" x14ac:dyDescent="0.2">
      <c r="A847" s="5">
        <v>786</v>
      </c>
      <c r="B847" s="138">
        <f>'Expenditures 15-22'!E47</f>
        <v>146889</v>
      </c>
      <c r="C847" s="2" t="s">
        <v>573</v>
      </c>
      <c r="D847" s="2" t="str">
        <f t="shared" si="12"/>
        <v>Error?</v>
      </c>
    </row>
    <row r="848" spans="1:4" x14ac:dyDescent="0.2">
      <c r="A848" s="5">
        <v>787</v>
      </c>
      <c r="B848" s="138">
        <f>'Expenditures 15-22'!E49</f>
        <v>79088</v>
      </c>
      <c r="D848" s="2" t="str">
        <f t="shared" si="12"/>
        <v>Error?</v>
      </c>
    </row>
    <row r="849" spans="1:4" x14ac:dyDescent="0.2">
      <c r="A849" s="5">
        <v>788</v>
      </c>
      <c r="B849" s="138">
        <f>'Expenditures 15-22'!E50</f>
        <v>22644</v>
      </c>
      <c r="D849" s="2" t="str">
        <f t="shared" si="12"/>
        <v>Error?</v>
      </c>
    </row>
    <row r="850" spans="1:4" x14ac:dyDescent="0.2">
      <c r="A850" s="5">
        <v>789</v>
      </c>
      <c r="B850" s="138">
        <f>'Expenditures 15-22'!E53</f>
        <v>101732</v>
      </c>
      <c r="C850" s="2" t="s">
        <v>573</v>
      </c>
      <c r="D850" s="2" t="str">
        <f t="shared" si="12"/>
        <v>Error?</v>
      </c>
    </row>
    <row r="851" spans="1:4" x14ac:dyDescent="0.2">
      <c r="A851" s="5">
        <v>790</v>
      </c>
      <c r="B851" s="138">
        <f>'Expenditures 15-22'!E55</f>
        <v>8662</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8662</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15192</v>
      </c>
      <c r="D856" s="2" t="str">
        <f t="shared" si="12"/>
        <v>Error?</v>
      </c>
    </row>
    <row r="857" spans="1:4" x14ac:dyDescent="0.2">
      <c r="A857" s="5">
        <v>796</v>
      </c>
      <c r="B857" s="138">
        <f>'Expenditures 15-22'!E62</f>
        <v>59198</v>
      </c>
      <c r="D857" s="2" t="str">
        <f t="shared" si="12"/>
        <v>Error?</v>
      </c>
    </row>
    <row r="858" spans="1:4" x14ac:dyDescent="0.2">
      <c r="A858" s="5">
        <v>797</v>
      </c>
      <c r="B858" s="138">
        <f>'Expenditures 15-22'!E63</f>
        <v>3703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78093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3255</v>
      </c>
      <c r="D867" s="2" t="str">
        <f t="shared" si="12"/>
        <v>Error?</v>
      </c>
    </row>
    <row r="868" spans="1:4" x14ac:dyDescent="0.2">
      <c r="A868" s="10">
        <v>807</v>
      </c>
      <c r="D868" s="2" t="str">
        <f t="shared" si="12"/>
        <v>OK</v>
      </c>
    </row>
    <row r="869" spans="1:4" x14ac:dyDescent="0.2">
      <c r="A869" s="5">
        <v>808</v>
      </c>
      <c r="B869" s="138">
        <f>'Expenditures 15-22'!E72</f>
        <v>3255</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338631</v>
      </c>
      <c r="C871" s="2" t="s">
        <v>573</v>
      </c>
      <c r="D871" s="2" t="str">
        <f t="shared" si="12"/>
        <v>Error?</v>
      </c>
    </row>
    <row r="872" spans="1:4" x14ac:dyDescent="0.2">
      <c r="A872" s="5">
        <v>811</v>
      </c>
      <c r="B872" s="138">
        <f>'Expenditures 15-22'!E75</f>
        <v>6069</v>
      </c>
      <c r="D872" s="2" t="str">
        <f t="shared" si="12"/>
        <v>Error?</v>
      </c>
    </row>
    <row r="873" spans="1:4" x14ac:dyDescent="0.2">
      <c r="A873" s="5">
        <v>812</v>
      </c>
      <c r="B873" s="138">
        <f>'Expenditures 15-22'!E114</f>
        <v>397175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55172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11825</v>
      </c>
      <c r="D891" s="2" t="str">
        <f t="shared" si="12"/>
        <v>Error?</v>
      </c>
    </row>
    <row r="892" spans="1:4" x14ac:dyDescent="0.2">
      <c r="A892" s="5">
        <v>831</v>
      </c>
      <c r="B892" s="138">
        <f>'Expenditures 15-22'!F14</f>
        <v>18871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221592</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982</v>
      </c>
      <c r="D896" s="2" t="str">
        <f t="shared" si="13"/>
        <v>Error?</v>
      </c>
    </row>
    <row r="897" spans="1:4" x14ac:dyDescent="0.2">
      <c r="A897" s="5">
        <v>836</v>
      </c>
      <c r="B897" s="138">
        <f>'Expenditures 15-22'!F38</f>
        <v>1919</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260</v>
      </c>
      <c r="D900" s="2" t="str">
        <f t="shared" si="13"/>
        <v>Error?</v>
      </c>
    </row>
    <row r="901" spans="1:4" x14ac:dyDescent="0.2">
      <c r="A901" s="5">
        <v>840</v>
      </c>
      <c r="B901" s="138">
        <f>'Expenditures 15-22'!F42</f>
        <v>3161</v>
      </c>
      <c r="C901" s="2" t="s">
        <v>573</v>
      </c>
      <c r="D901" s="2" t="str">
        <f t="shared" si="13"/>
        <v>Error?</v>
      </c>
    </row>
    <row r="902" spans="1:4" x14ac:dyDescent="0.2">
      <c r="A902" s="5">
        <v>841</v>
      </c>
      <c r="B902" s="138">
        <f>'Expenditures 15-22'!F44</f>
        <v>13250</v>
      </c>
      <c r="D902" s="2" t="str">
        <f t="shared" si="13"/>
        <v>Error?</v>
      </c>
    </row>
    <row r="903" spans="1:4" x14ac:dyDescent="0.2">
      <c r="A903" s="5">
        <v>842</v>
      </c>
      <c r="B903" s="138">
        <f>'Expenditures 15-22'!F45</f>
        <v>6769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20019</v>
      </c>
      <c r="C905" s="2" t="s">
        <v>573</v>
      </c>
      <c r="D905" s="2" t="str">
        <f t="shared" si="13"/>
        <v>Error?</v>
      </c>
    </row>
    <row r="906" spans="1:4" x14ac:dyDescent="0.2">
      <c r="A906" s="5">
        <v>845</v>
      </c>
      <c r="B906" s="138">
        <f>'Expenditures 15-22'!F49</f>
        <v>5412</v>
      </c>
      <c r="D906" s="2" t="str">
        <f t="shared" si="13"/>
        <v>Error?</v>
      </c>
    </row>
    <row r="907" spans="1:4" x14ac:dyDescent="0.2">
      <c r="A907" s="5">
        <v>846</v>
      </c>
      <c r="B907" s="138">
        <f>'Expenditures 15-22'!F50</f>
        <v>13922</v>
      </c>
      <c r="D907" s="2" t="str">
        <f t="shared" si="13"/>
        <v>Error?</v>
      </c>
    </row>
    <row r="908" spans="1:4" x14ac:dyDescent="0.2">
      <c r="A908" s="5">
        <v>847</v>
      </c>
      <c r="B908" s="138">
        <f>'Expenditures 15-22'!F53</f>
        <v>19334</v>
      </c>
      <c r="C908" s="2" t="s">
        <v>573</v>
      </c>
      <c r="D908" s="2" t="str">
        <f t="shared" si="13"/>
        <v>Error?</v>
      </c>
    </row>
    <row r="909" spans="1:4" x14ac:dyDescent="0.2">
      <c r="A909" s="5">
        <v>848</v>
      </c>
      <c r="B909" s="138">
        <f>'Expenditures 15-22'!F55</f>
        <v>67962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67962</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501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240187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240688</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16904</v>
      </c>
      <c r="D925" s="2" t="str">
        <f t="shared" si="13"/>
        <v>Error?</v>
      </c>
    </row>
    <row r="926" spans="1:4" x14ac:dyDescent="0.2">
      <c r="A926" s="10">
        <v>865</v>
      </c>
      <c r="D926" s="2" t="str">
        <f t="shared" si="13"/>
        <v>OK</v>
      </c>
    </row>
    <row r="927" spans="1:4" x14ac:dyDescent="0.2">
      <c r="A927" s="5">
        <v>866</v>
      </c>
      <c r="B927" s="138">
        <f>'Expenditures 15-22'!F72</f>
        <v>16904</v>
      </c>
      <c r="C927" s="2" t="s">
        <v>573</v>
      </c>
      <c r="D927" s="2" t="str">
        <f t="shared" si="13"/>
        <v>Error?</v>
      </c>
    </row>
    <row r="928" spans="1:4" x14ac:dyDescent="0.2">
      <c r="A928" s="5">
        <v>867</v>
      </c>
      <c r="B928" s="138">
        <f>'Expenditures 15-22'!F73</f>
        <v>549</v>
      </c>
      <c r="D928" s="2" t="str">
        <f t="shared" si="13"/>
        <v>Error?</v>
      </c>
    </row>
    <row r="929" spans="1:4" x14ac:dyDescent="0.2">
      <c r="A929" s="5">
        <v>868</v>
      </c>
      <c r="B929" s="138">
        <f>'Expenditures 15-22'!F74</f>
        <v>368617</v>
      </c>
      <c r="C929" s="2" t="s">
        <v>573</v>
      </c>
      <c r="D929" s="2" t="str">
        <f t="shared" si="13"/>
        <v>Error?</v>
      </c>
    </row>
    <row r="930" spans="1:4" x14ac:dyDescent="0.2">
      <c r="A930" s="5">
        <v>869</v>
      </c>
      <c r="B930" s="138">
        <f>'Expenditures 15-22'!F75</f>
        <v>20130</v>
      </c>
      <c r="D930" s="2" t="str">
        <f t="shared" si="13"/>
        <v>Error?</v>
      </c>
    </row>
    <row r="931" spans="1:4" x14ac:dyDescent="0.2">
      <c r="A931" s="5">
        <v>870</v>
      </c>
      <c r="B931" s="138">
        <f>'Expenditures 15-22'!F114</f>
        <v>610339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58641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5376</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64017</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1915</v>
      </c>
      <c r="D983" s="2" t="str">
        <f t="shared" si="14"/>
        <v>Error?</v>
      </c>
    </row>
    <row r="984" spans="1:4" x14ac:dyDescent="0.2">
      <c r="A984" s="10">
        <v>923</v>
      </c>
      <c r="D984" s="2" t="str">
        <f t="shared" si="14"/>
        <v>OK</v>
      </c>
    </row>
    <row r="985" spans="1:4" x14ac:dyDescent="0.2">
      <c r="A985" s="5">
        <v>924</v>
      </c>
      <c r="B985" s="138">
        <f>'Expenditures 15-22'!G72</f>
        <v>1915</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1915</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65932</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45536</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10615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56151</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17339</v>
      </c>
      <c r="D1022" s="2" t="str">
        <f t="shared" si="14"/>
        <v>Error?</v>
      </c>
    </row>
    <row r="1023" spans="1:4" x14ac:dyDescent="0.2">
      <c r="A1023" s="5">
        <v>962</v>
      </c>
      <c r="B1023" s="138">
        <f>'Expenditures 15-22'!H50</f>
        <v>1950</v>
      </c>
      <c r="D1023" s="2" t="str">
        <f t="shared" ref="D1023:D1086" si="15">IF(ISBLANK(B1023),"OK",IF(A1023-B1023=0,"OK","Error?"))</f>
        <v>Error?</v>
      </c>
    </row>
    <row r="1024" spans="1:4" x14ac:dyDescent="0.2">
      <c r="A1024" s="5">
        <v>963</v>
      </c>
      <c r="B1024" s="138">
        <f>'Expenditures 15-22'!H53</f>
        <v>19289</v>
      </c>
      <c r="C1024" s="2" t="s">
        <v>573</v>
      </c>
      <c r="D1024" s="2" t="str">
        <f t="shared" si="15"/>
        <v>Error?</v>
      </c>
    </row>
    <row r="1025" spans="1:4" x14ac:dyDescent="0.2">
      <c r="A1025" s="5">
        <v>964</v>
      </c>
      <c r="B1025" s="138">
        <f>'Expenditures 15-22'!H55</f>
        <v>2554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2554</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68</v>
      </c>
      <c r="D1041" s="2" t="str">
        <f t="shared" si="15"/>
        <v>Error?</v>
      </c>
    </row>
    <row r="1042" spans="1:4" x14ac:dyDescent="0.2">
      <c r="A1042" s="10">
        <v>981</v>
      </c>
      <c r="D1042" s="2" t="str">
        <f t="shared" si="15"/>
        <v>OK</v>
      </c>
    </row>
    <row r="1043" spans="1:4" x14ac:dyDescent="0.2">
      <c r="A1043" s="5">
        <v>982</v>
      </c>
      <c r="B1043" s="138">
        <f>'Expenditures 15-22'!H72</f>
        <v>68</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21911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994475</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1072537</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3899731</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312912</v>
      </c>
      <c r="C1105" s="2" t="s">
        <v>573</v>
      </c>
      <c r="D1105" s="2" t="str">
        <f t="shared" si="16"/>
        <v>Error?</v>
      </c>
    </row>
    <row r="1106" spans="1:4" x14ac:dyDescent="0.2">
      <c r="A1106" s="5">
        <v>1045</v>
      </c>
      <c r="B1106" s="138">
        <f>'Expenditures 15-22'!K14</f>
        <v>294927</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6219448</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117726</v>
      </c>
      <c r="C1110" s="2" t="s">
        <v>573</v>
      </c>
      <c r="D1110" s="2" t="str">
        <f t="shared" si="16"/>
        <v>Error?</v>
      </c>
    </row>
    <row r="1111" spans="1:4" x14ac:dyDescent="0.2">
      <c r="A1111" s="5">
        <v>1050</v>
      </c>
      <c r="B1111" s="138">
        <f>'Expenditures 15-22'!K38</f>
        <v>28225</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27202</v>
      </c>
      <c r="C1114" s="2" t="s">
        <v>573</v>
      </c>
      <c r="D1114" s="2" t="str">
        <f t="shared" si="16"/>
        <v>Error?</v>
      </c>
    </row>
    <row r="1115" spans="1:4" x14ac:dyDescent="0.2">
      <c r="A1115" s="5">
        <v>1054</v>
      </c>
      <c r="B1115" s="138">
        <f>'Expenditures 15-22'!K42</f>
        <v>173153</v>
      </c>
      <c r="C1115" s="2" t="s">
        <v>573</v>
      </c>
      <c r="D1115" s="2" t="str">
        <f t="shared" si="16"/>
        <v>Error?</v>
      </c>
    </row>
    <row r="1116" spans="1:4" x14ac:dyDescent="0.2">
      <c r="A1116" s="5">
        <v>1055</v>
      </c>
      <c r="B1116" s="138">
        <f>'Expenditures 15-22'!K44</f>
        <v>197261</v>
      </c>
      <c r="C1116" s="2" t="s">
        <v>573</v>
      </c>
      <c r="D1116" s="2" t="str">
        <f t="shared" si="16"/>
        <v>Error?</v>
      </c>
    </row>
    <row r="1117" spans="1:4" x14ac:dyDescent="0.2">
      <c r="A1117" s="5">
        <v>1056</v>
      </c>
      <c r="B1117" s="138">
        <f>'Expenditures 15-22'!K45</f>
        <v>6869</v>
      </c>
      <c r="C1117" s="2" t="s">
        <v>573</v>
      </c>
      <c r="D1117" s="2" t="str">
        <f t="shared" si="16"/>
        <v>Error?</v>
      </c>
    </row>
    <row r="1118" spans="1:4" x14ac:dyDescent="0.2">
      <c r="A1118" s="5">
        <v>1057</v>
      </c>
      <c r="B1118" s="138">
        <f>'Expenditures 15-22'!K46</f>
        <v>38633</v>
      </c>
      <c r="C1118" s="2" t="s">
        <v>573</v>
      </c>
      <c r="D1118" s="2" t="str">
        <f t="shared" si="16"/>
        <v>Error?</v>
      </c>
    </row>
    <row r="1119" spans="1:4" x14ac:dyDescent="0.2">
      <c r="A1119" s="5">
        <v>1058</v>
      </c>
      <c r="B1119" s="138">
        <f>'Expenditures 15-22'!K47</f>
        <v>242763</v>
      </c>
      <c r="C1119" s="2" t="s">
        <v>573</v>
      </c>
      <c r="D1119" s="2" t="str">
        <f t="shared" si="16"/>
        <v>Error?</v>
      </c>
    </row>
    <row r="1120" spans="1:4" x14ac:dyDescent="0.2">
      <c r="A1120" s="5">
        <v>1059</v>
      </c>
      <c r="B1120" s="138">
        <f>'Expenditures 15-22'!K49</f>
        <v>119583</v>
      </c>
      <c r="C1120" s="2" t="s">
        <v>573</v>
      </c>
      <c r="D1120" s="2" t="str">
        <f t="shared" si="16"/>
        <v>Error?</v>
      </c>
    </row>
    <row r="1121" spans="1:4" x14ac:dyDescent="0.2">
      <c r="A1121" s="5">
        <v>1060</v>
      </c>
      <c r="B1121" s="138">
        <f>'Expenditures 15-22'!K50</f>
        <v>309244</v>
      </c>
      <c r="C1121" s="2" t="s">
        <v>573</v>
      </c>
      <c r="D1121" s="2" t="str">
        <f t="shared" si="16"/>
        <v>Error?</v>
      </c>
    </row>
    <row r="1122" spans="1:4" x14ac:dyDescent="0.2">
      <c r="A1122" s="5">
        <v>1061</v>
      </c>
      <c r="B1122" s="138">
        <f>'Expenditures 15-22'!K53</f>
        <v>435014</v>
      </c>
      <c r="C1122" s="2" t="s">
        <v>573</v>
      </c>
      <c r="D1122" s="2" t="str">
        <f t="shared" si="16"/>
        <v>Error?</v>
      </c>
    </row>
    <row r="1123" spans="1:4" x14ac:dyDescent="0.2">
      <c r="A1123" s="5">
        <v>1062</v>
      </c>
      <c r="B1123" s="138">
        <f>'Expenditures 15-22'!K55</f>
        <v>729543</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729543</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15693</v>
      </c>
      <c r="C1128" s="2" t="s">
        <v>573</v>
      </c>
      <c r="D1128" s="2" t="str">
        <f t="shared" si="16"/>
        <v>Error?</v>
      </c>
    </row>
    <row r="1129" spans="1:4" x14ac:dyDescent="0.2">
      <c r="A1129" s="5">
        <v>1068</v>
      </c>
      <c r="B1129" s="138">
        <f>'Expenditures 15-22'!K62</f>
        <v>59198</v>
      </c>
      <c r="C1129" s="2" t="s">
        <v>573</v>
      </c>
      <c r="D1129" s="2" t="str">
        <f t="shared" si="16"/>
        <v>Error?</v>
      </c>
    </row>
    <row r="1130" spans="1:4" x14ac:dyDescent="0.2">
      <c r="A1130" s="5">
        <v>1069</v>
      </c>
      <c r="B1130" s="138">
        <f>'Expenditures 15-22'!K63</f>
        <v>621229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696120</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171787</v>
      </c>
      <c r="C1139" s="2" t="s">
        <v>573</v>
      </c>
      <c r="D1139" s="2" t="str">
        <f t="shared" si="16"/>
        <v>Error?</v>
      </c>
    </row>
    <row r="1140" spans="1:4" x14ac:dyDescent="0.2">
      <c r="A1140" s="10">
        <v>1079</v>
      </c>
      <c r="D1140" s="2" t="str">
        <f t="shared" si="16"/>
        <v>OK</v>
      </c>
    </row>
    <row r="1141" spans="1:4" x14ac:dyDescent="0.2">
      <c r="A1141" s="5">
        <v>1080</v>
      </c>
      <c r="B1141" s="138">
        <f>'Expenditures 15-22'!K72</f>
        <v>171787</v>
      </c>
      <c r="C1141" s="2" t="s">
        <v>573</v>
      </c>
      <c r="D1141" s="2" t="str">
        <f t="shared" si="16"/>
        <v>Error?</v>
      </c>
    </row>
    <row r="1142" spans="1:4" x14ac:dyDescent="0.2">
      <c r="A1142" s="5">
        <v>1081</v>
      </c>
      <c r="B1142" s="138">
        <f>'Expenditures 15-22'!K73</f>
        <v>549</v>
      </c>
      <c r="C1142" s="2" t="s">
        <v>573</v>
      </c>
      <c r="D1142" s="2" t="str">
        <f t="shared" si="16"/>
        <v>Error?</v>
      </c>
    </row>
    <row r="1143" spans="1:4" x14ac:dyDescent="0.2">
      <c r="A1143" s="5">
        <v>1082</v>
      </c>
      <c r="B1143" s="138">
        <f>'Expenditures 15-22'!K74</f>
        <v>2448929</v>
      </c>
      <c r="C1143" s="2" t="s">
        <v>573</v>
      </c>
      <c r="D1143" s="2" t="str">
        <f t="shared" si="16"/>
        <v>Error?</v>
      </c>
    </row>
    <row r="1144" spans="1:4" x14ac:dyDescent="0.2">
      <c r="A1144" s="5">
        <v>1083</v>
      </c>
      <c r="B1144" s="138">
        <f>'Expenditures 15-22'!K75</f>
        <v>31844</v>
      </c>
      <c r="C1144" s="2" t="s">
        <v>573</v>
      </c>
      <c r="D1144" s="2" t="str">
        <f t="shared" si="16"/>
        <v>Error?</v>
      </c>
    </row>
    <row r="1145" spans="1:4" x14ac:dyDescent="0.2">
      <c r="A1145" s="5">
        <v>1084</v>
      </c>
      <c r="B1145" s="138">
        <f>'Expenditures 15-22'!K102</f>
        <v>994475</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9694696</v>
      </c>
      <c r="C1152" s="2" t="s">
        <v>573</v>
      </c>
      <c r="D1152" s="2" t="str">
        <f t="shared" si="17"/>
        <v>Error?</v>
      </c>
    </row>
    <row r="1153" spans="1:4" x14ac:dyDescent="0.2">
      <c r="A1153" s="5">
        <v>1092</v>
      </c>
      <c r="B1153" s="138">
        <f>'Expenditures 15-22'!K115</f>
        <v>550694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416947</v>
      </c>
      <c r="D1221" s="2" t="str">
        <f t="shared" si="18"/>
        <v>Error?</v>
      </c>
    </row>
    <row r="1222" spans="1:4" x14ac:dyDescent="0.2">
      <c r="A1222" s="10">
        <v>1161</v>
      </c>
      <c r="D1222" s="2" t="str">
        <f t="shared" si="18"/>
        <v>OK</v>
      </c>
    </row>
    <row r="1223" spans="1:4" x14ac:dyDescent="0.2">
      <c r="A1223" s="5">
        <v>1162</v>
      </c>
      <c r="B1223" s="138">
        <f>'Expenditures 15-22'!C127</f>
        <v>416947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416947</v>
      </c>
      <c r="C1225" s="2" t="s">
        <v>573</v>
      </c>
      <c r="D1225" s="2" t="str">
        <f t="shared" si="18"/>
        <v>Error?</v>
      </c>
    </row>
    <row r="1226" spans="1:4" x14ac:dyDescent="0.2">
      <c r="A1226" s="5">
        <v>1165</v>
      </c>
      <c r="B1226" s="138">
        <f>'Expenditures 15-22'!C151</f>
        <v>416947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106567</v>
      </c>
      <c r="D1229" s="2" t="str">
        <f t="shared" si="18"/>
        <v>Error?</v>
      </c>
    </row>
    <row r="1230" spans="1:4" x14ac:dyDescent="0.2">
      <c r="A1230" s="10">
        <v>1169</v>
      </c>
      <c r="D1230" s="2" t="str">
        <f t="shared" si="18"/>
        <v>OK</v>
      </c>
    </row>
    <row r="1231" spans="1:4" x14ac:dyDescent="0.2">
      <c r="A1231" s="5">
        <v>1170</v>
      </c>
      <c r="B1231" s="138">
        <f>'Expenditures 15-22'!D127</f>
        <v>106567</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106567</v>
      </c>
      <c r="C1233" s="2" t="s">
        <v>573</v>
      </c>
      <c r="D1233" s="2" t="str">
        <f t="shared" si="18"/>
        <v>Error?</v>
      </c>
    </row>
    <row r="1234" spans="1:4" x14ac:dyDescent="0.2">
      <c r="A1234" s="5">
        <v>1173</v>
      </c>
      <c r="B1234" s="138">
        <f>'Expenditures 15-22'!D151</f>
        <v>106567</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104841</v>
      </c>
      <c r="D1236" s="2" t="str">
        <f t="shared" si="18"/>
        <v>Error?</v>
      </c>
    </row>
    <row r="1237" spans="1:4" x14ac:dyDescent="0.2">
      <c r="A1237" s="5">
        <v>1176</v>
      </c>
      <c r="B1237" s="138">
        <f>'Expenditures 15-22'!E124</f>
        <v>336884</v>
      </c>
      <c r="D1237" s="2" t="str">
        <f t="shared" si="18"/>
        <v>Error?</v>
      </c>
    </row>
    <row r="1238" spans="1:4" x14ac:dyDescent="0.2">
      <c r="A1238" s="10">
        <v>1177</v>
      </c>
      <c r="D1238" s="2" t="str">
        <f t="shared" si="18"/>
        <v>OK</v>
      </c>
    </row>
    <row r="1239" spans="1:4" x14ac:dyDescent="0.2">
      <c r="A1239" s="5">
        <v>1178</v>
      </c>
      <c r="B1239" s="138">
        <f>'Expenditures 15-22'!E127</f>
        <v>441725</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441725</v>
      </c>
      <c r="C1241" s="2" t="s">
        <v>573</v>
      </c>
      <c r="D1241" s="2" t="str">
        <f t="shared" si="18"/>
        <v>Error?</v>
      </c>
    </row>
    <row r="1242" spans="1:4" x14ac:dyDescent="0.2">
      <c r="A1242" s="5">
        <v>1181</v>
      </c>
      <c r="B1242" s="138">
        <f>'Expenditures 15-22'!E151</f>
        <v>441725</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3929</v>
      </c>
      <c r="D1244" s="2" t="str">
        <f t="shared" si="18"/>
        <v>Error?</v>
      </c>
    </row>
    <row r="1245" spans="1:4" x14ac:dyDescent="0.2">
      <c r="A1245" s="5">
        <v>1184</v>
      </c>
      <c r="B1245" s="138">
        <f>'Expenditures 15-22'!F124</f>
        <v>368709</v>
      </c>
      <c r="D1245" s="2" t="str">
        <f t="shared" si="18"/>
        <v>Error?</v>
      </c>
    </row>
    <row r="1246" spans="1:4" x14ac:dyDescent="0.2">
      <c r="A1246" s="10">
        <v>1185</v>
      </c>
      <c r="D1246" s="2" t="str">
        <f t="shared" si="18"/>
        <v>OK</v>
      </c>
    </row>
    <row r="1247" spans="1:4" x14ac:dyDescent="0.2">
      <c r="A1247" s="5">
        <v>1186</v>
      </c>
      <c r="B1247" s="138">
        <f>'Expenditures 15-22'!F127</f>
        <v>372638</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372638</v>
      </c>
      <c r="C1249" s="2" t="s">
        <v>573</v>
      </c>
      <c r="D1249" s="2" t="str">
        <f t="shared" si="18"/>
        <v>Error?</v>
      </c>
    </row>
    <row r="1250" spans="1:4" x14ac:dyDescent="0.2">
      <c r="A1250" s="5">
        <v>1189</v>
      </c>
      <c r="B1250" s="138">
        <f>'Expenditures 15-22'!F151</f>
        <v>372638</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57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57</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57</v>
      </c>
      <c r="C1258" s="2" t="s">
        <v>573</v>
      </c>
      <c r="D1258" s="2" t="str">
        <f t="shared" si="18"/>
        <v>Error?</v>
      </c>
    </row>
    <row r="1259" spans="1:4" x14ac:dyDescent="0.2">
      <c r="A1259" s="5">
        <v>1198</v>
      </c>
      <c r="B1259" s="138">
        <f>'Expenditures 15-22'!G151</f>
        <v>57</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108770</v>
      </c>
      <c r="C1275" s="2" t="s">
        <v>573</v>
      </c>
      <c r="D1275" s="2" t="str">
        <f t="shared" si="18"/>
        <v>Error?</v>
      </c>
    </row>
    <row r="1276" spans="1:4" x14ac:dyDescent="0.2">
      <c r="A1276" s="5">
        <v>1215</v>
      </c>
      <c r="B1276" s="138">
        <f>'Expenditures 15-22'!K124</f>
        <v>1229164</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1337934</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1337934</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1337934</v>
      </c>
      <c r="C1288" s="2" t="s">
        <v>573</v>
      </c>
      <c r="D1288" s="2" t="str">
        <f t="shared" si="19"/>
        <v>Error?</v>
      </c>
    </row>
    <row r="1289" spans="1:4" x14ac:dyDescent="0.2">
      <c r="A1289" s="5">
        <v>1228</v>
      </c>
      <c r="B1289" s="138">
        <f>'Expenditures 15-22'!K152</f>
        <v>196876</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354701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1120000</v>
      </c>
      <c r="D1315" s="2" t="str">
        <f t="shared" si="19"/>
        <v>Error?</v>
      </c>
    </row>
    <row r="1316" spans="1:4" x14ac:dyDescent="0.2">
      <c r="A1316" s="5">
        <v>1255</v>
      </c>
      <c r="B1316" s="138">
        <f>'Expenditures 15-22'!H171</f>
        <v>1378</v>
      </c>
      <c r="D1316" s="2" t="str">
        <f t="shared" si="19"/>
        <v>Error?</v>
      </c>
    </row>
    <row r="1317" spans="1:4" x14ac:dyDescent="0.2">
      <c r="A1317" s="5">
        <v>1256</v>
      </c>
      <c r="B1317" s="138">
        <f>'Expenditures 15-22'!H172</f>
        <v>1476079</v>
      </c>
      <c r="C1317" s="2" t="s">
        <v>573</v>
      </c>
      <c r="D1317" s="2" t="str">
        <f t="shared" si="19"/>
        <v>Error?</v>
      </c>
    </row>
    <row r="1318" spans="1:4" x14ac:dyDescent="0.2">
      <c r="A1318" s="5">
        <v>1257</v>
      </c>
      <c r="B1318" s="138">
        <f>'Expenditures 15-22'!H174</f>
        <v>1476079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354701</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1120000</v>
      </c>
      <c r="C1329" s="2" t="s">
        <v>573</v>
      </c>
      <c r="D1329" s="2" t="str">
        <f t="shared" si="19"/>
        <v>Error?</v>
      </c>
    </row>
    <row r="1330" spans="1:4" x14ac:dyDescent="0.2">
      <c r="A1330" s="5">
        <v>1269</v>
      </c>
      <c r="B1330" s="138">
        <f>'Expenditures 15-22'!K171</f>
        <v>1378</v>
      </c>
      <c r="C1330" s="2" t="s">
        <v>573</v>
      </c>
      <c r="D1330" s="2" t="str">
        <f t="shared" si="19"/>
        <v>Error?</v>
      </c>
    </row>
    <row r="1331" spans="1:4" x14ac:dyDescent="0.2">
      <c r="A1331" s="5">
        <v>1270</v>
      </c>
      <c r="B1331" s="138">
        <f>'Expenditures 15-22'!K172</f>
        <v>1476079</v>
      </c>
      <c r="C1331" s="2" t="s">
        <v>573</v>
      </c>
      <c r="D1331" s="2" t="str">
        <f t="shared" si="19"/>
        <v>Error?</v>
      </c>
    </row>
    <row r="1332" spans="1:4" x14ac:dyDescent="0.2">
      <c r="A1332" s="5">
        <v>1271</v>
      </c>
      <c r="B1332" s="138">
        <f>'Expenditures 15-22'!K174</f>
        <v>1476079</v>
      </c>
      <c r="C1332" s="2" t="s">
        <v>573</v>
      </c>
      <c r="D1332" s="2" t="str">
        <f t="shared" si="19"/>
        <v>Error?</v>
      </c>
    </row>
    <row r="1333" spans="1:4" x14ac:dyDescent="0.2">
      <c r="A1333" s="5">
        <v>1272</v>
      </c>
      <c r="B1333" s="138">
        <f>'Expenditures 15-22'!K175</f>
        <v>-1472821</v>
      </c>
      <c r="C1333" s="2" t="s">
        <v>573</v>
      </c>
      <c r="D1333" s="2" t="str">
        <f t="shared" si="19"/>
        <v>Error?</v>
      </c>
    </row>
    <row r="1334" spans="1:4" x14ac:dyDescent="0.2">
      <c r="A1334" s="10">
        <v>1273</v>
      </c>
      <c r="D1334" s="2" t="str">
        <f t="shared" si="19"/>
        <v>OK</v>
      </c>
    </row>
    <row r="1335" spans="1:4" x14ac:dyDescent="0.2">
      <c r="A1335" s="5">
        <v>1274</v>
      </c>
      <c r="B1335" s="138">
        <f>'Expenditures 15-22'!C182</f>
        <v>5855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5855</v>
      </c>
      <c r="C1339" s="2" t="s">
        <v>573</v>
      </c>
      <c r="D1339" s="2" t="str">
        <f t="shared" si="19"/>
        <v>Error?</v>
      </c>
    </row>
    <row r="1340" spans="1:4" x14ac:dyDescent="0.2">
      <c r="A1340" s="5">
        <v>1279</v>
      </c>
      <c r="B1340" s="138">
        <f>'Expenditures 15-22'!C210</f>
        <v>5855</v>
      </c>
      <c r="C1340" s="2" t="s">
        <v>573</v>
      </c>
      <c r="D1340" s="2" t="str">
        <f t="shared" si="19"/>
        <v>Error?</v>
      </c>
    </row>
    <row r="1341" spans="1:4" x14ac:dyDescent="0.2">
      <c r="A1341" s="5">
        <v>1280</v>
      </c>
      <c r="B1341" s="138">
        <f>'Expenditures 15-22'!D182</f>
        <v>756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756</v>
      </c>
      <c r="C1345" s="2" t="s">
        <v>573</v>
      </c>
      <c r="D1345" s="2" t="str">
        <f t="shared" si="20"/>
        <v>Error?</v>
      </c>
    </row>
    <row r="1346" spans="1:4" x14ac:dyDescent="0.2">
      <c r="A1346" s="5">
        <v>1285</v>
      </c>
      <c r="B1346" s="138">
        <f>'Expenditures 15-22'!D210</f>
        <v>756</v>
      </c>
      <c r="C1346" s="2" t="s">
        <v>573</v>
      </c>
      <c r="D1346" s="2" t="str">
        <f t="shared" si="20"/>
        <v>Error?</v>
      </c>
    </row>
    <row r="1347" spans="1:4" x14ac:dyDescent="0.2">
      <c r="A1347" s="5">
        <v>1286</v>
      </c>
      <c r="B1347" s="138">
        <f>'Expenditures 15-22'!E182</f>
        <v>978777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978777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978777</v>
      </c>
      <c r="C1353" s="2" t="s">
        <v>573</v>
      </c>
      <c r="D1353" s="2" t="str">
        <f t="shared" si="20"/>
        <v>Error?</v>
      </c>
    </row>
    <row r="1354" spans="1:4" x14ac:dyDescent="0.2">
      <c r="A1354" s="5">
        <v>1293</v>
      </c>
      <c r="B1354" s="138">
        <f>'Expenditures 15-22'!F182</f>
        <v>71812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71812</v>
      </c>
      <c r="C1358" s="2" t="s">
        <v>573</v>
      </c>
      <c r="D1358" s="2" t="str">
        <f t="shared" si="20"/>
        <v>Error?</v>
      </c>
    </row>
    <row r="1359" spans="1:4" x14ac:dyDescent="0.2">
      <c r="A1359" s="5">
        <v>1298</v>
      </c>
      <c r="B1359" s="138">
        <f>'Expenditures 15-22'!F210</f>
        <v>71812</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1057200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1057200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1057200</v>
      </c>
      <c r="C1388" s="2" t="s">
        <v>573</v>
      </c>
      <c r="D1388" s="2" t="str">
        <f t="shared" si="20"/>
        <v>Error?</v>
      </c>
    </row>
    <row r="1389" spans="1:4" x14ac:dyDescent="0.2">
      <c r="A1389" s="5">
        <v>1328</v>
      </c>
      <c r="B1389" s="138">
        <f>'Expenditures 15-22'!K211</f>
        <v>26677</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3068</v>
      </c>
      <c r="D1407" s="2" t="str">
        <f t="shared" ref="D1407:D1470" si="21">IF(ISBLANK(B1407),"OK",IF(A1407-B1407=0,"OK","Error?"))</f>
        <v>Error?</v>
      </c>
    </row>
    <row r="1408" spans="1:4" x14ac:dyDescent="0.2">
      <c r="A1408" s="5">
        <v>1347</v>
      </c>
      <c r="B1408" s="138">
        <f>'Expenditures 15-22'!D223</f>
        <v>6890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151692</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5629</v>
      </c>
      <c r="D1412" s="2" t="str">
        <f t="shared" si="21"/>
        <v>Error?</v>
      </c>
    </row>
    <row r="1413" spans="1:4" x14ac:dyDescent="0.2">
      <c r="A1413" s="5">
        <v>1352</v>
      </c>
      <c r="B1413" s="138">
        <f>'Expenditures 15-22'!D234</f>
        <v>4454</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2600</v>
      </c>
      <c r="D1416" s="2" t="str">
        <f t="shared" si="21"/>
        <v>Error?</v>
      </c>
    </row>
    <row r="1417" spans="1:4" x14ac:dyDescent="0.2">
      <c r="A1417" s="5">
        <v>1356</v>
      </c>
      <c r="B1417" s="138">
        <f>'Expenditures 15-22'!D238</f>
        <v>12683</v>
      </c>
      <c r="C1417" s="2" t="s">
        <v>573</v>
      </c>
      <c r="D1417" s="2" t="str">
        <f t="shared" si="21"/>
        <v>Error?</v>
      </c>
    </row>
    <row r="1418" spans="1:4" x14ac:dyDescent="0.2">
      <c r="A1418" s="5">
        <v>1357</v>
      </c>
      <c r="B1418" s="138">
        <f>'Expenditures 15-22'!D240</f>
        <v>2100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2100</v>
      </c>
      <c r="C1421" s="2" t="s">
        <v>573</v>
      </c>
      <c r="D1421" s="2" t="str">
        <f t="shared" si="21"/>
        <v>Error?</v>
      </c>
    </row>
    <row r="1422" spans="1:4" x14ac:dyDescent="0.2">
      <c r="A1422" s="5">
        <v>1361</v>
      </c>
      <c r="B1422" s="138">
        <f>'Expenditures 15-22'!D245</f>
        <v>2818</v>
      </c>
      <c r="D1422" s="2" t="str">
        <f t="shared" si="21"/>
        <v>Error?</v>
      </c>
    </row>
    <row r="1423" spans="1:4" x14ac:dyDescent="0.2">
      <c r="A1423" s="5">
        <v>1362</v>
      </c>
      <c r="B1423" s="138">
        <f>'Expenditures 15-22'!D246</f>
        <v>23281</v>
      </c>
      <c r="D1423" s="2" t="str">
        <f t="shared" si="21"/>
        <v>Error?</v>
      </c>
    </row>
    <row r="1424" spans="1:4" x14ac:dyDescent="0.2">
      <c r="A1424" s="5">
        <v>1363</v>
      </c>
      <c r="B1424" s="138">
        <f>'Expenditures 15-22'!D257</f>
        <v>26099</v>
      </c>
      <c r="C1424" s="2" t="s">
        <v>573</v>
      </c>
      <c r="D1424" s="2" t="str">
        <f t="shared" si="21"/>
        <v>Error?</v>
      </c>
    </row>
    <row r="1425" spans="1:4" x14ac:dyDescent="0.2">
      <c r="A1425" s="5">
        <v>1364</v>
      </c>
      <c r="B1425" s="138">
        <f>'Expenditures 15-22'!D259</f>
        <v>29145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29145</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75910</v>
      </c>
      <c r="D1431" s="2" t="str">
        <f t="shared" si="21"/>
        <v>Error?</v>
      </c>
    </row>
    <row r="1432" spans="1:4" x14ac:dyDescent="0.2">
      <c r="A1432" s="5">
        <v>1371</v>
      </c>
      <c r="B1432" s="138">
        <f>'Expenditures 15-22'!D267</f>
        <v>85</v>
      </c>
      <c r="D1432" s="2" t="str">
        <f t="shared" si="21"/>
        <v>Error?</v>
      </c>
    </row>
    <row r="1433" spans="1:4" x14ac:dyDescent="0.2">
      <c r="A1433" s="5">
        <v>1372</v>
      </c>
      <c r="B1433" s="138">
        <f>'Expenditures 15-22'!D268</f>
        <v>54078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130073</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9648</v>
      </c>
      <c r="D1442" s="2" t="str">
        <f t="shared" si="21"/>
        <v>Error?</v>
      </c>
    </row>
    <row r="1443" spans="1:4" x14ac:dyDescent="0.2">
      <c r="A1443" s="10">
        <v>1382</v>
      </c>
      <c r="D1443" s="2" t="str">
        <f t="shared" si="21"/>
        <v>OK</v>
      </c>
    </row>
    <row r="1444" spans="1:4" x14ac:dyDescent="0.2">
      <c r="A1444" s="5">
        <v>1383</v>
      </c>
      <c r="B1444" s="138">
        <f>'Expenditures 15-22'!D277</f>
        <v>9648</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209748</v>
      </c>
      <c r="C1446" s="2" t="s">
        <v>573</v>
      </c>
      <c r="D1446" s="2" t="str">
        <f t="shared" si="21"/>
        <v>Error?</v>
      </c>
    </row>
    <row r="1447" spans="1:4" x14ac:dyDescent="0.2">
      <c r="A1447" s="5">
        <v>1386</v>
      </c>
      <c r="B1447" s="138">
        <f>'Expenditures 15-22'!D280</f>
        <v>45</v>
      </c>
      <c r="D1447" s="2" t="str">
        <f t="shared" si="21"/>
        <v>Error?</v>
      </c>
    </row>
    <row r="1448" spans="1:4" x14ac:dyDescent="0.2">
      <c r="A1448" s="5">
        <v>1387</v>
      </c>
      <c r="B1448" s="138">
        <f>'Expenditures 15-22'!D295</f>
        <v>361485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3068</v>
      </c>
      <c r="C1471" s="2" t="s">
        <v>573</v>
      </c>
      <c r="D1471" s="2" t="str">
        <f t="shared" ref="D1471:D1534" si="22">IF(ISBLANK(B1471),"OK",IF(A1471-B1471=0,"OK","Error?"))</f>
        <v>Error?</v>
      </c>
    </row>
    <row r="1472" spans="1:4" x14ac:dyDescent="0.2">
      <c r="A1472" s="5">
        <v>1411</v>
      </c>
      <c r="B1472" s="138">
        <f>'Expenditures 15-22'!K223</f>
        <v>6890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151692</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5629</v>
      </c>
      <c r="C1476" s="2" t="s">
        <v>573</v>
      </c>
      <c r="D1476" s="2" t="str">
        <f t="shared" si="22"/>
        <v>Error?</v>
      </c>
    </row>
    <row r="1477" spans="1:4" x14ac:dyDescent="0.2">
      <c r="A1477" s="5">
        <v>1416</v>
      </c>
      <c r="B1477" s="138">
        <f>'Expenditures 15-22'!K234</f>
        <v>4454</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2600</v>
      </c>
      <c r="C1480" s="2" t="s">
        <v>573</v>
      </c>
      <c r="D1480" s="2" t="str">
        <f t="shared" si="22"/>
        <v>Error?</v>
      </c>
    </row>
    <row r="1481" spans="1:4" x14ac:dyDescent="0.2">
      <c r="A1481" s="5">
        <v>1420</v>
      </c>
      <c r="B1481" s="138">
        <f>'Expenditures 15-22'!K238</f>
        <v>12683</v>
      </c>
      <c r="C1481" s="2" t="s">
        <v>573</v>
      </c>
      <c r="D1481" s="2" t="str">
        <f t="shared" si="22"/>
        <v>Error?</v>
      </c>
    </row>
    <row r="1482" spans="1:4" x14ac:dyDescent="0.2">
      <c r="A1482" s="5">
        <v>1421</v>
      </c>
      <c r="B1482" s="138">
        <f>'Expenditures 15-22'!K240</f>
        <v>2100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2100</v>
      </c>
      <c r="C1485" s="2" t="s">
        <v>573</v>
      </c>
      <c r="D1485" s="2" t="str">
        <f t="shared" si="22"/>
        <v>Error?</v>
      </c>
    </row>
    <row r="1486" spans="1:4" x14ac:dyDescent="0.2">
      <c r="A1486" s="5">
        <v>1425</v>
      </c>
      <c r="B1486" s="138">
        <f>'Expenditures 15-22'!K245</f>
        <v>2818</v>
      </c>
      <c r="C1486" s="2" t="s">
        <v>573</v>
      </c>
      <c r="D1486" s="2" t="str">
        <f t="shared" si="22"/>
        <v>Error?</v>
      </c>
    </row>
    <row r="1487" spans="1:4" x14ac:dyDescent="0.2">
      <c r="A1487" s="5">
        <v>1426</v>
      </c>
      <c r="B1487" s="138">
        <f>'Expenditures 15-22'!K246</f>
        <v>23281</v>
      </c>
      <c r="C1487" s="2" t="s">
        <v>573</v>
      </c>
      <c r="D1487" s="2" t="str">
        <f t="shared" si="22"/>
        <v>Error?</v>
      </c>
    </row>
    <row r="1488" spans="1:4" x14ac:dyDescent="0.2">
      <c r="A1488" s="5">
        <v>1427</v>
      </c>
      <c r="B1488" s="138">
        <f>'Expenditures 15-22'!K257</f>
        <v>26099</v>
      </c>
      <c r="C1488" s="2" t="s">
        <v>573</v>
      </c>
      <c r="D1488" s="2" t="str">
        <f t="shared" si="22"/>
        <v>Error?</v>
      </c>
    </row>
    <row r="1489" spans="1:4" x14ac:dyDescent="0.2">
      <c r="A1489" s="5">
        <v>1428</v>
      </c>
      <c r="B1489" s="138">
        <f>'Expenditures 15-22'!K259</f>
        <v>29145</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29145</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75910</v>
      </c>
      <c r="C1495" s="2" t="s">
        <v>573</v>
      </c>
      <c r="D1495" s="2" t="str">
        <f t="shared" si="22"/>
        <v>Error?</v>
      </c>
    </row>
    <row r="1496" spans="1:4" x14ac:dyDescent="0.2">
      <c r="A1496" s="5">
        <v>1435</v>
      </c>
      <c r="B1496" s="138">
        <f>'Expenditures 15-22'!K267</f>
        <v>85</v>
      </c>
      <c r="C1496" s="2" t="s">
        <v>573</v>
      </c>
      <c r="D1496" s="2" t="str">
        <f t="shared" si="22"/>
        <v>Error?</v>
      </c>
    </row>
    <row r="1497" spans="1:4" x14ac:dyDescent="0.2">
      <c r="A1497" s="5">
        <v>1436</v>
      </c>
      <c r="B1497" s="138">
        <f>'Expenditures 15-22'!K268</f>
        <v>54078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130073</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9648</v>
      </c>
      <c r="C1506" s="2" t="s">
        <v>573</v>
      </c>
      <c r="D1506" s="2" t="str">
        <f t="shared" si="22"/>
        <v>Error?</v>
      </c>
    </row>
    <row r="1507" spans="1:4" x14ac:dyDescent="0.2">
      <c r="A1507" s="10">
        <v>1446</v>
      </c>
      <c r="D1507" s="2" t="str">
        <f t="shared" si="22"/>
        <v>OK</v>
      </c>
    </row>
    <row r="1508" spans="1:4" x14ac:dyDescent="0.2">
      <c r="A1508" s="5">
        <v>1447</v>
      </c>
      <c r="B1508" s="138">
        <f>'Expenditures 15-22'!K277</f>
        <v>9648</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209748</v>
      </c>
      <c r="C1510" s="2" t="s">
        <v>573</v>
      </c>
      <c r="D1510" s="2" t="str">
        <f t="shared" si="22"/>
        <v>Error?</v>
      </c>
    </row>
    <row r="1511" spans="1:4" x14ac:dyDescent="0.2">
      <c r="A1511" s="5">
        <v>1450</v>
      </c>
      <c r="B1511" s="138">
        <f>'Expenditures 15-22'!K280</f>
        <v>45</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361485</v>
      </c>
      <c r="C1517" s="2" t="s">
        <v>573</v>
      </c>
      <c r="D1517" s="2" t="str">
        <f t="shared" si="22"/>
        <v>Error?</v>
      </c>
    </row>
    <row r="1518" spans="1:4" x14ac:dyDescent="0.2">
      <c r="A1518" s="5">
        <v>1457</v>
      </c>
      <c r="B1518" s="138">
        <f>'Expenditures 15-22'!K296</f>
        <v>-12359</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1625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1625</v>
      </c>
      <c r="C1535" s="2" t="s">
        <v>573</v>
      </c>
      <c r="D1535" s="2" t="str">
        <f t="shared" ref="D1535:D1598" si="23">IF(ISBLANK(B1535),"OK",IF(A1535-B1535=0,"OK","Error?"))</f>
        <v>Error?</v>
      </c>
    </row>
    <row r="1536" spans="1:4" x14ac:dyDescent="0.2">
      <c r="A1536" s="5">
        <v>1475</v>
      </c>
      <c r="B1536" s="138">
        <f>'Expenditures 15-22'!E312</f>
        <v>1625</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1625</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1625</v>
      </c>
      <c r="C1559" s="2" t="s">
        <v>573</v>
      </c>
      <c r="D1559" s="2" t="str">
        <f t="shared" si="23"/>
        <v>Error?</v>
      </c>
    </row>
    <row r="1560" spans="1:4" x14ac:dyDescent="0.2">
      <c r="A1560" s="5">
        <v>1499</v>
      </c>
      <c r="B1560" s="138">
        <f>'Expenditures 15-22'!K312</f>
        <v>1625</v>
      </c>
      <c r="C1560" s="2" t="s">
        <v>573</v>
      </c>
      <c r="D1560" s="2" t="str">
        <f t="shared" si="23"/>
        <v>Error?</v>
      </c>
    </row>
    <row r="1561" spans="1:4" x14ac:dyDescent="0.2">
      <c r="A1561" s="5">
        <v>1500</v>
      </c>
      <c r="B1561" s="138">
        <f>'Expenditures 15-22'!K313</f>
        <v>818229</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1095872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1646566</v>
      </c>
      <c r="C1630" s="2" t="s">
        <v>573</v>
      </c>
      <c r="D1630" s="2" t="str">
        <f t="shared" si="24"/>
        <v>Error?</v>
      </c>
    </row>
    <row r="1631" spans="1:4" x14ac:dyDescent="0.2">
      <c r="A1631" s="5">
        <v>1570</v>
      </c>
      <c r="B1631" s="138">
        <f>'Acct Summary 7-8'!D79</f>
        <v>309556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506432</v>
      </c>
      <c r="C1644" s="2" t="s">
        <v>573</v>
      </c>
      <c r="D1644" s="2" t="str">
        <f t="shared" si="24"/>
        <v>Error?</v>
      </c>
    </row>
    <row r="1645" spans="1:4" x14ac:dyDescent="0.2">
      <c r="A1645" s="5">
        <v>1584</v>
      </c>
      <c r="B1645" s="138">
        <f>'Acct Summary 7-8'!E79</f>
        <v>1388079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578521</v>
      </c>
      <c r="C1658" s="2" t="s">
        <v>573</v>
      </c>
      <c r="D1658" s="2" t="str">
        <f t="shared" si="24"/>
        <v>Error?</v>
      </c>
    </row>
    <row r="1659" spans="1:4" x14ac:dyDescent="0.2">
      <c r="A1659" s="5">
        <v>1598</v>
      </c>
      <c r="B1659" s="138">
        <f>'Acct Summary 7-8'!F79</f>
        <v>328955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355632</v>
      </c>
      <c r="C1672" s="2" t="s">
        <v>573</v>
      </c>
      <c r="D1672" s="2" t="str">
        <f t="shared" si="25"/>
        <v>Error?</v>
      </c>
    </row>
    <row r="1673" spans="1:4" x14ac:dyDescent="0.2">
      <c r="A1673" s="5">
        <v>1612</v>
      </c>
      <c r="B1673" s="138">
        <f>'Acct Summary 7-8'!G79</f>
        <v>94326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81967</v>
      </c>
      <c r="C1686" s="2" t="s">
        <v>573</v>
      </c>
      <c r="D1686" s="2" t="str">
        <f t="shared" si="25"/>
        <v>Error?</v>
      </c>
    </row>
    <row r="1687" spans="1:4" x14ac:dyDescent="0.2">
      <c r="A1687" s="5">
        <v>1626</v>
      </c>
      <c r="B1687" s="138">
        <f>'Acct Summary 7-8'!H79</f>
        <v>448524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603490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2219655</v>
      </c>
      <c r="C1744" s="2" t="s">
        <v>573</v>
      </c>
      <c r="D1744" s="2" t="str">
        <f t="shared" si="26"/>
        <v>Error?</v>
      </c>
    </row>
    <row r="1745" spans="1:5" x14ac:dyDescent="0.2">
      <c r="A1745" s="5">
        <v>1684</v>
      </c>
      <c r="B1745" s="138">
        <f>'Tax Sched 23'!B5</f>
        <v>676490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318916</v>
      </c>
      <c r="C1747" s="2" t="s">
        <v>573</v>
      </c>
      <c r="D1747" s="2" t="str">
        <f t="shared" si="26"/>
        <v>Error?</v>
      </c>
    </row>
    <row r="1748" spans="1:5" x14ac:dyDescent="0.2">
      <c r="A1748" s="5">
        <v>1687</v>
      </c>
      <c r="B1748" s="138">
        <f>'Tax Sched 23'!B8</f>
        <v>164384</v>
      </c>
      <c r="C1748" s="2" t="s">
        <v>573</v>
      </c>
      <c r="D1748" s="2" t="str">
        <f t="shared" si="26"/>
        <v>Error?</v>
      </c>
    </row>
    <row r="1749" spans="1:5" x14ac:dyDescent="0.2">
      <c r="A1749" s="5">
        <v>1688</v>
      </c>
      <c r="B1749" s="138">
        <f>'Tax Sched 23'!B10</f>
        <v>45151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91277</v>
      </c>
      <c r="C1752" s="2" t="s">
        <v>573</v>
      </c>
      <c r="D1752" s="2" t="str">
        <f t="shared" si="26"/>
        <v>Error?</v>
      </c>
    </row>
    <row r="1753" spans="1:5" x14ac:dyDescent="0.2">
      <c r="A1753" s="5">
        <v>1692</v>
      </c>
      <c r="B1753" s="138">
        <f>'Tax Sched 23'!B12</f>
        <v>4894</v>
      </c>
      <c r="C1753" s="2" t="s">
        <v>573</v>
      </c>
      <c r="D1753" s="2" t="str">
        <f t="shared" si="26"/>
        <v>Error?</v>
      </c>
    </row>
    <row r="1754" spans="1:5" x14ac:dyDescent="0.2">
      <c r="A1754" s="5">
        <v>1693</v>
      </c>
      <c r="B1754" s="138">
        <f>'Tax Sched 23'!B14</f>
        <v>45500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3790711</v>
      </c>
      <c r="C1759" s="2" t="s">
        <v>573</v>
      </c>
      <c r="D1759" s="2" t="str">
        <f t="shared" si="26"/>
        <v>Error?</v>
      </c>
    </row>
    <row r="1760" spans="1:5" x14ac:dyDescent="0.2">
      <c r="A1760" s="5">
        <v>1699</v>
      </c>
      <c r="B1760" s="138">
        <f>'Tax Sched 23'!D4</f>
        <v>2219655</v>
      </c>
      <c r="C1760" s="2" t="s">
        <v>573</v>
      </c>
      <c r="D1760" s="2" t="str">
        <f t="shared" si="26"/>
        <v>Error?</v>
      </c>
    </row>
    <row r="1761" spans="1:5" x14ac:dyDescent="0.2">
      <c r="A1761" s="5">
        <v>1700</v>
      </c>
      <c r="B1761" s="138">
        <f>'Tax Sched 23'!D5</f>
        <v>676490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318916</v>
      </c>
      <c r="C1763" s="2" t="s">
        <v>573</v>
      </c>
      <c r="D1763" s="2" t="str">
        <f t="shared" si="26"/>
        <v>Error?</v>
      </c>
    </row>
    <row r="1764" spans="1:5" x14ac:dyDescent="0.2">
      <c r="A1764" s="5">
        <v>1703</v>
      </c>
      <c r="B1764" s="138">
        <f>'Tax Sched 23'!D8</f>
        <v>164384</v>
      </c>
      <c r="C1764" s="2" t="s">
        <v>573</v>
      </c>
      <c r="D1764" s="2" t="str">
        <f t="shared" si="26"/>
        <v>Error?</v>
      </c>
    </row>
    <row r="1765" spans="1:5" x14ac:dyDescent="0.2">
      <c r="A1765" s="5">
        <v>1704</v>
      </c>
      <c r="B1765" s="138">
        <f>'Tax Sched 23'!D10</f>
        <v>45151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91277</v>
      </c>
      <c r="C1768" s="2" t="s">
        <v>573</v>
      </c>
      <c r="D1768" s="2" t="str">
        <f t="shared" si="26"/>
        <v>Error?</v>
      </c>
    </row>
    <row r="1769" spans="1:5" x14ac:dyDescent="0.2">
      <c r="A1769" s="5">
        <v>1708</v>
      </c>
      <c r="B1769" s="138">
        <f>'Tax Sched 23'!D12</f>
        <v>4894</v>
      </c>
      <c r="C1769" s="2" t="s">
        <v>573</v>
      </c>
      <c r="D1769" s="2" t="str">
        <f t="shared" si="26"/>
        <v>Error?</v>
      </c>
    </row>
    <row r="1770" spans="1:5" x14ac:dyDescent="0.2">
      <c r="A1770" s="5">
        <v>1709</v>
      </c>
      <c r="B1770" s="138">
        <f>'Tax Sched 23'!D14</f>
        <v>45500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3790711</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2343127</v>
      </c>
      <c r="C1792" s="2" t="s">
        <v>573</v>
      </c>
      <c r="D1792" s="2" t="str">
        <f t="shared" si="27"/>
        <v>Error?</v>
      </c>
    </row>
    <row r="1793" spans="1:4" x14ac:dyDescent="0.2">
      <c r="A1793" s="5">
        <v>1732</v>
      </c>
      <c r="B1793" s="138">
        <f>'Tax Sched 23'!F5</f>
        <v>705101</v>
      </c>
      <c r="C1793" s="2" t="s">
        <v>573</v>
      </c>
      <c r="D1793" s="2" t="str">
        <f t="shared" si="27"/>
        <v>Error?</v>
      </c>
    </row>
    <row r="1794" spans="1:4" x14ac:dyDescent="0.2">
      <c r="A1794" s="5">
        <v>1733</v>
      </c>
      <c r="B1794" s="138">
        <f>'Tax Sched 23'!F6</f>
        <v>1090189</v>
      </c>
      <c r="C1794" s="2" t="s">
        <v>573</v>
      </c>
      <c r="D1794" s="2" t="str">
        <f t="shared" si="27"/>
        <v>Error?</v>
      </c>
    </row>
    <row r="1795" spans="1:4" x14ac:dyDescent="0.2">
      <c r="A1795" s="5">
        <v>1734</v>
      </c>
      <c r="B1795" s="138">
        <f>'Tax Sched 23'!F7</f>
        <v>332403</v>
      </c>
      <c r="C1795" s="2" t="s">
        <v>573</v>
      </c>
      <c r="D1795" s="2" t="str">
        <f t="shared" si="27"/>
        <v>Error?</v>
      </c>
    </row>
    <row r="1796" spans="1:4" x14ac:dyDescent="0.2">
      <c r="A1796" s="5">
        <v>1735</v>
      </c>
      <c r="B1796" s="138">
        <f>'Tax Sched 23'!F8</f>
        <v>169229</v>
      </c>
      <c r="C1796" s="2" t="s">
        <v>573</v>
      </c>
      <c r="D1796" s="2" t="str">
        <f t="shared" si="27"/>
        <v>Error?</v>
      </c>
    </row>
    <row r="1797" spans="1:4" x14ac:dyDescent="0.2">
      <c r="A1797" s="5">
        <v>1736</v>
      </c>
      <c r="B1797" s="138">
        <f>'Tax Sched 23'!F10</f>
        <v>46495</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93964</v>
      </c>
      <c r="C1800" s="2" t="s">
        <v>573</v>
      </c>
      <c r="D1800" s="2" t="str">
        <f t="shared" si="27"/>
        <v>Error?</v>
      </c>
    </row>
    <row r="1801" spans="1:4" x14ac:dyDescent="0.2">
      <c r="A1801" s="5">
        <v>1740</v>
      </c>
      <c r="B1801" s="138">
        <f>'Tax Sched 23'!F12</f>
        <v>5093</v>
      </c>
      <c r="C1801" s="2" t="s">
        <v>573</v>
      </c>
      <c r="D1801" s="2" t="str">
        <f t="shared" si="27"/>
        <v>Error?</v>
      </c>
    </row>
    <row r="1802" spans="1:4" x14ac:dyDescent="0.2">
      <c r="A1802" s="5">
        <v>1741</v>
      </c>
      <c r="B1802" s="138">
        <f>'Tax Sched 23'!F14</f>
        <v>47312</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5063978</v>
      </c>
      <c r="C1807" s="2" t="s">
        <v>573</v>
      </c>
      <c r="D1807" s="2" t="str">
        <f t="shared" si="27"/>
        <v>Error?</v>
      </c>
    </row>
    <row r="1808" spans="1:4" x14ac:dyDescent="0.2">
      <c r="A1808" s="5">
        <v>1747</v>
      </c>
      <c r="B1808" s="138">
        <f>'Tax Sched 23'!E4</f>
        <v>2343127</v>
      </c>
      <c r="D1808" s="2" t="str">
        <f t="shared" si="27"/>
        <v>Error?</v>
      </c>
    </row>
    <row r="1809" spans="1:4" x14ac:dyDescent="0.2">
      <c r="A1809" s="5">
        <v>1748</v>
      </c>
      <c r="B1809" s="138">
        <f>'Tax Sched 23'!E5</f>
        <v>705101</v>
      </c>
      <c r="D1809" s="2" t="str">
        <f t="shared" si="27"/>
        <v>Error?</v>
      </c>
    </row>
    <row r="1810" spans="1:4" x14ac:dyDescent="0.2">
      <c r="A1810" s="5">
        <v>1749</v>
      </c>
      <c r="B1810" s="138">
        <f>'Tax Sched 23'!E6</f>
        <v>1090189</v>
      </c>
      <c r="D1810" s="2" t="str">
        <f t="shared" si="27"/>
        <v>Error?</v>
      </c>
    </row>
    <row r="1811" spans="1:4" x14ac:dyDescent="0.2">
      <c r="A1811" s="5">
        <v>1750</v>
      </c>
      <c r="B1811" s="138">
        <f>'Tax Sched 23'!E7</f>
        <v>332403</v>
      </c>
      <c r="D1811" s="2" t="str">
        <f t="shared" si="27"/>
        <v>Error?</v>
      </c>
    </row>
    <row r="1812" spans="1:4" x14ac:dyDescent="0.2">
      <c r="A1812" s="5">
        <v>1751</v>
      </c>
      <c r="B1812" s="138">
        <f>'Tax Sched 23'!E8</f>
        <v>169229</v>
      </c>
      <c r="D1812" s="2" t="str">
        <f t="shared" si="27"/>
        <v>Error?</v>
      </c>
    </row>
    <row r="1813" spans="1:4" x14ac:dyDescent="0.2">
      <c r="A1813" s="5">
        <v>1752</v>
      </c>
      <c r="B1813" s="138">
        <f>'Tax Sched 23'!E10</f>
        <v>46495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93964</v>
      </c>
      <c r="D1816" s="2" t="str">
        <f t="shared" si="27"/>
        <v>Error?</v>
      </c>
    </row>
    <row r="1817" spans="1:4" x14ac:dyDescent="0.2">
      <c r="A1817" s="5">
        <v>1756</v>
      </c>
      <c r="B1817" s="138">
        <f>'Tax Sched 23'!E12</f>
        <v>5093</v>
      </c>
      <c r="D1817" s="2" t="str">
        <f t="shared" si="27"/>
        <v>Error?</v>
      </c>
    </row>
    <row r="1818" spans="1:4" x14ac:dyDescent="0.2">
      <c r="A1818" s="5">
        <v>1757</v>
      </c>
      <c r="B1818" s="138">
        <f>'Tax Sched 23'!E14</f>
        <v>47312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5063978</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12620180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45500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45500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45500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213439</v>
      </c>
      <c r="D2008" s="2" t="str">
        <f t="shared" si="30"/>
        <v>Error?</v>
      </c>
    </row>
    <row r="2009" spans="1:4" x14ac:dyDescent="0.2">
      <c r="A2009" s="5">
        <v>1948</v>
      </c>
      <c r="B2009" s="138">
        <f>'Cap Outlay Deprec 26'!C8</f>
        <v>29983745</v>
      </c>
      <c r="D2009" s="2" t="str">
        <f t="shared" si="30"/>
        <v>Error?</v>
      </c>
    </row>
    <row r="2010" spans="1:4" x14ac:dyDescent="0.2">
      <c r="A2010" s="5">
        <v>1949</v>
      </c>
      <c r="B2010" s="138">
        <f>'Cap Outlay Deprec 26'!C10</f>
        <v>789017</v>
      </c>
      <c r="D2010" s="2" t="str">
        <f t="shared" si="30"/>
        <v>Error?</v>
      </c>
    </row>
    <row r="2011" spans="1:4" x14ac:dyDescent="0.2">
      <c r="A2011" s="5">
        <v>1950</v>
      </c>
      <c r="B2011" s="138">
        <f>'Cap Outlay Deprec 26'!C12</f>
        <v>3064600</v>
      </c>
      <c r="D2011" s="2" t="str">
        <f t="shared" si="30"/>
        <v>Error?</v>
      </c>
    </row>
    <row r="2012" spans="1:4" x14ac:dyDescent="0.2">
      <c r="A2012" s="5">
        <v>1951</v>
      </c>
      <c r="B2012" s="138">
        <f>'Cap Outlay Deprec 26'!C13</f>
        <v>54981</v>
      </c>
      <c r="D2012" s="2" t="str">
        <f t="shared" si="30"/>
        <v>Error?</v>
      </c>
    </row>
    <row r="2013" spans="1:4" x14ac:dyDescent="0.2">
      <c r="A2013" s="5">
        <v>1952</v>
      </c>
      <c r="B2013" s="138">
        <f>'Cap Outlay Deprec 26'!C16</f>
        <v>34105782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75809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75809</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213439</v>
      </c>
      <c r="C2026" s="2" t="s">
        <v>573</v>
      </c>
      <c r="D2026" s="2" t="str">
        <f t="shared" si="30"/>
        <v>Error?</v>
      </c>
    </row>
    <row r="2027" spans="1:4" x14ac:dyDescent="0.2">
      <c r="A2027" s="5">
        <v>1966</v>
      </c>
      <c r="B2027" s="138">
        <f>'Cap Outlay Deprec 26'!F8</f>
        <v>30059554</v>
      </c>
      <c r="C2027" s="2" t="s">
        <v>573</v>
      </c>
      <c r="D2027" s="2" t="str">
        <f t="shared" si="30"/>
        <v>Error?</v>
      </c>
    </row>
    <row r="2028" spans="1:4" x14ac:dyDescent="0.2">
      <c r="A2028" s="5">
        <v>1967</v>
      </c>
      <c r="B2028" s="138">
        <f>'Cap Outlay Deprec 26'!F10</f>
        <v>789017</v>
      </c>
      <c r="C2028" s="2" t="s">
        <v>573</v>
      </c>
      <c r="D2028" s="2" t="str">
        <f t="shared" si="30"/>
        <v>Error?</v>
      </c>
    </row>
    <row r="2029" spans="1:4" x14ac:dyDescent="0.2">
      <c r="A2029" s="5">
        <v>1968</v>
      </c>
      <c r="B2029" s="138">
        <f>'Cap Outlay Deprec 26'!F12</f>
        <v>3064600</v>
      </c>
      <c r="C2029" s="2" t="s">
        <v>573</v>
      </c>
      <c r="D2029" s="2" t="str">
        <f t="shared" si="30"/>
        <v>Error?</v>
      </c>
    </row>
    <row r="2030" spans="1:4" x14ac:dyDescent="0.2">
      <c r="A2030" s="5">
        <v>1969</v>
      </c>
      <c r="B2030" s="138">
        <f>'Cap Outlay Deprec 26'!F13</f>
        <v>54981</v>
      </c>
      <c r="C2030" s="2" t="s">
        <v>573</v>
      </c>
      <c r="D2030" s="2" t="str">
        <f t="shared" si="30"/>
        <v>Error?</v>
      </c>
    </row>
    <row r="2031" spans="1:4" x14ac:dyDescent="0.2">
      <c r="A2031" s="5">
        <v>1970</v>
      </c>
      <c r="B2031" s="138">
        <f>'Cap Outlay Deprec 26'!F16</f>
        <v>34181591</v>
      </c>
      <c r="C2031" s="2" t="s">
        <v>573</v>
      </c>
      <c r="D2031" s="2" t="str">
        <f t="shared" si="30"/>
        <v>Error?</v>
      </c>
    </row>
    <row r="2032" spans="1:4" x14ac:dyDescent="0.2">
      <c r="A2032" s="10">
        <v>1971</v>
      </c>
      <c r="D2032" s="2" t="str">
        <f t="shared" si="30"/>
        <v>OK</v>
      </c>
    </row>
    <row r="2033" spans="1:4" x14ac:dyDescent="0.2">
      <c r="A2033" s="5">
        <v>1972</v>
      </c>
      <c r="B2033" s="138">
        <f>'Cap Outlay Deprec 26'!H8</f>
        <v>10347978</v>
      </c>
      <c r="D2033" s="2" t="str">
        <f t="shared" si="30"/>
        <v>Error?</v>
      </c>
    </row>
    <row r="2034" spans="1:4" x14ac:dyDescent="0.2">
      <c r="A2034" s="5">
        <v>1973</v>
      </c>
      <c r="B2034" s="138">
        <f>'Cap Outlay Deprec 26'!H10</f>
        <v>553671</v>
      </c>
      <c r="D2034" s="2" t="str">
        <f t="shared" si="30"/>
        <v>Error?</v>
      </c>
    </row>
    <row r="2035" spans="1:4" x14ac:dyDescent="0.2">
      <c r="A2035" s="5">
        <v>1974</v>
      </c>
      <c r="B2035" s="138">
        <f>'Cap Outlay Deprec 26'!H12</f>
        <v>2779384</v>
      </c>
      <c r="D2035" s="2" t="str">
        <f t="shared" si="30"/>
        <v>Error?</v>
      </c>
    </row>
    <row r="2036" spans="1:4" x14ac:dyDescent="0.2">
      <c r="A2036" s="5">
        <v>1975</v>
      </c>
      <c r="B2036" s="138">
        <f>'Cap Outlay Deprec 26'!H13</f>
        <v>54981</v>
      </c>
      <c r="D2036" s="2" t="str">
        <f t="shared" si="30"/>
        <v>Error?</v>
      </c>
    </row>
    <row r="2037" spans="1:4" x14ac:dyDescent="0.2">
      <c r="A2037" s="5">
        <v>1976</v>
      </c>
      <c r="B2037" s="138">
        <f>'Cap Outlay Deprec 26'!H16</f>
        <v>13736014</v>
      </c>
      <c r="C2037" s="2" t="s">
        <v>573</v>
      </c>
      <c r="D2037" s="2" t="str">
        <f t="shared" si="30"/>
        <v>Error?</v>
      </c>
    </row>
    <row r="2038" spans="1:4" x14ac:dyDescent="0.2">
      <c r="A2038" s="10">
        <v>1977</v>
      </c>
      <c r="D2038" s="2" t="str">
        <f t="shared" si="30"/>
        <v>OK</v>
      </c>
    </row>
    <row r="2039" spans="1:4" x14ac:dyDescent="0.2">
      <c r="A2039" s="5">
        <v>1978</v>
      </c>
      <c r="B2039" s="138">
        <f>'Cap Outlay Deprec 26'!I8</f>
        <v>739611</v>
      </c>
      <c r="D2039" s="2" t="str">
        <f t="shared" si="30"/>
        <v>Error?</v>
      </c>
    </row>
    <row r="2040" spans="1:4" x14ac:dyDescent="0.2">
      <c r="A2040" s="5">
        <v>1979</v>
      </c>
      <c r="B2040" s="138">
        <f>'Cap Outlay Deprec 26'!I10</f>
        <v>31610</v>
      </c>
      <c r="D2040" s="2" t="str">
        <f t="shared" si="30"/>
        <v>Error?</v>
      </c>
    </row>
    <row r="2041" spans="1:4" x14ac:dyDescent="0.2">
      <c r="A2041" s="5">
        <v>1980</v>
      </c>
      <c r="B2041" s="138">
        <f>'Cap Outlay Deprec 26'!I12</f>
        <v>58694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829915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11087589</v>
      </c>
      <c r="C2051" s="2" t="s">
        <v>573</v>
      </c>
      <c r="D2051" s="2" t="str">
        <f t="shared" si="31"/>
        <v>Error?</v>
      </c>
    </row>
    <row r="2052" spans="1:4" x14ac:dyDescent="0.2">
      <c r="A2052" s="5">
        <v>1991</v>
      </c>
      <c r="B2052" s="138">
        <f>'Cap Outlay Deprec 26'!K10</f>
        <v>585281</v>
      </c>
      <c r="C2052" s="2" t="s">
        <v>573</v>
      </c>
      <c r="D2052" s="2" t="str">
        <f t="shared" si="31"/>
        <v>Error?</v>
      </c>
    </row>
    <row r="2053" spans="1:4" x14ac:dyDescent="0.2">
      <c r="A2053" s="5">
        <v>1992</v>
      </c>
      <c r="B2053" s="138">
        <f>'Cap Outlay Deprec 26'!K12</f>
        <v>2838078</v>
      </c>
      <c r="C2053" s="2" t="s">
        <v>573</v>
      </c>
      <c r="D2053" s="2" t="str">
        <f t="shared" si="31"/>
        <v>Error?</v>
      </c>
    </row>
    <row r="2054" spans="1:4" x14ac:dyDescent="0.2">
      <c r="A2054" s="5">
        <v>1993</v>
      </c>
      <c r="B2054" s="138">
        <f>'Cap Outlay Deprec 26'!K13</f>
        <v>54981</v>
      </c>
      <c r="C2054" s="2" t="s">
        <v>573</v>
      </c>
      <c r="D2054" s="2" t="str">
        <f t="shared" si="31"/>
        <v>Error?</v>
      </c>
    </row>
    <row r="2055" spans="1:4" x14ac:dyDescent="0.2">
      <c r="A2055" s="5">
        <v>1994</v>
      </c>
      <c r="B2055" s="138">
        <f>'Cap Outlay Deprec 26'!K16</f>
        <v>14565929</v>
      </c>
      <c r="C2055" s="2" t="s">
        <v>573</v>
      </c>
      <c r="D2055" s="2" t="str">
        <f t="shared" si="31"/>
        <v>Error?</v>
      </c>
    </row>
    <row r="2056" spans="1:4" x14ac:dyDescent="0.2">
      <c r="A2056" s="5">
        <v>1995</v>
      </c>
      <c r="B2056" s="138">
        <f>'Cap Outlay Deprec 26'!L5</f>
        <v>213439</v>
      </c>
      <c r="C2056" s="2" t="s">
        <v>573</v>
      </c>
      <c r="D2056" s="2" t="str">
        <f t="shared" si="31"/>
        <v>Error?</v>
      </c>
    </row>
    <row r="2057" spans="1:4" x14ac:dyDescent="0.2">
      <c r="A2057" s="5">
        <v>1996</v>
      </c>
      <c r="B2057" s="138">
        <f>'Cap Outlay Deprec 26'!L8</f>
        <v>18971965</v>
      </c>
      <c r="C2057" s="2" t="s">
        <v>573</v>
      </c>
      <c r="D2057" s="2" t="str">
        <f t="shared" si="31"/>
        <v>Error?</v>
      </c>
    </row>
    <row r="2058" spans="1:4" x14ac:dyDescent="0.2">
      <c r="A2058" s="5">
        <v>1997</v>
      </c>
      <c r="B2058" s="138">
        <f>'Cap Outlay Deprec 26'!L10</f>
        <v>203736</v>
      </c>
      <c r="C2058" s="2" t="s">
        <v>573</v>
      </c>
      <c r="D2058" s="2" t="str">
        <f t="shared" si="31"/>
        <v>Error?</v>
      </c>
    </row>
    <row r="2059" spans="1:4" x14ac:dyDescent="0.2">
      <c r="A2059" s="5">
        <v>1998</v>
      </c>
      <c r="B2059" s="138">
        <f>'Cap Outlay Deprec 26'!L12</f>
        <v>226522</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19615662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273357</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273357</v>
      </c>
      <c r="C2088" s="2" t="s">
        <v>573</v>
      </c>
      <c r="D2088" s="2" t="str">
        <f t="shared" si="31"/>
        <v>Error?</v>
      </c>
    </row>
    <row r="2089" spans="1:4" x14ac:dyDescent="0.2">
      <c r="A2089" s="5">
        <v>2028</v>
      </c>
      <c r="B2089" s="138">
        <f>'Expenditures 15-22'!K92</f>
        <v>721118</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355632</v>
      </c>
      <c r="D2475" s="2" t="str">
        <f t="shared" si="37"/>
        <v>Error?</v>
      </c>
    </row>
    <row r="2476" spans="1:4" x14ac:dyDescent="0.2">
      <c r="A2476" s="10">
        <v>2415</v>
      </c>
      <c r="D2476" s="2" t="str">
        <f t="shared" si="37"/>
        <v>OK</v>
      </c>
    </row>
    <row r="2477" spans="1:4" x14ac:dyDescent="0.2">
      <c r="A2477" s="5">
        <v>2416</v>
      </c>
      <c r="B2477" s="138">
        <f>'Assets-Liab 5-6'!G38</f>
        <v>81967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578521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603490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3217056</v>
      </c>
      <c r="C2551" s="2" t="s">
        <v>573</v>
      </c>
      <c r="D2551" s="2" t="str">
        <f t="shared" si="38"/>
        <v>Error?</v>
      </c>
    </row>
    <row r="2552" spans="1:4" x14ac:dyDescent="0.2">
      <c r="A2552" s="10">
        <v>2491</v>
      </c>
      <c r="D2552" s="2" t="str">
        <f t="shared" si="38"/>
        <v>OK</v>
      </c>
    </row>
    <row r="2553" spans="1:4" x14ac:dyDescent="0.2">
      <c r="A2553" s="5">
        <v>2492</v>
      </c>
      <c r="B2553" s="138">
        <f>'Acct Summary 7-8'!C6</f>
        <v>5562679</v>
      </c>
      <c r="C2553" s="2" t="s">
        <v>573</v>
      </c>
      <c r="D2553" s="2" t="str">
        <f t="shared" si="38"/>
        <v>Error?</v>
      </c>
    </row>
    <row r="2554" spans="1:4" x14ac:dyDescent="0.2">
      <c r="A2554" s="5">
        <v>2493</v>
      </c>
      <c r="B2554" s="138">
        <f>'Acct Summary 7-8'!C7</f>
        <v>1426673</v>
      </c>
      <c r="C2554" s="2" t="s">
        <v>573</v>
      </c>
      <c r="D2554" s="2" t="str">
        <f t="shared" si="38"/>
        <v>Error?</v>
      </c>
    </row>
    <row r="2555" spans="1:4" x14ac:dyDescent="0.2">
      <c r="A2555" s="5">
        <v>2494</v>
      </c>
      <c r="B2555" s="138">
        <f>'Acct Summary 7-8'!C8</f>
        <v>10245390</v>
      </c>
      <c r="C2555" s="2" t="s">
        <v>573</v>
      </c>
      <c r="D2555" s="2" t="str">
        <f t="shared" si="38"/>
        <v>Error?</v>
      </c>
    </row>
    <row r="2556" spans="1:4" x14ac:dyDescent="0.2">
      <c r="A2556" s="5">
        <v>2495</v>
      </c>
      <c r="B2556" s="138">
        <f>'Acct Summary 7-8'!C12</f>
        <v>6219448</v>
      </c>
      <c r="C2556" s="2" t="s">
        <v>573</v>
      </c>
      <c r="D2556" s="2" t="str">
        <f t="shared" si="38"/>
        <v>Error?</v>
      </c>
    </row>
    <row r="2557" spans="1:4" x14ac:dyDescent="0.2">
      <c r="A2557" s="5">
        <v>2496</v>
      </c>
      <c r="B2557" s="138">
        <f>'Acct Summary 7-8'!C13</f>
        <v>2448929</v>
      </c>
      <c r="C2557" s="2" t="s">
        <v>573</v>
      </c>
      <c r="D2557" s="2" t="str">
        <f t="shared" si="38"/>
        <v>Error?</v>
      </c>
    </row>
    <row r="2558" spans="1:4" x14ac:dyDescent="0.2">
      <c r="A2558" s="5">
        <v>2497</v>
      </c>
      <c r="B2558" s="138">
        <f>'Acct Summary 7-8'!C14</f>
        <v>31844</v>
      </c>
      <c r="C2558" s="2" t="s">
        <v>573</v>
      </c>
      <c r="D2558" s="2" t="str">
        <f t="shared" si="38"/>
        <v>Error?</v>
      </c>
    </row>
    <row r="2559" spans="1:4" x14ac:dyDescent="0.2">
      <c r="A2559" s="5">
        <v>2498</v>
      </c>
      <c r="B2559" s="138">
        <f>'Acct Summary 7-8'!C15</f>
        <v>994475</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9694696</v>
      </c>
      <c r="C2561" s="2" t="s">
        <v>573</v>
      </c>
      <c r="D2561" s="2" t="str">
        <f t="shared" si="39"/>
        <v>Error?</v>
      </c>
    </row>
    <row r="2562" spans="1:4" x14ac:dyDescent="0.2">
      <c r="A2562" s="5">
        <v>2501</v>
      </c>
      <c r="B2562" s="138">
        <f>'Acct Summary 7-8'!C20</f>
        <v>550694</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1034810</v>
      </c>
      <c r="C2564" s="2" t="s">
        <v>573</v>
      </c>
      <c r="D2564" s="2" t="str">
        <f t="shared" si="39"/>
        <v>Error?</v>
      </c>
    </row>
    <row r="2565" spans="1:4" x14ac:dyDescent="0.2">
      <c r="A2565" s="10">
        <v>2504</v>
      </c>
      <c r="D2565" s="2" t="str">
        <f t="shared" si="39"/>
        <v>OK</v>
      </c>
    </row>
    <row r="2566" spans="1:4" x14ac:dyDescent="0.2">
      <c r="A2566" s="5">
        <v>2505</v>
      </c>
      <c r="B2566" s="138">
        <f>'Acct Summary 7-8'!D6</f>
        <v>500000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1534810</v>
      </c>
      <c r="C2568" s="2" t="s">
        <v>573</v>
      </c>
      <c r="D2568" s="2" t="str">
        <f t="shared" si="39"/>
        <v>Error?</v>
      </c>
    </row>
    <row r="2569" spans="1:4" x14ac:dyDescent="0.2">
      <c r="A2569" s="5">
        <v>2508</v>
      </c>
      <c r="B2569" s="138">
        <f>'Acct Summary 7-8'!D13</f>
        <v>1337934</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1337934</v>
      </c>
      <c r="C2573" s="2" t="s">
        <v>573</v>
      </c>
      <c r="D2573" s="2" t="str">
        <f t="shared" si="39"/>
        <v>Error?</v>
      </c>
    </row>
    <row r="2574" spans="1:4" x14ac:dyDescent="0.2">
      <c r="A2574" s="5">
        <v>2513</v>
      </c>
      <c r="B2574" s="138">
        <f>'Acct Summary 7-8'!D20</f>
        <v>196876</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320144</v>
      </c>
      <c r="C2591" s="2" t="s">
        <v>573</v>
      </c>
      <c r="D2591" s="2" t="str">
        <f t="shared" si="39"/>
        <v>Error?</v>
      </c>
    </row>
    <row r="2592" spans="1:4" x14ac:dyDescent="0.2">
      <c r="A2592" s="10">
        <v>2531</v>
      </c>
      <c r="D2592" s="2" t="str">
        <f t="shared" si="39"/>
        <v>OK</v>
      </c>
    </row>
    <row r="2593" spans="1:4" x14ac:dyDescent="0.2">
      <c r="A2593" s="5">
        <v>2532</v>
      </c>
      <c r="B2593" s="138">
        <f>'Acct Summary 7-8'!F6</f>
        <v>763733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1083877</v>
      </c>
      <c r="C2595" s="2" t="s">
        <v>573</v>
      </c>
      <c r="D2595" s="2" t="str">
        <f t="shared" si="39"/>
        <v>Error?</v>
      </c>
    </row>
    <row r="2596" spans="1:4" x14ac:dyDescent="0.2">
      <c r="A2596" s="5">
        <v>2535</v>
      </c>
      <c r="B2596" s="138">
        <f>'Acct Summary 7-8'!F13</f>
        <v>1057200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1057200</v>
      </c>
      <c r="C2600" s="2" t="s">
        <v>573</v>
      </c>
      <c r="D2600" s="2" t="str">
        <f t="shared" si="39"/>
        <v>Error?</v>
      </c>
    </row>
    <row r="2601" spans="1:4" x14ac:dyDescent="0.2">
      <c r="A2601" s="5">
        <v>2540</v>
      </c>
      <c r="B2601" s="138">
        <f>'Acct Summary 7-8'!F20</f>
        <v>26677</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349126</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349126</v>
      </c>
      <c r="C2606" s="2" t="s">
        <v>573</v>
      </c>
      <c r="D2606" s="2" t="str">
        <f t="shared" si="39"/>
        <v>Error?</v>
      </c>
    </row>
    <row r="2607" spans="1:4" x14ac:dyDescent="0.2">
      <c r="A2607" s="5">
        <v>2546</v>
      </c>
      <c r="B2607" s="138">
        <f>'Acct Summary 7-8'!G12</f>
        <v>151692</v>
      </c>
      <c r="C2607" s="2" t="s">
        <v>573</v>
      </c>
      <c r="D2607" s="2" t="str">
        <f t="shared" si="39"/>
        <v>Error?</v>
      </c>
    </row>
    <row r="2608" spans="1:4" x14ac:dyDescent="0.2">
      <c r="A2608" s="5">
        <v>2547</v>
      </c>
      <c r="B2608" s="138">
        <f>'Acct Summary 7-8'!G13</f>
        <v>209748</v>
      </c>
      <c r="C2608" s="2" t="s">
        <v>573</v>
      </c>
      <c r="D2608" s="2" t="str">
        <f t="shared" si="39"/>
        <v>Error?</v>
      </c>
    </row>
    <row r="2609" spans="1:4" x14ac:dyDescent="0.2">
      <c r="A2609" s="5">
        <v>2548</v>
      </c>
      <c r="B2609" s="138">
        <f>'Acct Summary 7-8'!G14</f>
        <v>45</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361485</v>
      </c>
      <c r="C2612" s="2" t="s">
        <v>573</v>
      </c>
      <c r="D2612" s="2" t="str">
        <f t="shared" si="39"/>
        <v>Error?</v>
      </c>
    </row>
    <row r="2613" spans="1:4" x14ac:dyDescent="0.2">
      <c r="A2613" s="5">
        <v>2552</v>
      </c>
      <c r="B2613" s="138">
        <f>'Acct Summary 7-8'!G20</f>
        <v>-12359</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3258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3258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1476079</v>
      </c>
      <c r="C2634" s="2" t="s">
        <v>573</v>
      </c>
      <c r="D2634" s="2" t="str">
        <f t="shared" si="40"/>
        <v>Error?</v>
      </c>
    </row>
    <row r="2635" spans="1:4" x14ac:dyDescent="0.2">
      <c r="A2635" s="5">
        <v>2574</v>
      </c>
      <c r="B2635" s="138">
        <f>'Acct Summary 7-8'!E17</f>
        <v>1476079</v>
      </c>
      <c r="C2635" s="2" t="s">
        <v>573</v>
      </c>
      <c r="D2635" s="2" t="str">
        <f t="shared" si="40"/>
        <v>Error?</v>
      </c>
    </row>
    <row r="2636" spans="1:4" x14ac:dyDescent="0.2">
      <c r="A2636" s="5">
        <v>2575</v>
      </c>
      <c r="B2636" s="138">
        <f>'Acct Summary 7-8'!E20</f>
        <v>-1472821</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819854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819854</v>
      </c>
      <c r="C2658" s="2" t="s">
        <v>573</v>
      </c>
      <c r="D2658" s="2" t="str">
        <f t="shared" si="40"/>
        <v>Error?</v>
      </c>
    </row>
    <row r="2659" spans="1:4" x14ac:dyDescent="0.2">
      <c r="A2659" s="5">
        <v>2598</v>
      </c>
      <c r="B2659" s="138">
        <f>'Acct Summary 7-8'!H13</f>
        <v>1625</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1625</v>
      </c>
      <c r="C2661" s="2" t="s">
        <v>573</v>
      </c>
      <c r="D2661" s="2" t="str">
        <f t="shared" si="40"/>
        <v>Error?</v>
      </c>
    </row>
    <row r="2662" spans="1:4" x14ac:dyDescent="0.2">
      <c r="A2662" s="5">
        <v>2601</v>
      </c>
      <c r="B2662" s="138">
        <f>'Acct Summary 7-8'!H20</f>
        <v>818229</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5000</v>
      </c>
      <c r="D2718" s="2" t="str">
        <f t="shared" si="41"/>
        <v>Error?</v>
      </c>
    </row>
    <row r="2719" spans="1:4" x14ac:dyDescent="0.2">
      <c r="A2719" s="5">
        <v>2658</v>
      </c>
      <c r="B2719" s="138">
        <f>'Expenditures 15-22'!D51</f>
        <v>1187</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6187</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179520</v>
      </c>
      <c r="D2860" s="2" t="str">
        <f t="shared" si="43"/>
        <v>Error?</v>
      </c>
    </row>
    <row r="2861" spans="1:4" x14ac:dyDescent="0.2">
      <c r="A2861" s="10">
        <v>2800</v>
      </c>
      <c r="D2861" s="2" t="str">
        <f t="shared" si="43"/>
        <v>OK</v>
      </c>
    </row>
    <row r="2862" spans="1:4" x14ac:dyDescent="0.2">
      <c r="A2862" s="5">
        <v>2801</v>
      </c>
      <c r="B2862" s="138">
        <f>'ICR Computation 30'!E9</f>
        <v>1320710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2259012</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2362194</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207967</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2362194</v>
      </c>
      <c r="D2912" s="2" t="str">
        <f t="shared" si="44"/>
        <v>Error?</v>
      </c>
    </row>
    <row r="2913" spans="1:4" x14ac:dyDescent="0.2">
      <c r="A2913" s="5">
        <v>2852</v>
      </c>
      <c r="B2913" s="138">
        <f>'Assets-Liab 5-6'!I41</f>
        <v>2362194</v>
      </c>
      <c r="C2913" s="2" t="s">
        <v>573</v>
      </c>
      <c r="D2913" s="2" t="str">
        <f t="shared" si="44"/>
        <v>Error?</v>
      </c>
    </row>
    <row r="2914" spans="1:4" x14ac:dyDescent="0.2">
      <c r="A2914" s="5">
        <v>2853</v>
      </c>
      <c r="B2914" s="138">
        <f>'Assets-Liab 5-6'!L33</f>
        <v>207967</v>
      </c>
      <c r="D2914" s="2" t="str">
        <f t="shared" si="44"/>
        <v>Error?</v>
      </c>
    </row>
    <row r="2915" spans="1:4" x14ac:dyDescent="0.2">
      <c r="A2915" s="10">
        <v>2854</v>
      </c>
      <c r="D2915" s="2" t="str">
        <f t="shared" si="44"/>
        <v>OK</v>
      </c>
    </row>
    <row r="2916" spans="1:4" x14ac:dyDescent="0.2">
      <c r="A2916" s="5">
        <v>2855</v>
      </c>
      <c r="B2916" s="138">
        <f>'Assets-Liab 5-6'!L34</f>
        <v>207967</v>
      </c>
      <c r="C2916" s="2" t="s">
        <v>573</v>
      </c>
      <c r="D2916" s="2" t="str">
        <f t="shared" si="44"/>
        <v>Error?</v>
      </c>
    </row>
    <row r="2917" spans="1:4" x14ac:dyDescent="0.2">
      <c r="A2917" s="5">
        <v>2856</v>
      </c>
      <c r="B2917" s="138">
        <f>'Assets-Liab 5-6'!L41</f>
        <v>207967</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273357</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273357</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218392</v>
      </c>
      <c r="D3055" s="2" t="str">
        <f t="shared" si="46"/>
        <v>Error?</v>
      </c>
    </row>
    <row r="3056" spans="1:4" x14ac:dyDescent="0.2">
      <c r="A3056" s="5">
        <v>2995</v>
      </c>
      <c r="B3056" s="138">
        <f>'Expenditures 15-22'!D10</f>
        <v>51456</v>
      </c>
      <c r="D3056" s="2" t="str">
        <f t="shared" si="46"/>
        <v>Error?</v>
      </c>
    </row>
    <row r="3057" spans="1:4" x14ac:dyDescent="0.2">
      <c r="A3057" s="5">
        <v>2996</v>
      </c>
      <c r="B3057" s="138">
        <f>'Expenditures 15-22'!E10</f>
        <v>7684</v>
      </c>
      <c r="D3057" s="2" t="str">
        <f t="shared" si="46"/>
        <v>Error?</v>
      </c>
    </row>
    <row r="3058" spans="1:4" x14ac:dyDescent="0.2">
      <c r="A3058" s="5">
        <v>2997</v>
      </c>
      <c r="B3058" s="138">
        <f>'Expenditures 15-22'!F10</f>
        <v>130927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408459</v>
      </c>
      <c r="C3062" s="2" t="s">
        <v>573</v>
      </c>
      <c r="D3062" s="2" t="str">
        <f t="shared" si="46"/>
        <v>Error?</v>
      </c>
    </row>
    <row r="3063" spans="1:4" x14ac:dyDescent="0.2">
      <c r="A3063" s="10">
        <v>3002</v>
      </c>
      <c r="D3063" s="2" t="str">
        <f t="shared" si="46"/>
        <v>OK</v>
      </c>
    </row>
    <row r="3064" spans="1:4" x14ac:dyDescent="0.2">
      <c r="A3064" s="5">
        <v>3003</v>
      </c>
      <c r="B3064" s="138">
        <f>'Expenditures 15-22'!D219</f>
        <v>33165</v>
      </c>
      <c r="D3064" s="2" t="str">
        <f t="shared" si="46"/>
        <v>Error?</v>
      </c>
    </row>
    <row r="3065" spans="1:4" x14ac:dyDescent="0.2">
      <c r="A3065" s="5">
        <v>3004</v>
      </c>
      <c r="B3065" s="138">
        <f>'Expenditures 15-22'!K219</f>
        <v>33165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51444</v>
      </c>
      <c r="C3225" s="2" t="s">
        <v>573</v>
      </c>
      <c r="D3225" s="2" t="str">
        <f t="shared" si="49"/>
        <v>Error?</v>
      </c>
    </row>
    <row r="3226" spans="1:4" x14ac:dyDescent="0.2">
      <c r="A3226" s="5">
        <v>3165</v>
      </c>
      <c r="B3226" s="138">
        <f>'Acct Summary 7-8'!I8</f>
        <v>51444</v>
      </c>
      <c r="C3226" s="2" t="s">
        <v>573</v>
      </c>
      <c r="D3226" s="2" t="str">
        <f t="shared" si="49"/>
        <v>Error?</v>
      </c>
    </row>
    <row r="3227" spans="1:4" x14ac:dyDescent="0.2">
      <c r="A3227" s="5">
        <v>3166</v>
      </c>
      <c r="B3227" s="138">
        <f>'Acct Summary 7-8'!I20</f>
        <v>51444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550694</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196876</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26677</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-12359</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663263</v>
      </c>
      <c r="D3273" s="2" t="str">
        <f t="shared" si="50"/>
        <v>Error?</v>
      </c>
    </row>
    <row r="3274" spans="1:4" x14ac:dyDescent="0.2">
      <c r="A3274" s="5">
        <v>3213</v>
      </c>
      <c r="B3274" s="138">
        <f>'Acct Summary 7-8'!E44</f>
        <v>663263</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663263</v>
      </c>
      <c r="C3277" s="2" t="s">
        <v>573</v>
      </c>
      <c r="D3277" s="2" t="str">
        <f t="shared" si="50"/>
        <v>Error?</v>
      </c>
    </row>
    <row r="3278" spans="1:4" x14ac:dyDescent="0.2">
      <c r="A3278" s="5">
        <v>3217</v>
      </c>
      <c r="B3278" s="138">
        <f>'Acct Summary 7-8'!E78</f>
        <v>-809558</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663263</v>
      </c>
      <c r="D3297" s="2" t="str">
        <f t="shared" si="50"/>
        <v>Error?</v>
      </c>
    </row>
    <row r="3298" spans="1:4" x14ac:dyDescent="0.2">
      <c r="A3298" s="5">
        <v>3237</v>
      </c>
      <c r="B3298" s="138">
        <f>'Acct Summary 7-8'!H76</f>
        <v>663263</v>
      </c>
      <c r="C3298" s="2" t="s">
        <v>573</v>
      </c>
      <c r="D3298" s="2" t="str">
        <f t="shared" si="50"/>
        <v>Error?</v>
      </c>
    </row>
    <row r="3299" spans="1:4" x14ac:dyDescent="0.2">
      <c r="A3299" s="5">
        <v>3238</v>
      </c>
      <c r="B3299" s="138">
        <f>'Acct Summary 7-8'!H77</f>
        <v>-663263</v>
      </c>
      <c r="C3299" s="2" t="s">
        <v>573</v>
      </c>
      <c r="D3299" s="2" t="str">
        <f t="shared" si="50"/>
        <v>Error?</v>
      </c>
    </row>
    <row r="3300" spans="1:4" x14ac:dyDescent="0.2">
      <c r="A3300" s="5">
        <v>3239</v>
      </c>
      <c r="B3300" s="138">
        <f>'Acct Summary 7-8'!H78</f>
        <v>154966</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51444</v>
      </c>
      <c r="C3320" s="2" t="s">
        <v>573</v>
      </c>
      <c r="D3320" s="2" t="str">
        <f t="shared" si="50"/>
        <v>Error?</v>
      </c>
    </row>
    <row r="3321" spans="1:4" x14ac:dyDescent="0.2">
      <c r="A3321" s="5">
        <v>3260</v>
      </c>
      <c r="B3321" s="138">
        <f>'Acct Summary 7-8'!I79</f>
        <v>2310750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2362194</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837411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190708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594</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2678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1031391</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40828</v>
      </c>
      <c r="D3387" s="2" t="str">
        <f t="shared" si="51"/>
        <v>Error?</v>
      </c>
    </row>
    <row r="3388" spans="1:4" x14ac:dyDescent="0.2">
      <c r="A3388" s="5">
        <v>3327</v>
      </c>
      <c r="B3388" s="138">
        <f>'Expenditures 15-22'!D217</f>
        <v>55655</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40828</v>
      </c>
      <c r="C3390" s="2" t="s">
        <v>573</v>
      </c>
      <c r="D3390" s="2" t="str">
        <f t="shared" si="51"/>
        <v>Error?</v>
      </c>
    </row>
    <row r="3391" spans="1:4" x14ac:dyDescent="0.2">
      <c r="A3391" s="5">
        <v>3330</v>
      </c>
      <c r="B3391" s="138">
        <f>'Expenditures 15-22'!K217</f>
        <v>55655</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38982</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1381679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425107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306622</v>
      </c>
      <c r="D3417" s="2" t="str">
        <f t="shared" si="52"/>
        <v>Error?</v>
      </c>
    </row>
    <row r="3418" spans="1:4" x14ac:dyDescent="0.2">
      <c r="A3418" s="10">
        <v>3357</v>
      </c>
      <c r="D3418" s="2" t="str">
        <f t="shared" si="52"/>
        <v>OK</v>
      </c>
    </row>
    <row r="3419" spans="1:4" x14ac:dyDescent="0.2">
      <c r="A3419" s="5">
        <v>3358</v>
      </c>
      <c r="B3419" s="138">
        <f>'Assets-Liab 5-6'!F4</f>
        <v>19884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28153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188968</v>
      </c>
      <c r="D3425" s="2" t="str">
        <f t="shared" si="52"/>
        <v>Error?</v>
      </c>
    </row>
    <row r="3426" spans="1:4" x14ac:dyDescent="0.2">
      <c r="A3426" s="10">
        <v>3365</v>
      </c>
      <c r="D3426" s="2" t="str">
        <f t="shared" si="52"/>
        <v>OK</v>
      </c>
    </row>
    <row r="3427" spans="1:4" x14ac:dyDescent="0.2">
      <c r="A3427" s="5">
        <v>3366</v>
      </c>
      <c r="B3427" s="138">
        <f>'Assets-Liab 5-6'!I4</f>
        <v>103182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207967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180843</v>
      </c>
      <c r="C3446" s="2" t="s">
        <v>573</v>
      </c>
      <c r="D3446" s="2" t="str">
        <f t="shared" si="52"/>
        <v>Error?</v>
      </c>
    </row>
    <row r="3447" spans="1:4" x14ac:dyDescent="0.2">
      <c r="A3447" s="5">
        <v>3386</v>
      </c>
      <c r="B3447" s="138">
        <f>'Tax Sched 23'!D16</f>
        <v>180843</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186170</v>
      </c>
      <c r="C3449" s="2" t="s">
        <v>573</v>
      </c>
      <c r="D3449" s="2" t="str">
        <f t="shared" si="52"/>
        <v>Error?</v>
      </c>
    </row>
    <row r="3450" spans="1:4" x14ac:dyDescent="0.2">
      <c r="A3450" s="5">
        <v>3389</v>
      </c>
      <c r="B3450" s="138">
        <f>'Tax Sched 23'!E16</f>
        <v>186170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12785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199881</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212666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212666</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212666</v>
      </c>
      <c r="C3568" s="2" t="s">
        <v>573</v>
      </c>
      <c r="D3568" s="2" t="str">
        <f t="shared" si="54"/>
        <v>Error?</v>
      </c>
    </row>
    <row r="3569" spans="1:4" x14ac:dyDescent="0.2">
      <c r="A3569" s="5">
        <v>3508</v>
      </c>
      <c r="B3569" s="138">
        <f>'Acct Summary 7-8'!K4</f>
        <v>13537</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13537</v>
      </c>
      <c r="C3571" s="2" t="s">
        <v>573</v>
      </c>
      <c r="D3571" s="2" t="str">
        <f t="shared" si="54"/>
        <v>Error?</v>
      </c>
    </row>
    <row r="3572" spans="1:4" x14ac:dyDescent="0.2">
      <c r="A3572" s="5">
        <v>3511</v>
      </c>
      <c r="B3572" s="138">
        <f>'Acct Summary 7-8'!K13</f>
        <v>62327</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62327</v>
      </c>
      <c r="C3575" s="2" t="s">
        <v>573</v>
      </c>
      <c r="D3575" s="2" t="str">
        <f t="shared" si="54"/>
        <v>Error?</v>
      </c>
    </row>
    <row r="3576" spans="1:4" x14ac:dyDescent="0.2">
      <c r="A3576" s="5">
        <v>3515</v>
      </c>
      <c r="B3576" s="138">
        <f>'Acct Summary 7-8'!K20</f>
        <v>-48790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-48790</v>
      </c>
      <c r="C3588" s="2" t="s">
        <v>573</v>
      </c>
      <c r="D3588" s="2" t="str">
        <f t="shared" si="55"/>
        <v>Error?</v>
      </c>
    </row>
    <row r="3589" spans="1:4" x14ac:dyDescent="0.2">
      <c r="A3589" s="5">
        <v>3528</v>
      </c>
      <c r="B3589" s="138">
        <f>'Acct Summary 7-8'!K79</f>
        <v>261456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212666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4881</v>
      </c>
      <c r="D3631" s="2" t="str">
        <f t="shared" si="55"/>
        <v>Error?</v>
      </c>
    </row>
    <row r="3632" spans="1:4" x14ac:dyDescent="0.2">
      <c r="A3632" s="5">
        <v>3571</v>
      </c>
      <c r="B3632" s="138">
        <f>'Expenditures 15-22'!E349</f>
        <v>57446</v>
      </c>
      <c r="D3632" s="2" t="str">
        <f t="shared" si="55"/>
        <v>Error?</v>
      </c>
    </row>
    <row r="3633" spans="1:4" x14ac:dyDescent="0.2">
      <c r="A3633" s="5">
        <v>3572</v>
      </c>
      <c r="B3633" s="138">
        <f>'Expenditures 15-22'!E350</f>
        <v>62327</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62327</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4881</v>
      </c>
      <c r="C3668" s="2" t="s">
        <v>573</v>
      </c>
      <c r="D3668" s="2" t="str">
        <f t="shared" si="56"/>
        <v>Error?</v>
      </c>
    </row>
    <row r="3669" spans="1:4" x14ac:dyDescent="0.2">
      <c r="A3669" s="5">
        <v>3608</v>
      </c>
      <c r="B3669" s="138">
        <f>'Expenditures 15-22'!K349</f>
        <v>57446</v>
      </c>
      <c r="C3669" s="2" t="s">
        <v>573</v>
      </c>
      <c r="D3669" s="2" t="str">
        <f t="shared" si="56"/>
        <v>Error?</v>
      </c>
    </row>
    <row r="3670" spans="1:4" x14ac:dyDescent="0.2">
      <c r="A3670" s="5">
        <v>3609</v>
      </c>
      <c r="B3670" s="138">
        <f>'Expenditures 15-22'!K350</f>
        <v>62327</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62327</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62327</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-48790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43601</v>
      </c>
      <c r="C3725" s="2" t="s">
        <v>573</v>
      </c>
      <c r="D3725" s="2" t="str">
        <f t="shared" si="57"/>
        <v>Error?</v>
      </c>
    </row>
    <row r="3726" spans="1:4" x14ac:dyDescent="0.2">
      <c r="A3726" s="5">
        <v>3665</v>
      </c>
      <c r="B3726" s="138">
        <f>'Tax Sched 23'!D13</f>
        <v>43601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44895</v>
      </c>
      <c r="C3728" s="2" t="s">
        <v>573</v>
      </c>
      <c r="D3728" s="2" t="str">
        <f t="shared" si="57"/>
        <v>Error?</v>
      </c>
    </row>
    <row r="3729" spans="1:4" x14ac:dyDescent="0.2">
      <c r="A3729" s="5">
        <v>3668</v>
      </c>
      <c r="B3729" s="138">
        <f>'Tax Sched 23'!E13</f>
        <v>44895</v>
      </c>
      <c r="D3729" s="2" t="str">
        <f t="shared" si="57"/>
        <v>Error?</v>
      </c>
    </row>
    <row r="3730" spans="1:4" x14ac:dyDescent="0.2">
      <c r="A3730" s="5">
        <v>3669</v>
      </c>
      <c r="B3730" s="138">
        <f>'ICR Computation 30'!E10</f>
        <v>675307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3726587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13971977</v>
      </c>
      <c r="C4122" s="2" t="s">
        <v>573</v>
      </c>
      <c r="D4122" s="2" t="str">
        <f t="shared" si="63"/>
        <v>Error?</v>
      </c>
    </row>
    <row r="4123" spans="1:4" x14ac:dyDescent="0.2">
      <c r="A4123" s="5">
        <v>4062</v>
      </c>
      <c r="B4123" s="138">
        <f>'Acct Summary 7-8'!D10</f>
        <v>1534810</v>
      </c>
      <c r="C4123" s="2" t="s">
        <v>573</v>
      </c>
      <c r="D4123" s="2" t="str">
        <f t="shared" si="63"/>
        <v>Error?</v>
      </c>
    </row>
    <row r="4124" spans="1:4" x14ac:dyDescent="0.2">
      <c r="A4124" s="5">
        <v>4063</v>
      </c>
      <c r="B4124" s="138">
        <f>'Acct Summary 7-8'!E10</f>
        <v>3258</v>
      </c>
      <c r="C4124" s="2" t="s">
        <v>573</v>
      </c>
      <c r="D4124" s="2" t="str">
        <f t="shared" si="63"/>
        <v>Error?</v>
      </c>
    </row>
    <row r="4125" spans="1:4" x14ac:dyDescent="0.2">
      <c r="A4125" s="5">
        <v>4064</v>
      </c>
      <c r="B4125" s="138">
        <f>'Acct Summary 7-8'!F10</f>
        <v>1083877</v>
      </c>
      <c r="C4125" s="2" t="s">
        <v>573</v>
      </c>
      <c r="D4125" s="2" t="str">
        <f t="shared" si="63"/>
        <v>Error?</v>
      </c>
    </row>
    <row r="4126" spans="1:4" x14ac:dyDescent="0.2">
      <c r="A4126" s="5">
        <v>4065</v>
      </c>
      <c r="B4126" s="138">
        <f>'Acct Summary 7-8'!G10</f>
        <v>349126</v>
      </c>
      <c r="C4126" s="2" t="s">
        <v>573</v>
      </c>
      <c r="D4126" s="2" t="str">
        <f t="shared" si="63"/>
        <v>Error?</v>
      </c>
    </row>
    <row r="4127" spans="1:4" x14ac:dyDescent="0.2">
      <c r="A4127" s="5">
        <v>4066</v>
      </c>
      <c r="B4127" s="138">
        <f>'Acct Summary 7-8'!H10</f>
        <v>819854</v>
      </c>
      <c r="C4127" s="2" t="s">
        <v>573</v>
      </c>
      <c r="D4127" s="2" t="str">
        <f t="shared" si="63"/>
        <v>Error?</v>
      </c>
    </row>
    <row r="4128" spans="1:4" x14ac:dyDescent="0.2">
      <c r="A4128" s="5">
        <v>4067</v>
      </c>
      <c r="B4128" s="138">
        <f>'Acct Summary 7-8'!I10</f>
        <v>51444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13537</v>
      </c>
      <c r="C4130" s="2" t="s">
        <v>573</v>
      </c>
      <c r="D4130" s="2" t="str">
        <f t="shared" si="63"/>
        <v>Error?</v>
      </c>
    </row>
    <row r="4131" spans="1:4" x14ac:dyDescent="0.2">
      <c r="A4131" s="5">
        <v>4070</v>
      </c>
      <c r="B4131" s="138">
        <f>'Acct Summary 7-8'!C18</f>
        <v>3726587</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13421283</v>
      </c>
      <c r="C4136" s="2" t="s">
        <v>573</v>
      </c>
      <c r="D4136" s="2" t="str">
        <f t="shared" si="63"/>
        <v>Error?</v>
      </c>
    </row>
    <row r="4137" spans="1:4" x14ac:dyDescent="0.2">
      <c r="A4137" s="5">
        <v>4076</v>
      </c>
      <c r="B4137" s="138">
        <f>'Acct Summary 7-8'!D19</f>
        <v>1337934</v>
      </c>
      <c r="C4137" s="2" t="s">
        <v>573</v>
      </c>
      <c r="D4137" s="2" t="str">
        <f t="shared" si="63"/>
        <v>Error?</v>
      </c>
    </row>
    <row r="4138" spans="1:4" x14ac:dyDescent="0.2">
      <c r="A4138" s="5">
        <v>4077</v>
      </c>
      <c r="B4138" s="138">
        <f>'Acct Summary 7-8'!E19</f>
        <v>1476079</v>
      </c>
      <c r="C4138" s="2" t="s">
        <v>573</v>
      </c>
      <c r="D4138" s="2" t="str">
        <f t="shared" si="63"/>
        <v>Error?</v>
      </c>
    </row>
    <row r="4139" spans="1:4" x14ac:dyDescent="0.2">
      <c r="A4139" s="5">
        <v>4078</v>
      </c>
      <c r="B4139" s="138">
        <f>'Acct Summary 7-8'!F19</f>
        <v>1057200</v>
      </c>
      <c r="C4139" s="2" t="s">
        <v>573</v>
      </c>
      <c r="D4139" s="2" t="str">
        <f t="shared" si="63"/>
        <v>Error?</v>
      </c>
    </row>
    <row r="4140" spans="1:4" x14ac:dyDescent="0.2">
      <c r="A4140" s="5">
        <v>4079</v>
      </c>
      <c r="B4140" s="138">
        <f>'Acct Summary 7-8'!G19</f>
        <v>361485</v>
      </c>
      <c r="C4140" s="2" t="s">
        <v>573</v>
      </c>
      <c r="D4140" s="2" t="str">
        <f t="shared" si="63"/>
        <v>Error?</v>
      </c>
    </row>
    <row r="4141" spans="1:4" x14ac:dyDescent="0.2">
      <c r="A4141" s="5">
        <v>4080</v>
      </c>
      <c r="B4141" s="138">
        <f>'Acct Summary 7-8'!H19</f>
        <v>1625</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62327</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11500180</v>
      </c>
      <c r="C4171" s="2" t="s">
        <v>573</v>
      </c>
      <c r="D4171" s="2" t="str">
        <f t="shared" si="64"/>
        <v>Error?</v>
      </c>
    </row>
    <row r="4172" spans="1:4" x14ac:dyDescent="0.2">
      <c r="A4172" s="5">
        <v>4111</v>
      </c>
      <c r="B4172" s="138">
        <f>'Short-Term Long-Term Debt 24'!J49</f>
        <v>10921659</v>
      </c>
      <c r="C4172" s="2" t="s">
        <v>573</v>
      </c>
      <c r="D4172" s="2" t="str">
        <f t="shared" si="64"/>
        <v>Error?</v>
      </c>
    </row>
    <row r="4173" spans="1:4" x14ac:dyDescent="0.2">
      <c r="A4173" s="5">
        <v>4112</v>
      </c>
      <c r="B4173" s="138">
        <f>'Short-Term Long-Term Debt 24'!H49</f>
        <v>1120000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1939</v>
      </c>
    </row>
    <row r="4236" spans="1:5" x14ac:dyDescent="0.2">
      <c r="A4236" s="10">
        <v>4175</v>
      </c>
      <c r="D4236" s="2" t="str">
        <f t="shared" si="65"/>
        <v>OK</v>
      </c>
      <c r="E4236" s="4" t="s">
        <v>1939</v>
      </c>
    </row>
    <row r="4237" spans="1:5" x14ac:dyDescent="0.2">
      <c r="A4237" s="10">
        <v>4176</v>
      </c>
      <c r="D4237" s="2" t="str">
        <f t="shared" si="65"/>
        <v>OK</v>
      </c>
      <c r="E4237" s="4" t="s">
        <v>1939</v>
      </c>
    </row>
    <row r="4238" spans="1:5" x14ac:dyDescent="0.2">
      <c r="A4238" s="10">
        <v>4177</v>
      </c>
      <c r="D4238" s="2" t="str">
        <f t="shared" si="65"/>
        <v>OK</v>
      </c>
      <c r="E4238" s="4" t="s">
        <v>1939</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209.392</v>
      </c>
      <c r="C4265" s="2" t="s">
        <v>573</v>
      </c>
      <c r="D4265" s="2" t="str">
        <f t="shared" si="65"/>
        <v>Error?</v>
      </c>
      <c r="E4265" s="128"/>
    </row>
    <row r="4266" spans="1:5" x14ac:dyDescent="0.2">
      <c r="A4266" s="12">
        <v>4205</v>
      </c>
      <c r="B4266" s="138">
        <f>('FP Info 3'!F10)*100000</f>
        <v>63.011000000000003</v>
      </c>
      <c r="C4266" s="2" t="s">
        <v>573</v>
      </c>
      <c r="D4266" s="2" t="str">
        <f t="shared" si="65"/>
        <v>Error?</v>
      </c>
      <c r="E4266" s="128"/>
    </row>
    <row r="4267" spans="1:5" x14ac:dyDescent="0.2">
      <c r="A4267" s="12">
        <v>4206</v>
      </c>
      <c r="B4267" s="138">
        <f>('FP Info 3'!H10)*100000</f>
        <v>29.704999999999998</v>
      </c>
      <c r="C4267" s="2" t="s">
        <v>573</v>
      </c>
      <c r="D4267" s="2" t="str">
        <f t="shared" si="65"/>
        <v>Error?</v>
      </c>
      <c r="E4267" s="128"/>
    </row>
    <row r="4268" spans="1:5" x14ac:dyDescent="0.2">
      <c r="A4268" s="12">
        <v>4207</v>
      </c>
      <c r="B4268" s="138">
        <f>('FP Info 3'!J10)*100000</f>
        <v>302</v>
      </c>
      <c r="C4268" s="2" t="s">
        <v>573</v>
      </c>
      <c r="D4268" s="2" t="str">
        <f t="shared" si="65"/>
        <v>Error?</v>
      </c>
    </row>
    <row r="4269" spans="1:5" x14ac:dyDescent="0.2">
      <c r="A4269" s="12">
        <v>4208</v>
      </c>
      <c r="B4269" s="138">
        <f>'FP Info 3'!J16</f>
        <v>4870824</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64353</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12300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11767</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23274</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23274</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1939</v>
      </c>
    </row>
    <row r="4400" spans="1:5" x14ac:dyDescent="0.2">
      <c r="A4400" s="10">
        <v>4339</v>
      </c>
      <c r="D4400" s="2" t="str">
        <f t="shared" si="67"/>
        <v>OK</v>
      </c>
      <c r="E4400" s="4" t="s">
        <v>1939</v>
      </c>
    </row>
    <row r="4401" spans="1:5" x14ac:dyDescent="0.2">
      <c r="A4401" s="10">
        <v>4340</v>
      </c>
      <c r="D4401" s="2" t="str">
        <f t="shared" si="67"/>
        <v>OK</v>
      </c>
      <c r="E4401" s="4" t="s">
        <v>1939</v>
      </c>
    </row>
    <row r="4402" spans="1:5" x14ac:dyDescent="0.2">
      <c r="A4402" s="10">
        <v>4341</v>
      </c>
      <c r="D4402" s="2" t="str">
        <f t="shared" si="67"/>
        <v>OK</v>
      </c>
      <c r="E4402" s="4" t="s">
        <v>1939</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12300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7015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4.1550000000000002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36432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111901462</v>
      </c>
      <c r="D4995" s="2" t="str">
        <f t="shared" si="77"/>
        <v>Error?</v>
      </c>
    </row>
    <row r="4996" spans="1:4" x14ac:dyDescent="0.2">
      <c r="A4996" s="12">
        <v>4935</v>
      </c>
      <c r="B4996" s="138">
        <f>'FP Info 3'!H31</f>
        <v>15442401.756000001</v>
      </c>
      <c r="D4996" s="2" t="str">
        <f t="shared" si="77"/>
        <v>Error?</v>
      </c>
    </row>
    <row r="4997" spans="1:4" x14ac:dyDescent="0.2">
      <c r="A4997" s="12">
        <v>4936</v>
      </c>
      <c r="B4997" s="138">
        <f>'FP Info 3'!H37</f>
        <v>11500180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43601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2219655</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2263256</v>
      </c>
      <c r="C5066" s="2" t="s">
        <v>573</v>
      </c>
      <c r="D5066" s="2" t="str">
        <f t="shared" si="78"/>
        <v>Error?</v>
      </c>
    </row>
    <row r="5067" spans="1:4" x14ac:dyDescent="0.2">
      <c r="A5067" s="5">
        <v>5006</v>
      </c>
      <c r="B5067" s="138">
        <f>'Revenues 9-14'!C14</f>
        <v>18552</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531586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550138</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5521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5521</v>
      </c>
      <c r="C5090" s="2" t="s">
        <v>573</v>
      </c>
      <c r="D5090" s="2" t="str">
        <f t="shared" si="78"/>
        <v>Error?</v>
      </c>
    </row>
    <row r="5091" spans="1:4" x14ac:dyDescent="0.2">
      <c r="A5091" s="5">
        <v>5030</v>
      </c>
      <c r="B5091" s="138">
        <f>'Revenues 9-14'!C70</f>
        <v>12099</v>
      </c>
      <c r="D5091" s="2" t="str">
        <f t="shared" si="78"/>
        <v>Error?</v>
      </c>
    </row>
    <row r="5092" spans="1:4" x14ac:dyDescent="0.2">
      <c r="A5092" s="5">
        <v>5031</v>
      </c>
      <c r="B5092" s="138">
        <f>'Revenues 9-14'!C71</f>
        <v>91601</v>
      </c>
      <c r="D5092" s="2" t="str">
        <f t="shared" si="78"/>
        <v>Error?</v>
      </c>
    </row>
    <row r="5093" spans="1:4" x14ac:dyDescent="0.2">
      <c r="A5093" s="5">
        <v>5032</v>
      </c>
      <c r="B5093" s="138">
        <f>'Revenues 9-14'!C72</f>
        <v>446</v>
      </c>
      <c r="D5093" s="2" t="str">
        <f t="shared" si="78"/>
        <v>Error?</v>
      </c>
    </row>
    <row r="5094" spans="1:4" x14ac:dyDescent="0.2">
      <c r="A5094" s="5">
        <v>5033</v>
      </c>
      <c r="B5094" s="138">
        <f>'Revenues 9-14'!C73</f>
        <v>3865</v>
      </c>
      <c r="D5094" s="2" t="str">
        <f t="shared" si="78"/>
        <v>Error?</v>
      </c>
    </row>
    <row r="5095" spans="1:4" x14ac:dyDescent="0.2">
      <c r="A5095" s="5">
        <v>5034</v>
      </c>
      <c r="B5095" s="138">
        <f>'Revenues 9-14'!C74</f>
        <v>45812</v>
      </c>
      <c r="D5095" s="2" t="str">
        <f t="shared" si="78"/>
        <v>Error?</v>
      </c>
    </row>
    <row r="5096" spans="1:4" x14ac:dyDescent="0.2">
      <c r="A5096" s="5">
        <v>5035</v>
      </c>
      <c r="B5096" s="138">
        <f>'Revenues 9-14'!C75</f>
        <v>213876</v>
      </c>
      <c r="C5096" s="2" t="s">
        <v>573</v>
      </c>
      <c r="D5096" s="2" t="str">
        <f t="shared" si="78"/>
        <v>Error?</v>
      </c>
    </row>
    <row r="5097" spans="1:4" x14ac:dyDescent="0.2">
      <c r="A5097" s="5">
        <v>5036</v>
      </c>
      <c r="B5097" s="138">
        <f>'Revenues 9-14'!C77</f>
        <v>52186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24507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886</v>
      </c>
      <c r="D5101" s="2" t="str">
        <f t="shared" si="78"/>
        <v>Error?</v>
      </c>
    </row>
    <row r="5102" spans="1:4" x14ac:dyDescent="0.2">
      <c r="A5102" s="5">
        <v>5041</v>
      </c>
      <c r="B5102" s="138">
        <f>'Revenues 9-14'!C82</f>
        <v>77579</v>
      </c>
      <c r="C5102" s="2" t="s">
        <v>573</v>
      </c>
      <c r="D5102" s="2" t="str">
        <f t="shared" si="78"/>
        <v>Error?</v>
      </c>
    </row>
    <row r="5103" spans="1:4" x14ac:dyDescent="0.2">
      <c r="A5103" s="5">
        <v>5042</v>
      </c>
      <c r="B5103" s="138">
        <f>'Revenues 9-14'!C84</f>
        <v>24024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24024</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1215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2845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75377</v>
      </c>
      <c r="D5119" s="2" t="str">
        <f t="shared" ref="D5119:D5182" si="79">IF(ISBLANK(B5119),"OK",IF(A5119-B5119=0,"OK","Error?"))</f>
        <v>Error?</v>
      </c>
    </row>
    <row r="5120" spans="1:4" x14ac:dyDescent="0.2">
      <c r="A5120" s="5">
        <v>5059</v>
      </c>
      <c r="B5120" s="138">
        <f>'Revenues 9-14'!C108</f>
        <v>82662</v>
      </c>
      <c r="C5120" s="2" t="s">
        <v>573</v>
      </c>
      <c r="D5120" s="2" t="str">
        <f t="shared" si="79"/>
        <v>Error?</v>
      </c>
    </row>
    <row r="5121" spans="1:4" x14ac:dyDescent="0.2">
      <c r="A5121" s="5">
        <v>5060</v>
      </c>
      <c r="B5121" s="138">
        <f>'Revenues 9-14'!C109</f>
        <v>3217056</v>
      </c>
      <c r="C5121" s="2" t="s">
        <v>573</v>
      </c>
      <c r="D5121" s="2" t="str">
        <f t="shared" si="79"/>
        <v>Error?</v>
      </c>
    </row>
    <row r="5122" spans="1:4" x14ac:dyDescent="0.2">
      <c r="A5122" s="5">
        <v>5061</v>
      </c>
      <c r="B5122" s="138">
        <f>'Revenues 9-14'!C111</f>
        <v>20234</v>
      </c>
      <c r="D5122" s="2" t="str">
        <f t="shared" si="79"/>
        <v>Error?</v>
      </c>
    </row>
    <row r="5123" spans="1:4" x14ac:dyDescent="0.2">
      <c r="A5123" s="5">
        <v>5062</v>
      </c>
      <c r="B5123" s="138">
        <f>'Revenues 9-14'!C112</f>
        <v>18748</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38982</v>
      </c>
      <c r="C5125" s="2" t="s">
        <v>573</v>
      </c>
      <c r="D5125" s="2" t="str">
        <f t="shared" si="79"/>
        <v>Error?</v>
      </c>
    </row>
    <row r="5126" spans="1:4" x14ac:dyDescent="0.2">
      <c r="A5126" s="5">
        <v>5065</v>
      </c>
      <c r="B5126" s="138">
        <f>'Revenues 9-14'!C117</f>
        <v>5147234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5147234</v>
      </c>
      <c r="C5132" s="2" t="s">
        <v>573</v>
      </c>
      <c r="D5132" s="2" t="str">
        <f t="shared" si="79"/>
        <v>Error?</v>
      </c>
    </row>
    <row r="5133" spans="1:4" x14ac:dyDescent="0.2">
      <c r="A5133" s="5">
        <v>5072</v>
      </c>
      <c r="B5133" s="138">
        <f>'Revenues 9-14'!C125</f>
        <v>45838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34239</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80077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1916</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6799</v>
      </c>
      <c r="D5167" s="2" t="str">
        <f t="shared" si="79"/>
        <v>Error?</v>
      </c>
    </row>
    <row r="5168" spans="1:4" x14ac:dyDescent="0.2">
      <c r="A5168" s="5">
        <v>5107</v>
      </c>
      <c r="B5168" s="138">
        <f>'Revenues 9-14'!C148</f>
        <v>18476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271745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1939</v>
      </c>
    </row>
    <row r="5200" spans="1:5" x14ac:dyDescent="0.2">
      <c r="A5200" s="10">
        <v>5139</v>
      </c>
      <c r="D5200" s="2" t="str">
        <f t="shared" si="80"/>
        <v>OK</v>
      </c>
      <c r="E5200" s="4" t="s">
        <v>1939</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415445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5562679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287721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96752</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384473</v>
      </c>
      <c r="C5246" s="2" t="s">
        <v>573</v>
      </c>
      <c r="D5246" s="2" t="str">
        <f t="shared" si="80"/>
        <v>Error?</v>
      </c>
    </row>
    <row r="5247" spans="1:4" x14ac:dyDescent="0.2">
      <c r="A5247" s="5">
        <v>5186</v>
      </c>
      <c r="B5247" s="138">
        <f>'Revenues 9-14'!C200</f>
        <v>622059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1939</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686412</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298886</v>
      </c>
      <c r="D5278" s="2" t="str">
        <f t="shared" si="81"/>
        <v>Error?</v>
      </c>
    </row>
    <row r="5279" spans="1:4" x14ac:dyDescent="0.2">
      <c r="A5279" s="5">
        <v>5218</v>
      </c>
      <c r="B5279" s="138">
        <f>'Revenues 9-14'!C214</f>
        <v>2546</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301432</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1939</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1426673</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1426673</v>
      </c>
      <c r="C5326" s="2" t="s">
        <v>573</v>
      </c>
      <c r="D5326" s="2" t="str">
        <f t="shared" si="82"/>
        <v>Error?</v>
      </c>
    </row>
    <row r="5327" spans="1:5" x14ac:dyDescent="0.2">
      <c r="A5327" s="5">
        <v>5266</v>
      </c>
      <c r="B5327" s="138">
        <f>'Revenues 9-14'!C268</f>
        <v>10245390</v>
      </c>
      <c r="C5327" s="2" t="s">
        <v>573</v>
      </c>
      <c r="D5327" s="2" t="str">
        <f t="shared" si="82"/>
        <v>Error?</v>
      </c>
    </row>
    <row r="5328" spans="1:5" x14ac:dyDescent="0.2">
      <c r="A5328" s="5">
        <v>5267</v>
      </c>
      <c r="B5328" s="138">
        <f>'Revenues 9-14'!D5</f>
        <v>676490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45500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721990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338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338</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5861</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21432</v>
      </c>
      <c r="D5354" s="2" t="str">
        <f t="shared" si="82"/>
        <v>Error?</v>
      </c>
    </row>
    <row r="5355" spans="1:4" x14ac:dyDescent="0.2">
      <c r="A5355" s="5">
        <v>5294</v>
      </c>
      <c r="B5355" s="138">
        <f>'Revenues 9-14'!D108</f>
        <v>312482</v>
      </c>
      <c r="C5355" s="2" t="s">
        <v>573</v>
      </c>
      <c r="D5355" s="2" t="str">
        <f t="shared" si="82"/>
        <v>Error?</v>
      </c>
    </row>
    <row r="5356" spans="1:4" x14ac:dyDescent="0.2">
      <c r="A5356" s="5">
        <v>5295</v>
      </c>
      <c r="B5356" s="138">
        <f>'Revenues 9-14'!D109</f>
        <v>1034810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500000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500000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500000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1939</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1534810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3258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3258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3258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3258</v>
      </c>
      <c r="C5552" s="2" t="s">
        <v>573</v>
      </c>
      <c r="D5552" s="2" t="str">
        <f t="shared" si="85"/>
        <v>Error?</v>
      </c>
    </row>
    <row r="5553" spans="1:4" x14ac:dyDescent="0.2">
      <c r="A5553" s="5">
        <v>5492</v>
      </c>
      <c r="B5553" s="138">
        <f>'Revenues 9-14'!F5</f>
        <v>318916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318916</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1228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1228</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320144</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200000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200000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331224</v>
      </c>
      <c r="D5615" s="2" t="str">
        <f t="shared" si="86"/>
        <v>Error?</v>
      </c>
    </row>
    <row r="5616" spans="1:4" x14ac:dyDescent="0.2">
      <c r="A5616" s="10">
        <v>5555</v>
      </c>
      <c r="D5616" s="2" t="str">
        <f t="shared" si="86"/>
        <v>OK</v>
      </c>
    </row>
    <row r="5617" spans="1:5" x14ac:dyDescent="0.2">
      <c r="A5617" s="5">
        <v>5556</v>
      </c>
      <c r="B5617" s="138">
        <f>'Revenues 9-14'!F153</f>
        <v>232509</v>
      </c>
      <c r="D5617" s="2" t="str">
        <f t="shared" si="86"/>
        <v>Error?</v>
      </c>
    </row>
    <row r="5618" spans="1:5" x14ac:dyDescent="0.2">
      <c r="A5618" s="5">
        <v>5557</v>
      </c>
      <c r="B5618" s="138">
        <f>'Revenues 9-14'!F155</f>
        <v>563733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1939</v>
      </c>
    </row>
    <row r="5631" spans="1:5" x14ac:dyDescent="0.2">
      <c r="A5631" s="10">
        <v>5570</v>
      </c>
      <c r="D5631" s="2" t="str">
        <f t="shared" ref="D5631:D5694" si="87">IF(ISBLANK(B5631),"OK",IF(A5631-B5631=0,"OK","Error?"))</f>
        <v>OK</v>
      </c>
      <c r="E5631" s="4" t="s">
        <v>1939</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563733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763733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1939</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1939</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1083877</v>
      </c>
      <c r="C5720" s="2" t="s">
        <v>573</v>
      </c>
      <c r="D5720" s="2" t="str">
        <f t="shared" si="88"/>
        <v>Error?</v>
      </c>
    </row>
    <row r="5721" spans="1:4" x14ac:dyDescent="0.2">
      <c r="A5721" s="5">
        <v>5660</v>
      </c>
      <c r="B5721" s="138">
        <f>'Revenues 9-14'!G5</f>
        <v>164384</v>
      </c>
      <c r="D5721" s="2" t="str">
        <f t="shared" si="88"/>
        <v>Error?</v>
      </c>
    </row>
    <row r="5722" spans="1:4" x14ac:dyDescent="0.2">
      <c r="A5722" s="5">
        <v>5661</v>
      </c>
      <c r="B5722" s="138">
        <f>'Revenues 9-14'!G7</f>
        <v>0</v>
      </c>
      <c r="D5722" s="2" t="str">
        <f t="shared" si="88"/>
        <v>Error?</v>
      </c>
    </row>
    <row r="5723" spans="1:4" x14ac:dyDescent="0.2">
      <c r="A5723" s="5">
        <v>5662</v>
      </c>
      <c r="B5723" s="138">
        <f>'Revenues 9-14'!G8</f>
        <v>180843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345227</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3899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3899</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1939</v>
      </c>
    </row>
    <row r="5768" spans="1:5" x14ac:dyDescent="0.2">
      <c r="A5768" s="10">
        <v>5707</v>
      </c>
      <c r="D5768" s="2" t="str">
        <f t="shared" si="89"/>
        <v>OK</v>
      </c>
      <c r="E5768" s="4" t="s">
        <v>1939</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1939</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1939</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349126</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1267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1267</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818587</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819854</v>
      </c>
      <c r="C5915" s="2" t="s">
        <v>573</v>
      </c>
      <c r="D5915" s="2" t="str">
        <f t="shared" si="91"/>
        <v>Error?</v>
      </c>
    </row>
    <row r="5916" spans="1:4" x14ac:dyDescent="0.2">
      <c r="A5916" s="5">
        <v>5855</v>
      </c>
      <c r="B5916" s="138">
        <f>'Revenues 9-14'!I5</f>
        <v>45151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45151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6293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6293</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51444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4894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4894</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8643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8643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13537</v>
      </c>
      <c r="C6023" s="2" t="s">
        <v>573</v>
      </c>
      <c r="D6023" s="2" t="str">
        <f t="shared" si="93"/>
        <v>Error?</v>
      </c>
    </row>
    <row r="6024" spans="1:5" x14ac:dyDescent="0.2">
      <c r="A6024" s="5">
        <v>5963</v>
      </c>
      <c r="B6024" s="138">
        <f>'Revenues 9-14'!G109</f>
        <v>349126</v>
      </c>
      <c r="C6024" s="2" t="s">
        <v>573</v>
      </c>
      <c r="D6024" s="2" t="str">
        <f t="shared" si="93"/>
        <v>Error?</v>
      </c>
    </row>
    <row r="6025" spans="1:5" x14ac:dyDescent="0.2">
      <c r="A6025" s="5">
        <v>5964</v>
      </c>
      <c r="B6025" s="138">
        <f>'Revenues 9-14'!H109</f>
        <v>819854</v>
      </c>
      <c r="C6025" s="2" t="s">
        <v>573</v>
      </c>
      <c r="D6025" s="2" t="str">
        <f t="shared" si="93"/>
        <v>Error?</v>
      </c>
    </row>
    <row r="6026" spans="1:5" x14ac:dyDescent="0.2">
      <c r="A6026" s="5">
        <v>5965</v>
      </c>
      <c r="B6026" s="138">
        <f>'Revenues 9-14'!I109</f>
        <v>51444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13537</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60053</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41426</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1059.94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91316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91316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91316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91414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91414</v>
      </c>
      <c r="D6229" s="2" t="str">
        <f t="shared" si="96"/>
        <v>Error?</v>
      </c>
      <c r="E6229" s="2" t="s">
        <v>190</v>
      </c>
    </row>
    <row r="6230" spans="1:5" x14ac:dyDescent="0.2">
      <c r="A6230">
        <v>6169</v>
      </c>
      <c r="B6230" s="138">
        <f>'Acct Summary 7-8'!J20</f>
        <v>-98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-98</v>
      </c>
      <c r="D6263" s="2" t="str">
        <f t="shared" si="96"/>
        <v>Error?</v>
      </c>
      <c r="E6263" s="2" t="s">
        <v>190</v>
      </c>
    </row>
    <row r="6264" spans="1:5" x14ac:dyDescent="0.2">
      <c r="A6264">
        <v>6203</v>
      </c>
      <c r="B6264" s="138">
        <f>'Acct Summary 7-8'!J79</f>
        <v>98</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550694</v>
      </c>
      <c r="D6267" s="2" t="str">
        <f t="shared" si="96"/>
        <v>Error?</v>
      </c>
      <c r="E6267" s="2" t="s">
        <v>190</v>
      </c>
    </row>
    <row r="6268" spans="1:5" x14ac:dyDescent="0.2">
      <c r="A6268">
        <v>6207</v>
      </c>
      <c r="B6268" s="138">
        <f>'Acct Summary 7-8'!D82</f>
        <v>196876</v>
      </c>
      <c r="D6268" s="2" t="str">
        <f t="shared" si="96"/>
        <v>Error?</v>
      </c>
      <c r="E6268" s="2" t="s">
        <v>190</v>
      </c>
    </row>
    <row r="6269" spans="1:5" x14ac:dyDescent="0.2">
      <c r="A6269">
        <v>6208</v>
      </c>
      <c r="B6269" s="138">
        <f>'Acct Summary 7-8'!E82</f>
        <v>-809558</v>
      </c>
      <c r="D6269" s="2" t="str">
        <f t="shared" si="96"/>
        <v>Error?</v>
      </c>
      <c r="E6269" s="2" t="s">
        <v>190</v>
      </c>
    </row>
    <row r="6270" spans="1:5" x14ac:dyDescent="0.2">
      <c r="A6270">
        <v>6209</v>
      </c>
      <c r="B6270" s="138">
        <f>'Acct Summary 7-8'!F82</f>
        <v>26677</v>
      </c>
      <c r="D6270" s="2" t="str">
        <f t="shared" si="96"/>
        <v>Error?</v>
      </c>
      <c r="E6270" s="2" t="s">
        <v>190</v>
      </c>
    </row>
    <row r="6271" spans="1:5" x14ac:dyDescent="0.2">
      <c r="A6271">
        <v>6210</v>
      </c>
      <c r="B6271" s="138">
        <f>'Acct Summary 7-8'!G82</f>
        <v>-12359</v>
      </c>
      <c r="D6271" s="2" t="str">
        <f t="shared" ref="D6271:D6334" si="97">IF(ISBLANK(B6271),"OK",IF(A6271-B6271=0,"OK","Error?"))</f>
        <v>Error?</v>
      </c>
      <c r="E6271" s="2" t="s">
        <v>190</v>
      </c>
    </row>
    <row r="6272" spans="1:5" x14ac:dyDescent="0.2">
      <c r="A6272">
        <v>6211</v>
      </c>
      <c r="B6272" s="138">
        <f>'Acct Summary 7-8'!H82</f>
        <v>154966</v>
      </c>
      <c r="D6272" s="2" t="str">
        <f t="shared" si="97"/>
        <v>Error?</v>
      </c>
      <c r="E6272" s="2" t="s">
        <v>190</v>
      </c>
    </row>
    <row r="6273" spans="1:5" x14ac:dyDescent="0.2">
      <c r="A6273">
        <v>6212</v>
      </c>
      <c r="B6273" s="138">
        <f>'Acct Summary 7-8'!I82</f>
        <v>51444</v>
      </c>
      <c r="D6273" s="2" t="str">
        <f t="shared" si="97"/>
        <v>Error?</v>
      </c>
      <c r="E6273" s="2" t="s">
        <v>190</v>
      </c>
    </row>
    <row r="6274" spans="1:5" x14ac:dyDescent="0.2">
      <c r="A6274">
        <v>6213</v>
      </c>
      <c r="B6274" s="138">
        <f>'Acct Summary 7-8'!J82</f>
        <v>-98</v>
      </c>
      <c r="D6274" s="2" t="str">
        <f t="shared" si="97"/>
        <v>Error?</v>
      </c>
      <c r="E6274" s="2" t="s">
        <v>190</v>
      </c>
    </row>
    <row r="6275" spans="1:5" x14ac:dyDescent="0.2">
      <c r="A6275">
        <v>6214</v>
      </c>
      <c r="B6275" s="138">
        <f>'Acct Summary 7-8'!K82</f>
        <v>-48790</v>
      </c>
      <c r="D6275" s="2" t="str">
        <f t="shared" si="97"/>
        <v>Error?</v>
      </c>
      <c r="E6275" s="2" t="s">
        <v>190</v>
      </c>
    </row>
    <row r="6276" spans="1:5" x14ac:dyDescent="0.2">
      <c r="A6276">
        <v>6215</v>
      </c>
      <c r="B6276" s="138">
        <f>'Acct Summary 7-8'!C83</f>
        <v>0.33445000078952197</v>
      </c>
      <c r="D6276" s="2" t="str">
        <f t="shared" si="97"/>
        <v>Error?</v>
      </c>
      <c r="E6276" s="2" t="s">
        <v>190</v>
      </c>
    </row>
    <row r="6277" spans="1:5" x14ac:dyDescent="0.2">
      <c r="A6277">
        <v>6216</v>
      </c>
      <c r="B6277" s="138">
        <f>'Acct Summary 7-8'!D83</f>
        <v>0.38875110577530647</v>
      </c>
      <c r="D6277" s="2" t="str">
        <f t="shared" si="97"/>
        <v>Error?</v>
      </c>
      <c r="E6277" s="2" t="s">
        <v>190</v>
      </c>
    </row>
    <row r="6278" spans="1:5" x14ac:dyDescent="0.2">
      <c r="A6278">
        <v>6217</v>
      </c>
      <c r="B6278" s="138">
        <f>'Acct Summary 7-8'!E83</f>
        <v>-1.3993580181186163</v>
      </c>
      <c r="D6278" s="2" t="str">
        <f t="shared" si="97"/>
        <v>Error?</v>
      </c>
      <c r="E6278" s="2" t="s">
        <v>190</v>
      </c>
    </row>
    <row r="6279" spans="1:5" x14ac:dyDescent="0.2">
      <c r="A6279">
        <v>6218</v>
      </c>
      <c r="B6279" s="138">
        <f>'Acct Summary 7-8'!F83</f>
        <v>7.5012934719035404E-2</v>
      </c>
      <c r="D6279" s="2" t="str">
        <f t="shared" si="97"/>
        <v>Error?</v>
      </c>
      <c r="E6279" s="2" t="s">
        <v>190</v>
      </c>
    </row>
    <row r="6280" spans="1:5" x14ac:dyDescent="0.2">
      <c r="A6280">
        <v>6219</v>
      </c>
      <c r="B6280" s="138">
        <f>'Acct Summary 7-8'!G83</f>
        <v>-0.15078019202849927</v>
      </c>
      <c r="D6280" s="2" t="str">
        <f t="shared" si="97"/>
        <v>Error?</v>
      </c>
      <c r="E6280" s="2" t="s">
        <v>190</v>
      </c>
    </row>
    <row r="6281" spans="1:5" x14ac:dyDescent="0.2">
      <c r="A6281">
        <v>6220</v>
      </c>
      <c r="B6281" s="138">
        <f>'Acct Summary 7-8'!H83</f>
        <v>0.25678304528658302</v>
      </c>
      <c r="D6281" s="2" t="str">
        <f t="shared" si="97"/>
        <v>Error?</v>
      </c>
      <c r="E6281" s="2" t="s">
        <v>190</v>
      </c>
    </row>
    <row r="6282" spans="1:5" x14ac:dyDescent="0.2">
      <c r="A6282">
        <v>6221</v>
      </c>
      <c r="B6282" s="138">
        <f>'Acct Summary 7-8'!I83</f>
        <v>2.177805887238728E-2</v>
      </c>
      <c r="D6282" s="2" t="str">
        <f t="shared" si="97"/>
        <v>Error?</v>
      </c>
      <c r="E6282" s="2" t="s">
        <v>190</v>
      </c>
    </row>
    <row r="6283" spans="1:5" x14ac:dyDescent="0.2">
      <c r="A6283">
        <v>6222</v>
      </c>
      <c r="B6283" s="138" t="e">
        <f>'Acct Summary 7-8'!J83</f>
        <v>#DIV/0!</v>
      </c>
      <c r="D6283" s="2" t="e">
        <f t="shared" si="97"/>
        <v>#DIV/0!</v>
      </c>
      <c r="E6283" s="2" t="s">
        <v>190</v>
      </c>
    </row>
    <row r="6284" spans="1:5" x14ac:dyDescent="0.2">
      <c r="A6284">
        <v>6223</v>
      </c>
      <c r="B6284" s="138">
        <f>'Acct Summary 7-8'!K83</f>
        <v>-0.22942078188332879</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91277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91277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39</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39</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285189</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3225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91316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1916</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1938</v>
      </c>
    </row>
    <row r="6383" spans="1:6" x14ac:dyDescent="0.2">
      <c r="A6383" s="129">
        <v>6322</v>
      </c>
      <c r="D6383" s="2" t="str">
        <f t="shared" si="98"/>
        <v>OK</v>
      </c>
      <c r="E6383" s="2" t="s">
        <v>190</v>
      </c>
      <c r="F6383" s="1" t="s">
        <v>1938</v>
      </c>
    </row>
    <row r="6384" spans="1:6" x14ac:dyDescent="0.2">
      <c r="A6384" s="129">
        <v>6323</v>
      </c>
      <c r="D6384" s="2" t="str">
        <f t="shared" si="98"/>
        <v>OK</v>
      </c>
      <c r="E6384" s="2" t="s">
        <v>190</v>
      </c>
      <c r="F6384" s="1" t="s">
        <v>1938</v>
      </c>
    </row>
    <row r="6385" spans="1:6" x14ac:dyDescent="0.2">
      <c r="A6385" s="129">
        <v>6324</v>
      </c>
      <c r="D6385" s="2" t="str">
        <f t="shared" si="98"/>
        <v>OK</v>
      </c>
      <c r="E6385" s="2" t="s">
        <v>190</v>
      </c>
      <c r="F6385" s="1" t="s">
        <v>1938</v>
      </c>
    </row>
    <row r="6386" spans="1:6" x14ac:dyDescent="0.2">
      <c r="A6386" s="129">
        <v>6325</v>
      </c>
      <c r="D6386" s="2" t="str">
        <f t="shared" si="98"/>
        <v>OK</v>
      </c>
      <c r="E6386" s="2" t="s">
        <v>190</v>
      </c>
      <c r="F6386" s="1" t="s">
        <v>1938</v>
      </c>
    </row>
    <row r="6387" spans="1:6" x14ac:dyDescent="0.2">
      <c r="A6387" s="129">
        <v>6326</v>
      </c>
      <c r="D6387" s="2" t="str">
        <f t="shared" si="98"/>
        <v>OK</v>
      </c>
      <c r="E6387" s="2" t="s">
        <v>190</v>
      </c>
      <c r="F6387" s="1" t="s">
        <v>1938</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1938</v>
      </c>
    </row>
    <row r="6411" spans="1:6" x14ac:dyDescent="0.2">
      <c r="A6411" s="129">
        <v>6350</v>
      </c>
      <c r="D6411" s="2" t="str">
        <f t="shared" si="99"/>
        <v>OK</v>
      </c>
      <c r="E6411" s="2" t="s">
        <v>190</v>
      </c>
      <c r="F6411" s="1" t="s">
        <v>1938</v>
      </c>
    </row>
    <row r="6412" spans="1:6" x14ac:dyDescent="0.2">
      <c r="A6412" s="129">
        <v>6351</v>
      </c>
      <c r="D6412" s="2" t="str">
        <f t="shared" si="99"/>
        <v>OK</v>
      </c>
      <c r="E6412" s="2" t="s">
        <v>190</v>
      </c>
      <c r="F6412" s="1" t="s">
        <v>1938</v>
      </c>
    </row>
    <row r="6413" spans="1:6" x14ac:dyDescent="0.2">
      <c r="A6413" s="129">
        <v>6352</v>
      </c>
      <c r="D6413" s="2" t="str">
        <f t="shared" si="99"/>
        <v>OK</v>
      </c>
      <c r="E6413" s="2" t="s">
        <v>190</v>
      </c>
      <c r="F6413" s="1" t="s">
        <v>1938</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157288</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1938</v>
      </c>
    </row>
    <row r="6842" spans="1:5" x14ac:dyDescent="0.2">
      <c r="A6842" s="129">
        <v>6781</v>
      </c>
      <c r="D6842" s="2" t="str">
        <f t="shared" si="105"/>
        <v>OK</v>
      </c>
      <c r="E6842" s="1" t="s">
        <v>1938</v>
      </c>
    </row>
    <row r="6843" spans="1:5" x14ac:dyDescent="0.2">
      <c r="A6843" s="129">
        <v>6782</v>
      </c>
      <c r="D6843" s="2" t="str">
        <f t="shared" si="105"/>
        <v>OK</v>
      </c>
      <c r="E6843" s="1" t="s">
        <v>1938</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183752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88276</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2115</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684441</v>
      </c>
      <c r="D6983" s="2" t="str">
        <f t="shared" si="108"/>
        <v>Error?</v>
      </c>
    </row>
    <row r="6984" spans="1:4" x14ac:dyDescent="0.2">
      <c r="A6984">
        <v>6923</v>
      </c>
      <c r="B6984" s="138">
        <f>'Expenditures 15-22'!K86</f>
        <v>684441</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36677</v>
      </c>
      <c r="D6987" s="2" t="str">
        <f t="shared" si="108"/>
        <v>Error?</v>
      </c>
    </row>
    <row r="6988" spans="1:4" x14ac:dyDescent="0.2">
      <c r="A6988">
        <v>6927</v>
      </c>
      <c r="B6988" s="138">
        <f>'Expenditures 15-22'!K88</f>
        <v>36677</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721118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91414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91316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8594</v>
      </c>
      <c r="D7073" s="2" t="str">
        <f t="shared" si="109"/>
        <v>Error?</v>
      </c>
    </row>
    <row r="7074" spans="1:4" x14ac:dyDescent="0.2">
      <c r="A7074">
        <v>7013</v>
      </c>
      <c r="B7074" s="138">
        <f>'Expenditures 15-22'!K216</f>
        <v>8594</v>
      </c>
      <c r="D7074" s="2" t="str">
        <f t="shared" si="109"/>
        <v>Error?</v>
      </c>
    </row>
    <row r="7075" spans="1:4" x14ac:dyDescent="0.2">
      <c r="A7075">
        <v>7014</v>
      </c>
      <c r="B7075" s="138">
        <f>'Expenditures 15-22'!D218</f>
        <v>3492</v>
      </c>
      <c r="D7075" s="2" t="str">
        <f t="shared" si="109"/>
        <v>Error?</v>
      </c>
    </row>
    <row r="7076" spans="1:4" x14ac:dyDescent="0.2">
      <c r="A7076">
        <v>7015</v>
      </c>
      <c r="B7076" s="138">
        <f>'Expenditures 15-22'!K218</f>
        <v>3492</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382</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382</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91032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91032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91414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91414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91414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91414</v>
      </c>
      <c r="D7224" s="2" t="str">
        <f t="shared" si="111"/>
        <v>Error?</v>
      </c>
    </row>
    <row r="7225" spans="1:4" x14ac:dyDescent="0.2">
      <c r="A7225">
        <v>7164</v>
      </c>
      <c r="B7225" s="138">
        <f>'Expenditures 15-22'!K343</f>
        <v>-98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22907</v>
      </c>
      <c r="D7246" s="2" t="str">
        <f t="shared" si="112"/>
        <v>Error?</v>
      </c>
    </row>
    <row r="7247" spans="1:4" x14ac:dyDescent="0.2">
      <c r="A7247">
        <f t="shared" si="113"/>
        <v>7186</v>
      </c>
      <c r="B7247" s="138">
        <f>'Expenditures 15-22'!E7</f>
        <v>1730</v>
      </c>
      <c r="D7247" s="2" t="str">
        <f t="shared" si="112"/>
        <v>Error?</v>
      </c>
    </row>
    <row r="7248" spans="1:4" x14ac:dyDescent="0.2">
      <c r="A7248">
        <f t="shared" si="113"/>
        <v>7187</v>
      </c>
      <c r="B7248" s="138">
        <f>'Expenditures 15-22'!F7</f>
        <v>1827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79333</v>
      </c>
      <c r="D7251" s="2" t="str">
        <f t="shared" si="112"/>
        <v>Error?</v>
      </c>
    </row>
    <row r="7252" spans="1:4" x14ac:dyDescent="0.2">
      <c r="A7252">
        <f t="shared" si="113"/>
        <v>7191</v>
      </c>
      <c r="B7252" s="138">
        <f>'Expenditures 15-22'!D9</f>
        <v>8651</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292</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829915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3225</v>
      </c>
      <c r="D7712" s="2" t="str">
        <f t="shared" si="126"/>
        <v>Error?</v>
      </c>
      <c r="E7712" s="2" t="s">
        <v>827</v>
      </c>
    </row>
    <row r="7713" spans="1:6" x14ac:dyDescent="0.2">
      <c r="A7713">
        <v>7652</v>
      </c>
      <c r="B7713" s="138">
        <f>'Rest Tax Levies-Tort Im 25'!J8</f>
        <v>818587</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818587</v>
      </c>
      <c r="D7718" s="2" t="str">
        <f t="shared" si="126"/>
        <v>Error?</v>
      </c>
      <c r="E7718" s="2" t="s">
        <v>827</v>
      </c>
    </row>
    <row r="7719" spans="1:6" x14ac:dyDescent="0.2">
      <c r="A7719">
        <v>7658</v>
      </c>
      <c r="B7719" s="138">
        <f>'Rest Tax Levies-Tort Im 25'!K12</f>
        <v>3225</v>
      </c>
      <c r="D7719" s="2" t="str">
        <f t="shared" si="126"/>
        <v>Error?</v>
      </c>
      <c r="E7719" s="2" t="s">
        <v>827</v>
      </c>
    </row>
    <row r="7720" spans="1:6" x14ac:dyDescent="0.2">
      <c r="A7720">
        <v>7659</v>
      </c>
      <c r="B7720" s="138">
        <f>'Rest Tax Levies-Tort Im 25'!H14</f>
        <v>45500</v>
      </c>
      <c r="D7720" s="2" t="str">
        <f t="shared" si="126"/>
        <v>Error?</v>
      </c>
      <c r="E7720" s="2" t="s">
        <v>827</v>
      </c>
    </row>
    <row r="7721" spans="1:6" x14ac:dyDescent="0.2">
      <c r="A7721">
        <v>7660</v>
      </c>
      <c r="B7721" s="138">
        <f>'Rest Tax Levies-Tort Im 25'!K14</f>
        <v>3225</v>
      </c>
      <c r="D7721" s="2" t="str">
        <f t="shared" si="126"/>
        <v>Error?</v>
      </c>
      <c r="E7721" s="2" t="s">
        <v>827</v>
      </c>
    </row>
    <row r="7722" spans="1:6" x14ac:dyDescent="0.2">
      <c r="A7722">
        <v>7661</v>
      </c>
      <c r="B7722" s="138">
        <f>'Rest Tax Levies-Tort Im 25'!J15</f>
        <v>1625</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663263</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663263</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664888</v>
      </c>
      <c r="D7730" s="2" t="str">
        <f t="shared" si="126"/>
        <v>Error?</v>
      </c>
      <c r="E7730" s="2" t="s">
        <v>827</v>
      </c>
    </row>
    <row r="7731" spans="1:6" x14ac:dyDescent="0.2">
      <c r="A7731">
        <v>7670</v>
      </c>
      <c r="B7731" s="138">
        <f>'Revenues 9-14'!H103</f>
        <v>818587</v>
      </c>
      <c r="D7731" s="2" t="str">
        <f t="shared" si="126"/>
        <v>Error?</v>
      </c>
      <c r="E7731" s="2" t="s">
        <v>827</v>
      </c>
    </row>
    <row r="7732" spans="1:6" x14ac:dyDescent="0.2">
      <c r="A7732">
        <v>7671</v>
      </c>
      <c r="B7732" s="138">
        <f>'Rest Tax Levies-Tort Im 25'!J24</f>
        <v>153699</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153699</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29'!D141</f>
        <v>52832</v>
      </c>
      <c r="D7797" s="2" t="str">
        <f t="shared" si="127"/>
        <v>Error?</v>
      </c>
      <c r="E7797" s="4" t="s">
        <v>1903</v>
      </c>
    </row>
    <row r="7798" spans="1:5" x14ac:dyDescent="0.2">
      <c r="A7798">
        <v>7737</v>
      </c>
      <c r="B7798" s="138">
        <f>'Contracts Paid in CY 29'!F141</f>
        <v>16319</v>
      </c>
      <c r="D7798" s="2" t="str">
        <f t="shared" si="127"/>
        <v>Error?</v>
      </c>
      <c r="E7798" s="4" t="s">
        <v>1903</v>
      </c>
    </row>
    <row r="7799" spans="1:5" x14ac:dyDescent="0.2">
      <c r="A7799">
        <v>7738</v>
      </c>
      <c r="B7799" s="138">
        <f>'Contracts Paid in CY 29'!G141</f>
        <v>0</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1940</v>
      </c>
    </row>
    <row r="7802" spans="1:5" x14ac:dyDescent="0.2">
      <c r="A7802">
        <v>7741</v>
      </c>
      <c r="B7802" s="138">
        <f>'Revenues 9-14'!D120</f>
        <v>0</v>
      </c>
      <c r="D7802" s="2" t="str">
        <f t="shared" si="127"/>
        <v>Error?</v>
      </c>
      <c r="E7802" s="4" t="s">
        <v>1940</v>
      </c>
    </row>
    <row r="7803" spans="1:5" x14ac:dyDescent="0.2">
      <c r="A7803">
        <v>7742</v>
      </c>
      <c r="B7803" s="138">
        <f>'Revenues 9-14'!E120</f>
        <v>0</v>
      </c>
      <c r="D7803" s="2" t="str">
        <f t="shared" si="127"/>
        <v>Error?</v>
      </c>
      <c r="E7803" s="4" t="s">
        <v>1940</v>
      </c>
    </row>
    <row r="7804" spans="1:5" x14ac:dyDescent="0.2">
      <c r="A7804">
        <v>7743</v>
      </c>
      <c r="B7804" s="138">
        <f>'Revenues 9-14'!F120</f>
        <v>0</v>
      </c>
      <c r="D7804" s="2" t="str">
        <f t="shared" si="127"/>
        <v>Error?</v>
      </c>
      <c r="E7804" s="4" t="s">
        <v>1940</v>
      </c>
    </row>
    <row r="7805" spans="1:5" x14ac:dyDescent="0.2">
      <c r="A7805">
        <v>7744</v>
      </c>
      <c r="B7805" s="138">
        <f>'Revenues 9-14'!G120</f>
        <v>0</v>
      </c>
      <c r="D7805" s="2" t="str">
        <f t="shared" si="127"/>
        <v>Error?</v>
      </c>
      <c r="E7805" s="4" t="s">
        <v>1940</v>
      </c>
    </row>
    <row r="7806" spans="1:5" x14ac:dyDescent="0.2">
      <c r="A7806">
        <v>7745</v>
      </c>
      <c r="B7806" s="138">
        <f>'Revenues 9-14'!H120</f>
        <v>0</v>
      </c>
      <c r="D7806" s="2" t="str">
        <f t="shared" si="127"/>
        <v>Error?</v>
      </c>
      <c r="E7806" s="4" t="s">
        <v>1940</v>
      </c>
    </row>
    <row r="7807" spans="1:5" x14ac:dyDescent="0.2">
      <c r="A7807">
        <v>7746</v>
      </c>
      <c r="B7807" s="138">
        <f>'Revenues 9-14'!J120</f>
        <v>0</v>
      </c>
      <c r="D7807" s="2" t="str">
        <f t="shared" ref="D7807:D7816" si="128">IF(ISBLANK(B7807),"OK",IF(A7807-B7807=0,"OK","Error?"))</f>
        <v>Error?</v>
      </c>
      <c r="E7807" s="4" t="s">
        <v>1940</v>
      </c>
    </row>
    <row r="7808" spans="1:5" x14ac:dyDescent="0.2">
      <c r="A7808">
        <v>7747</v>
      </c>
      <c r="B7808" s="138">
        <f>'Revenues 9-14'!K120</f>
        <v>0</v>
      </c>
      <c r="D7808" s="2" t="str">
        <f t="shared" si="128"/>
        <v>Error?</v>
      </c>
      <c r="E7808" s="4" t="s">
        <v>1940</v>
      </c>
    </row>
    <row r="7809" spans="1:5" x14ac:dyDescent="0.2">
      <c r="A7809">
        <v>7748</v>
      </c>
      <c r="B7809" s="138">
        <f>'Revenues 9-14'!C261</f>
        <v>0</v>
      </c>
      <c r="D7809" s="2" t="str">
        <f t="shared" si="128"/>
        <v>Error?</v>
      </c>
      <c r="E7809" s="4" t="s">
        <v>1941</v>
      </c>
    </row>
    <row r="7810" spans="1:5" x14ac:dyDescent="0.2">
      <c r="A7810">
        <v>7749</v>
      </c>
      <c r="B7810" s="138">
        <f>'Revenues 9-14'!D261</f>
        <v>0</v>
      </c>
      <c r="D7810" s="2" t="str">
        <f t="shared" si="128"/>
        <v>Error?</v>
      </c>
      <c r="E7810" s="4" t="s">
        <v>1941</v>
      </c>
    </row>
    <row r="7811" spans="1:5" x14ac:dyDescent="0.2">
      <c r="A7811">
        <v>7750</v>
      </c>
      <c r="B7811" s="138">
        <f>'Revenues 9-14'!F261</f>
        <v>0</v>
      </c>
      <c r="D7811" s="2" t="str">
        <f t="shared" si="128"/>
        <v>Error?</v>
      </c>
      <c r="E7811" s="4" t="s">
        <v>1941</v>
      </c>
    </row>
    <row r="7812" spans="1:5" x14ac:dyDescent="0.2">
      <c r="A7812">
        <v>7751</v>
      </c>
      <c r="B7812" s="138">
        <f>'Revenues 9-14'!G261</f>
        <v>0</v>
      </c>
      <c r="D7812" s="2" t="str">
        <f t="shared" si="128"/>
        <v>Error?</v>
      </c>
      <c r="E7812" s="4" t="s">
        <v>1941</v>
      </c>
    </row>
    <row r="7813" spans="1:5" x14ac:dyDescent="0.2">
      <c r="A7813">
        <v>7752</v>
      </c>
      <c r="B7813" s="138">
        <f>'Revenues 9-14'!C262</f>
        <v>0</v>
      </c>
      <c r="D7813" s="2" t="str">
        <f t="shared" si="128"/>
        <v>Error?</v>
      </c>
      <c r="E7813" s="4" t="s">
        <v>1942</v>
      </c>
    </row>
    <row r="7814" spans="1:5" x14ac:dyDescent="0.2">
      <c r="A7814">
        <v>7753</v>
      </c>
      <c r="B7814" s="138">
        <f>'Revenues 9-14'!D262</f>
        <v>0</v>
      </c>
      <c r="D7814" s="2" t="str">
        <f t="shared" si="128"/>
        <v>Error?</v>
      </c>
      <c r="E7814" s="4" t="s">
        <v>1942</v>
      </c>
    </row>
    <row r="7815" spans="1:5" x14ac:dyDescent="0.2">
      <c r="A7815">
        <v>7754</v>
      </c>
      <c r="B7815" s="138">
        <f>'Revenues 9-14'!F262</f>
        <v>0</v>
      </c>
      <c r="D7815" s="2" t="str">
        <f t="shared" si="128"/>
        <v>Error?</v>
      </c>
      <c r="E7815" s="4" t="s">
        <v>1942</v>
      </c>
    </row>
    <row r="7816" spans="1:5" x14ac:dyDescent="0.2">
      <c r="A7816">
        <v>7755</v>
      </c>
      <c r="B7816" s="138">
        <f>'Revenues 9-14'!G262</f>
        <v>0</v>
      </c>
      <c r="D7816" s="2" t="str">
        <f t="shared" si="128"/>
        <v>Error?</v>
      </c>
      <c r="E7816" s="4" t="s">
        <v>1942</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3" zoomScale="110" zoomScaleNormal="110" workbookViewId="0">
      <selection activeCell="B23" sqref="B23"/>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3" t="s">
        <v>1191</v>
      </c>
      <c r="B2" s="2403"/>
      <c r="C2" s="2403"/>
      <c r="D2" s="2403"/>
      <c r="E2" s="2403"/>
      <c r="F2" s="2403"/>
      <c r="G2" s="2403"/>
      <c r="H2" s="2403"/>
      <c r="I2" s="2403"/>
      <c r="J2" s="2403"/>
      <c r="K2" s="2403"/>
      <c r="L2" s="2403"/>
    </row>
    <row r="3" spans="1:29" ht="13.5" customHeight="1" x14ac:dyDescent="0.2">
      <c r="A3" s="2389" t="s">
        <v>1190</v>
      </c>
      <c r="B3" s="2389"/>
      <c r="C3" s="2389"/>
      <c r="D3" s="2389"/>
      <c r="E3" s="2389"/>
      <c r="F3" s="2389"/>
      <c r="G3" s="2389"/>
      <c r="H3" s="2389"/>
      <c r="I3" s="2389"/>
      <c r="J3" s="2389"/>
      <c r="K3" s="2389"/>
      <c r="L3" s="2389"/>
    </row>
    <row r="4" spans="1:29" ht="13.5" customHeight="1" x14ac:dyDescent="0.2">
      <c r="A4" s="2403" t="s">
        <v>1988</v>
      </c>
      <c r="B4" s="2420"/>
      <c r="C4" s="2420"/>
      <c r="D4" s="2420"/>
      <c r="E4" s="2420"/>
      <c r="F4" s="2420"/>
      <c r="G4" s="2420"/>
      <c r="H4" s="2420"/>
      <c r="I4" s="2420"/>
      <c r="J4" s="2420"/>
      <c r="K4" s="2420"/>
      <c r="L4" s="2420"/>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3" t="str">
        <f>COVER!A17</f>
        <v>Sparta CUSD 140</v>
      </c>
      <c r="B7" s="2384"/>
      <c r="C7" s="2384"/>
      <c r="D7" s="2421"/>
      <c r="E7" s="2422">
        <f>COVER!A13</f>
        <v>45079140026</v>
      </c>
      <c r="F7" s="2423"/>
      <c r="G7" s="2390" t="str">
        <f>COVER!T23</f>
        <v>66-003932</v>
      </c>
      <c r="H7" s="2391"/>
      <c r="I7" s="2391"/>
      <c r="J7" s="2391"/>
      <c r="K7" s="2391"/>
      <c r="L7" s="239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3"/>
      <c r="B9" s="2394"/>
      <c r="C9" s="2394"/>
      <c r="D9" s="2394"/>
      <c r="E9" s="2394"/>
      <c r="F9" s="2395"/>
      <c r="G9" s="2396" t="str">
        <f>COVER!T13</f>
        <v>Schorb &amp; Schmersahl, LLC</v>
      </c>
      <c r="H9" s="2397"/>
      <c r="I9" s="2397"/>
      <c r="J9" s="2397"/>
      <c r="K9" s="2397"/>
      <c r="L9" s="2398"/>
    </row>
    <row r="10" spans="1:29" ht="13.5" customHeight="1" x14ac:dyDescent="0.2">
      <c r="A10" s="2380" t="str">
        <f>COVER!A38</f>
        <v>Dr. Gabrielle Schwemmer</v>
      </c>
      <c r="B10" s="2381"/>
      <c r="C10" s="2381"/>
      <c r="D10" s="2381"/>
      <c r="E10" s="2381"/>
      <c r="F10" s="2382"/>
      <c r="G10" s="2396" t="str">
        <f>COVER!T17</f>
        <v>518 North Main Street</v>
      </c>
      <c r="H10" s="2409"/>
      <c r="I10" s="2409"/>
      <c r="J10" s="2409"/>
      <c r="K10" s="2409"/>
      <c r="L10" s="2410"/>
    </row>
    <row r="11" spans="1:29" ht="13.5" customHeight="1" x14ac:dyDescent="0.2">
      <c r="A11" s="1184" t="s">
        <v>1519</v>
      </c>
      <c r="B11" s="1185"/>
      <c r="C11" s="1186"/>
      <c r="D11" s="1191"/>
      <c r="E11" s="1186"/>
      <c r="F11" s="1190"/>
      <c r="G11" s="2396" t="str">
        <f>COVER!T19</f>
        <v>Columbia</v>
      </c>
      <c r="H11" s="2409"/>
      <c r="I11" s="2409"/>
      <c r="J11" s="2409"/>
      <c r="K11" s="2409"/>
      <c r="L11" s="2410"/>
    </row>
    <row r="12" spans="1:29" ht="13.5" customHeight="1" x14ac:dyDescent="0.2">
      <c r="A12" s="2414" t="s">
        <v>1518</v>
      </c>
      <c r="B12" s="2415"/>
      <c r="C12" s="2415"/>
      <c r="D12" s="2415"/>
      <c r="E12" s="2415"/>
      <c r="F12" s="2416"/>
      <c r="G12" s="2411"/>
      <c r="H12" s="2412"/>
      <c r="I12" s="2412"/>
      <c r="J12" s="2412"/>
      <c r="K12" s="2412"/>
      <c r="L12" s="2413"/>
    </row>
    <row r="13" spans="1:29" ht="13.5" customHeight="1" x14ac:dyDescent="0.2">
      <c r="A13" s="2396"/>
      <c r="B13" s="2409"/>
      <c r="C13" s="2409"/>
      <c r="D13" s="2409"/>
      <c r="E13" s="2409"/>
      <c r="F13" s="2410"/>
      <c r="G13" s="2404" t="s">
        <v>1520</v>
      </c>
      <c r="H13" s="2405"/>
      <c r="I13" s="2417" t="str">
        <f>COVER!T25</f>
        <v>jim@stcpa.com</v>
      </c>
      <c r="J13" s="2418"/>
      <c r="K13" s="2418"/>
      <c r="L13" s="2419"/>
    </row>
    <row r="14" spans="1:29" ht="13.5" customHeight="1" x14ac:dyDescent="0.2">
      <c r="A14" s="2396" t="str">
        <f>COVER!A19</f>
        <v>203B Dean Avenue</v>
      </c>
      <c r="B14" s="2409"/>
      <c r="C14" s="2409"/>
      <c r="D14" s="2409"/>
      <c r="E14" s="2409"/>
      <c r="F14" s="2410"/>
      <c r="G14" s="1195" t="s">
        <v>1185</v>
      </c>
      <c r="H14" s="1193"/>
      <c r="I14" s="1193"/>
      <c r="J14" s="1193"/>
      <c r="K14" s="1193"/>
      <c r="L14" s="1194"/>
    </row>
    <row r="15" spans="1:29" ht="13.5" customHeight="1" x14ac:dyDescent="0.2">
      <c r="A15" s="2396" t="str">
        <f>COVER!A21</f>
        <v xml:space="preserve">Sparta </v>
      </c>
      <c r="B15" s="2409"/>
      <c r="C15" s="2409"/>
      <c r="D15" s="2409"/>
      <c r="E15" s="2409"/>
      <c r="F15" s="2410"/>
      <c r="G15" s="2406" t="str">
        <f>COVER!T15</f>
        <v>James R. Schmersahl</v>
      </c>
      <c r="H15" s="2407"/>
      <c r="I15" s="2407"/>
      <c r="J15" s="2407"/>
      <c r="K15" s="2407"/>
      <c r="L15" s="2408"/>
    </row>
    <row r="16" spans="1:29" ht="12.2" customHeight="1" x14ac:dyDescent="0.2">
      <c r="A16" s="2386">
        <f>COVER!A25</f>
        <v>62286</v>
      </c>
      <c r="B16" s="2387"/>
      <c r="C16" s="2387"/>
      <c r="D16" s="2387"/>
      <c r="E16" s="2387"/>
      <c r="F16" s="2388"/>
      <c r="G16" s="2399"/>
      <c r="H16" s="2400"/>
      <c r="I16" s="2400"/>
      <c r="J16" s="2400"/>
      <c r="K16" s="2400"/>
      <c r="L16" s="2401"/>
    </row>
    <row r="17" spans="1:13" ht="12.2" customHeight="1" x14ac:dyDescent="0.2">
      <c r="A17" s="2402"/>
      <c r="B17" s="2387"/>
      <c r="C17" s="2387"/>
      <c r="D17" s="2387"/>
      <c r="E17" s="2387"/>
      <c r="F17" s="2388"/>
      <c r="G17" s="1195" t="s">
        <v>1184</v>
      </c>
      <c r="H17" s="1193"/>
      <c r="I17" s="1193"/>
      <c r="J17" s="1193"/>
      <c r="K17" s="1197" t="s">
        <v>1183</v>
      </c>
      <c r="L17" s="1190"/>
      <c r="M17" s="1183"/>
    </row>
    <row r="18" spans="1:13" ht="12.2" customHeight="1" x14ac:dyDescent="0.2">
      <c r="A18" s="2380"/>
      <c r="B18" s="2381"/>
      <c r="C18" s="2381"/>
      <c r="D18" s="2381"/>
      <c r="E18" s="2381"/>
      <c r="F18" s="2382"/>
      <c r="G18" s="2383" t="str">
        <f>COVER!T21</f>
        <v>618-281-5195</v>
      </c>
      <c r="H18" s="2384"/>
      <c r="I18" s="2384"/>
      <c r="J18" s="2384"/>
      <c r="K18" s="2383" t="str">
        <f>COVER!X21</f>
        <v>618-281-6101</v>
      </c>
      <c r="L18" s="238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2063</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2063</v>
      </c>
      <c r="C26" s="1202" t="s">
        <v>1699</v>
      </c>
    </row>
    <row r="27" spans="1:13" s="1198" customFormat="1" ht="9" customHeight="1" x14ac:dyDescent="0.2">
      <c r="B27" s="1203"/>
      <c r="C27" s="1202"/>
    </row>
    <row r="28" spans="1:13" s="1198" customFormat="1" ht="12.2" customHeight="1" x14ac:dyDescent="0.2">
      <c r="A28" s="1205"/>
      <c r="B28" s="1201" t="s">
        <v>2063</v>
      </c>
      <c r="C28" s="1202" t="s">
        <v>1700</v>
      </c>
    </row>
    <row r="29" spans="1:13" s="1198" customFormat="1" ht="9" customHeight="1" x14ac:dyDescent="0.2">
      <c r="A29" s="1205"/>
      <c r="B29" s="1203"/>
      <c r="C29" s="1202"/>
    </row>
    <row r="30" spans="1:13" s="1198" customFormat="1" ht="12.2" customHeight="1" x14ac:dyDescent="0.2">
      <c r="B30" s="1201" t="s">
        <v>2063</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2063</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2063</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2063</v>
      </c>
      <c r="C38" s="1202" t="s">
        <v>1566</v>
      </c>
    </row>
    <row r="39" spans="1:8" ht="9" customHeight="1" x14ac:dyDescent="0.2">
      <c r="B39" s="1203"/>
      <c r="C39" s="1206"/>
    </row>
    <row r="40" spans="1:8" s="1198" customFormat="1" ht="13.5" customHeight="1" x14ac:dyDescent="0.2">
      <c r="B40" s="1201" t="s">
        <v>2063</v>
      </c>
      <c r="C40" s="1202" t="s">
        <v>1567</v>
      </c>
    </row>
    <row r="41" spans="1:8" ht="9" customHeight="1" x14ac:dyDescent="0.2">
      <c r="A41" s="1207"/>
      <c r="B41" s="1203"/>
      <c r="C41" s="1206"/>
    </row>
    <row r="42" spans="1:8" s="1198" customFormat="1" ht="13.5" customHeight="1" x14ac:dyDescent="0.2">
      <c r="B42" s="1201" t="s">
        <v>2063</v>
      </c>
      <c r="C42" s="1202" t="s">
        <v>1835</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16" zoomScale="125" zoomScaleNormal="125" workbookViewId="0">
      <selection activeCell="B29" sqref="B29"/>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Sparta CUSD 140</v>
      </c>
      <c r="B1" s="2420"/>
      <c r="C1" s="2420"/>
      <c r="D1" s="2420"/>
    </row>
    <row r="2" spans="1:11" s="1212" customFormat="1" ht="12.75" x14ac:dyDescent="0.2">
      <c r="A2" s="2425">
        <f>'Single Audit Cover'!E7</f>
        <v>45079140026</v>
      </c>
      <c r="B2" s="2426"/>
      <c r="C2" s="2426"/>
      <c r="D2" s="2426"/>
    </row>
    <row r="3" spans="1:11" s="1212" customFormat="1" ht="12.75" x14ac:dyDescent="0.2">
      <c r="A3" s="2424" t="s">
        <v>1513</v>
      </c>
      <c r="B3" s="2420"/>
      <c r="C3" s="2420"/>
      <c r="D3" s="2420"/>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2063</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2063</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2063</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2063</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2063</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2063</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2063</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1836</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1" sqref="A41:B41"/>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Sparta CUSD 140</v>
      </c>
      <c r="B1" s="2428"/>
      <c r="C1" s="2428"/>
      <c r="D1" s="2428"/>
      <c r="E1" s="2428"/>
    </row>
    <row r="2" spans="1:5" x14ac:dyDescent="0.2">
      <c r="A2" s="2429">
        <f>'Single Audit Cover'!E7</f>
        <v>45079140026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1426673</v>
      </c>
    </row>
    <row r="11" spans="1:5" ht="18" customHeight="1" x14ac:dyDescent="0.2">
      <c r="A11" s="1258" t="s">
        <v>1240</v>
      </c>
      <c r="B11" s="1259"/>
      <c r="C11" s="1259"/>
    </row>
    <row r="12" spans="1:5" x14ac:dyDescent="0.2">
      <c r="A12" s="1258" t="s">
        <v>1239</v>
      </c>
      <c r="B12" s="1259" t="s">
        <v>1238</v>
      </c>
      <c r="C12" s="1259"/>
      <c r="D12" s="1261">
        <f>SUM('Revenues 9-14'!C112:D112,'Revenues 9-14'!F112:G112)</f>
        <v>18748</v>
      </c>
    </row>
    <row r="13" spans="1:5" x14ac:dyDescent="0.2">
      <c r="A13" s="1258" t="s">
        <v>1237</v>
      </c>
      <c r="B13" s="1259"/>
      <c r="C13" s="1259"/>
    </row>
    <row r="14" spans="1:5" x14ac:dyDescent="0.2">
      <c r="A14" s="1258" t="s">
        <v>1727</v>
      </c>
      <c r="B14" s="1259"/>
      <c r="C14" s="1259"/>
      <c r="D14" s="1261">
        <f>'ICR Computation 30'!E11</f>
        <v>41426</v>
      </c>
    </row>
    <row r="15" spans="1:5" x14ac:dyDescent="0.2">
      <c r="A15" s="1258"/>
      <c r="B15" s="1259"/>
      <c r="C15" s="1259"/>
    </row>
    <row r="16" spans="1:5" x14ac:dyDescent="0.2">
      <c r="A16" s="1258" t="s">
        <v>1843</v>
      </c>
      <c r="B16" s="1259"/>
      <c r="C16" s="1259"/>
    </row>
    <row r="17" spans="1:4" x14ac:dyDescent="0.2">
      <c r="A17" s="1258" t="s">
        <v>2060</v>
      </c>
      <c r="B17" s="1259" t="s">
        <v>1236</v>
      </c>
      <c r="C17" s="1259"/>
      <c r="D17" s="1261">
        <f>-SUM('Revenues 9-14'!C264:D264,'Revenues 9-14'!F264:G264)</f>
        <v>0</v>
      </c>
    </row>
    <row r="19" spans="1:4" ht="13.5" thickBot="1" x14ac:dyDescent="0.25">
      <c r="A19" s="1262" t="s">
        <v>1235</v>
      </c>
      <c r="D19" s="1263">
        <f>SUM(D10:D17)</f>
        <v>1486847</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1486847</v>
      </c>
    </row>
    <row r="33" spans="1:4" x14ac:dyDescent="0.2">
      <c r="D33" s="1266"/>
    </row>
    <row r="34" spans="1:4" x14ac:dyDescent="0.2">
      <c r="A34" s="317" t="s">
        <v>1232</v>
      </c>
    </row>
    <row r="35" spans="1:4" x14ac:dyDescent="0.2">
      <c r="A35" s="317" t="s">
        <v>1231</v>
      </c>
      <c r="B35" s="1255" t="s">
        <v>1230</v>
      </c>
      <c r="D35" s="1267">
        <v>1468099</v>
      </c>
    </row>
    <row r="37" spans="1:4" x14ac:dyDescent="0.2">
      <c r="A37" s="1257" t="s">
        <v>1229</v>
      </c>
    </row>
    <row r="39" spans="1:4" ht="13.35" customHeight="1" x14ac:dyDescent="0.2">
      <c r="A39" s="1264" t="s">
        <v>1228</v>
      </c>
    </row>
    <row r="40" spans="1:4" x14ac:dyDescent="0.2">
      <c r="A40" s="2427" t="s">
        <v>2186</v>
      </c>
      <c r="B40" s="2427"/>
      <c r="D40" s="1265"/>
    </row>
    <row r="41" spans="1:4" x14ac:dyDescent="0.2">
      <c r="A41" s="2427" t="s">
        <v>2185</v>
      </c>
      <c r="B41" s="2427"/>
      <c r="D41" s="1268">
        <v>18748</v>
      </c>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1486847</v>
      </c>
    </row>
    <row r="49" spans="2:4" x14ac:dyDescent="0.2">
      <c r="B49" s="1269" t="s">
        <v>1226</v>
      </c>
      <c r="C49" s="1269"/>
      <c r="D49" s="1270">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F20" sqref="F20"/>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9" t="str">
        <f>'Single Audit Cover'!A7</f>
        <v>Sparta CUSD 140</v>
      </c>
      <c r="C1" s="2432"/>
      <c r="D1" s="2432"/>
      <c r="E1" s="2432"/>
      <c r="F1" s="2432"/>
      <c r="G1" s="2432"/>
      <c r="H1" s="2432"/>
      <c r="I1" s="2432"/>
      <c r="J1" s="2432"/>
      <c r="K1" s="2432"/>
      <c r="L1" s="2432"/>
      <c r="M1" s="2432"/>
    </row>
    <row r="2" spans="2:14" ht="15" x14ac:dyDescent="0.2">
      <c r="B2" s="2433">
        <f>'Single Audit Cover'!E7</f>
        <v>45079140026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1733</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1838</v>
      </c>
      <c r="I8" s="1316" t="s">
        <v>1262</v>
      </c>
      <c r="J8" s="1315" t="s">
        <v>1989</v>
      </c>
      <c r="K8" s="1316" t="s">
        <v>1261</v>
      </c>
      <c r="L8" s="1317" t="s">
        <v>1257</v>
      </c>
      <c r="M8" s="1318" t="s">
        <v>30</v>
      </c>
    </row>
    <row r="9" spans="2:14" ht="14.25" x14ac:dyDescent="0.2">
      <c r="B9" s="1322" t="s">
        <v>1259</v>
      </c>
      <c r="C9" s="1310" t="s">
        <v>1734</v>
      </c>
      <c r="D9" s="1311" t="s">
        <v>1735</v>
      </c>
      <c r="E9" s="1319" t="s">
        <v>1838</v>
      </c>
      <c r="F9" s="1320" t="s">
        <v>1989</v>
      </c>
      <c r="G9" s="1321" t="s">
        <v>1838</v>
      </c>
      <c r="H9" s="1314" t="s">
        <v>1582</v>
      </c>
      <c r="I9" s="1316" t="s">
        <v>1989</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2088</v>
      </c>
      <c r="C11" s="1335"/>
      <c r="D11" s="1336"/>
      <c r="E11" s="1337"/>
      <c r="F11" s="1337"/>
      <c r="G11" s="1337"/>
      <c r="H11" s="1337"/>
      <c r="I11" s="1337"/>
      <c r="J11" s="1337"/>
      <c r="K11" s="1337"/>
      <c r="L11" s="1337">
        <f>+G11+I11+K11</f>
        <v>0</v>
      </c>
      <c r="M11" s="1337"/>
    </row>
    <row r="12" spans="2:14" ht="20.100000000000001" customHeight="1" x14ac:dyDescent="0.2">
      <c r="B12" s="1334" t="s">
        <v>2089</v>
      </c>
      <c r="C12" s="1338"/>
      <c r="D12" s="1339"/>
      <c r="E12" s="1340"/>
      <c r="F12" s="1340"/>
      <c r="G12" s="1340"/>
      <c r="H12" s="1340"/>
      <c r="I12" s="1340"/>
      <c r="J12" s="1340"/>
      <c r="K12" s="1340"/>
      <c r="L12" s="1337">
        <f t="shared" ref="L12:L27" si="0">+G12+I12+K12</f>
        <v>0</v>
      </c>
      <c r="M12" s="1340"/>
    </row>
    <row r="13" spans="2:14" ht="20.100000000000001" customHeight="1" x14ac:dyDescent="0.2">
      <c r="B13" s="1334" t="s">
        <v>2090</v>
      </c>
      <c r="C13" s="1338"/>
      <c r="D13" s="1339"/>
      <c r="E13" s="1340"/>
      <c r="F13" s="1340"/>
      <c r="G13" s="1340"/>
      <c r="H13" s="1340"/>
      <c r="I13" s="1340"/>
      <c r="J13" s="1340"/>
      <c r="K13" s="1340"/>
      <c r="L13" s="1337">
        <f t="shared" si="0"/>
        <v>0</v>
      </c>
      <c r="M13" s="1340"/>
    </row>
    <row r="14" spans="2:14" ht="20.100000000000001" customHeight="1" x14ac:dyDescent="0.2">
      <c r="B14" s="1334" t="s">
        <v>2091</v>
      </c>
      <c r="C14" s="1338">
        <v>10.553000000000001</v>
      </c>
      <c r="D14" s="1339" t="s">
        <v>2098</v>
      </c>
      <c r="E14" s="1340">
        <v>100922</v>
      </c>
      <c r="F14" s="1340"/>
      <c r="G14" s="1340">
        <v>100922</v>
      </c>
      <c r="H14" s="1340"/>
      <c r="I14" s="1340">
        <v>18279</v>
      </c>
      <c r="J14" s="1340">
        <v>0</v>
      </c>
      <c r="K14" s="1340"/>
      <c r="L14" s="1337">
        <f t="shared" si="0"/>
        <v>119201</v>
      </c>
      <c r="M14" s="1340" t="s">
        <v>2103</v>
      </c>
    </row>
    <row r="15" spans="2:14" ht="20.100000000000001" customHeight="1" x14ac:dyDescent="0.2">
      <c r="B15" s="1334" t="s">
        <v>2091</v>
      </c>
      <c r="C15" s="1338">
        <v>10.553000000000001</v>
      </c>
      <c r="D15" s="1339" t="s">
        <v>2099</v>
      </c>
      <c r="E15" s="1340"/>
      <c r="F15" s="1340">
        <v>96752</v>
      </c>
      <c r="G15" s="1340"/>
      <c r="H15" s="1340"/>
      <c r="I15" s="1340">
        <v>78473</v>
      </c>
      <c r="J15" s="1340">
        <v>0</v>
      </c>
      <c r="K15" s="1340"/>
      <c r="L15" s="1337">
        <f t="shared" si="0"/>
        <v>78473</v>
      </c>
      <c r="M15" s="1340" t="s">
        <v>2103</v>
      </c>
    </row>
    <row r="16" spans="2:14" ht="20.100000000000001" customHeight="1" x14ac:dyDescent="0.2">
      <c r="B16" s="1334" t="s">
        <v>2092</v>
      </c>
      <c r="C16" s="1338">
        <v>10.555</v>
      </c>
      <c r="D16" s="1339" t="s">
        <v>2100</v>
      </c>
      <c r="E16" s="1340">
        <v>286223</v>
      </c>
      <c r="F16" s="1340"/>
      <c r="G16" s="1340">
        <v>286223</v>
      </c>
      <c r="H16" s="1340"/>
      <c r="I16" s="1340">
        <v>51782</v>
      </c>
      <c r="J16" s="1340">
        <v>0</v>
      </c>
      <c r="K16" s="1340"/>
      <c r="L16" s="1337">
        <f t="shared" si="0"/>
        <v>338005</v>
      </c>
      <c r="M16" s="1340" t="s">
        <v>2103</v>
      </c>
    </row>
    <row r="17" spans="2:14" ht="20.100000000000001" customHeight="1" x14ac:dyDescent="0.2">
      <c r="B17" s="1334" t="s">
        <v>2093</v>
      </c>
      <c r="C17" s="1338">
        <v>10.555</v>
      </c>
      <c r="D17" s="1339" t="s">
        <v>2101</v>
      </c>
      <c r="E17" s="1340"/>
      <c r="F17" s="1340">
        <v>287721</v>
      </c>
      <c r="G17" s="1340"/>
      <c r="H17" s="1340"/>
      <c r="I17" s="1340">
        <v>235939</v>
      </c>
      <c r="J17" s="1340">
        <v>0</v>
      </c>
      <c r="K17" s="1340"/>
      <c r="L17" s="1337">
        <f t="shared" si="0"/>
        <v>235939</v>
      </c>
      <c r="M17" s="1340" t="s">
        <v>2103</v>
      </c>
    </row>
    <row r="18" spans="2:14" ht="20.100000000000001" customHeight="1" x14ac:dyDescent="0.2">
      <c r="B18" s="1334" t="s">
        <v>2094</v>
      </c>
      <c r="C18" s="1338"/>
      <c r="D18" s="1339"/>
      <c r="E18" s="1340">
        <v>387145</v>
      </c>
      <c r="F18" s="1340">
        <v>384473</v>
      </c>
      <c r="G18" s="1340">
        <v>387145</v>
      </c>
      <c r="H18" s="1340"/>
      <c r="I18" s="1340">
        <v>384473</v>
      </c>
      <c r="J18" s="1340">
        <v>0</v>
      </c>
      <c r="K18" s="1340"/>
      <c r="L18" s="1337">
        <f t="shared" si="0"/>
        <v>771618</v>
      </c>
      <c r="M18" s="1340" t="s">
        <v>2103</v>
      </c>
    </row>
    <row r="19" spans="2:14" ht="20.100000000000001" customHeight="1" x14ac:dyDescent="0.2">
      <c r="B19" s="1334" t="s">
        <v>2095</v>
      </c>
      <c r="C19" s="1338">
        <v>10.55</v>
      </c>
      <c r="D19" s="1339" t="s">
        <v>2102</v>
      </c>
      <c r="E19" s="1340">
        <v>42500</v>
      </c>
      <c r="F19" s="1340">
        <v>30921</v>
      </c>
      <c r="G19" s="1340">
        <v>42500</v>
      </c>
      <c r="H19" s="1340"/>
      <c r="I19" s="1340">
        <v>30921</v>
      </c>
      <c r="J19" s="1340">
        <v>0</v>
      </c>
      <c r="K19" s="1340"/>
      <c r="L19" s="1337">
        <f t="shared" si="0"/>
        <v>73421</v>
      </c>
      <c r="M19" s="1340" t="s">
        <v>2103</v>
      </c>
    </row>
    <row r="20" spans="2:14" ht="20.100000000000001" customHeight="1" x14ac:dyDescent="0.2">
      <c r="B20" s="1334" t="s">
        <v>2096</v>
      </c>
      <c r="C20" s="1338">
        <v>10.55</v>
      </c>
      <c r="D20" s="1339" t="s">
        <v>2102</v>
      </c>
      <c r="E20" s="1340">
        <v>9776</v>
      </c>
      <c r="F20" s="1340">
        <v>10505</v>
      </c>
      <c r="G20" s="1340">
        <v>9776</v>
      </c>
      <c r="H20" s="1340"/>
      <c r="I20" s="1340">
        <v>10505</v>
      </c>
      <c r="J20" s="1340">
        <v>0</v>
      </c>
      <c r="K20" s="1340"/>
      <c r="L20" s="1337">
        <f t="shared" si="0"/>
        <v>20281</v>
      </c>
      <c r="M20" s="1340" t="s">
        <v>2103</v>
      </c>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t="s">
        <v>2097</v>
      </c>
      <c r="C22" s="1338"/>
      <c r="D22" s="1339"/>
      <c r="E22" s="1340">
        <v>439421</v>
      </c>
      <c r="F22" s="1340">
        <v>425899</v>
      </c>
      <c r="G22" s="1340">
        <v>439421</v>
      </c>
      <c r="H22" s="1340"/>
      <c r="I22" s="1340">
        <v>425899</v>
      </c>
      <c r="J22" s="1340">
        <v>0</v>
      </c>
      <c r="K22" s="1340"/>
      <c r="L22" s="1337">
        <f t="shared" si="0"/>
        <v>865320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1736</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1839</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1737</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1738</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1739</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1740</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B18" sqref="B1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9" t="str">
        <f>'Single Audit Cover'!A7</f>
        <v>Sparta CUSD 140</v>
      </c>
      <c r="C1" s="2432"/>
      <c r="D1" s="2432"/>
      <c r="E1" s="2432"/>
      <c r="F1" s="2432"/>
      <c r="G1" s="2432"/>
      <c r="H1" s="2432"/>
      <c r="I1" s="2432"/>
      <c r="J1" s="2432"/>
      <c r="K1" s="2432"/>
      <c r="L1" s="2432"/>
      <c r="M1" s="2432"/>
    </row>
    <row r="2" spans="2:14" ht="15" x14ac:dyDescent="0.2">
      <c r="B2" s="2433">
        <f>'Single Audit Cover'!E7</f>
        <v>45079140026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1733</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1838</v>
      </c>
      <c r="I8" s="1316" t="s">
        <v>1262</v>
      </c>
      <c r="J8" s="1315" t="s">
        <v>1989</v>
      </c>
      <c r="K8" s="1316" t="s">
        <v>1261</v>
      </c>
      <c r="L8" s="1317" t="s">
        <v>1257</v>
      </c>
      <c r="M8" s="1318" t="s">
        <v>30</v>
      </c>
    </row>
    <row r="9" spans="2:14" ht="14.25" x14ac:dyDescent="0.2">
      <c r="B9" s="1322" t="s">
        <v>1259</v>
      </c>
      <c r="C9" s="1310" t="s">
        <v>1734</v>
      </c>
      <c r="D9" s="1311" t="s">
        <v>1735</v>
      </c>
      <c r="E9" s="1319" t="s">
        <v>1838</v>
      </c>
      <c r="F9" s="1320" t="s">
        <v>1989</v>
      </c>
      <c r="G9" s="1321" t="s">
        <v>1838</v>
      </c>
      <c r="H9" s="1314" t="s">
        <v>1582</v>
      </c>
      <c r="I9" s="1316" t="s">
        <v>1989</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2104</v>
      </c>
      <c r="C11" s="1335"/>
      <c r="D11" s="1336"/>
      <c r="E11" s="1337"/>
      <c r="F11" s="1337"/>
      <c r="G11" s="1337"/>
      <c r="H11" s="1337"/>
      <c r="I11" s="1337"/>
      <c r="J11" s="1337"/>
      <c r="K11" s="1337"/>
      <c r="L11" s="1337">
        <f>+G11+I11+K11</f>
        <v>0</v>
      </c>
      <c r="M11" s="1337"/>
    </row>
    <row r="12" spans="2:14" ht="20.100000000000001" customHeight="1" x14ac:dyDescent="0.2">
      <c r="B12" s="1334" t="s">
        <v>2105</v>
      </c>
      <c r="C12" s="1338"/>
      <c r="D12" s="1339"/>
      <c r="E12" s="1340"/>
      <c r="F12" s="1340"/>
      <c r="G12" s="1340"/>
      <c r="H12" s="1340"/>
      <c r="I12" s="1340"/>
      <c r="J12" s="1340"/>
      <c r="K12" s="1340"/>
      <c r="L12" s="1337">
        <f t="shared" ref="L12:L27" si="0">+G12+I12+K12</f>
        <v>0</v>
      </c>
      <c r="M12" s="1340"/>
    </row>
    <row r="13" spans="2:14" ht="20.100000000000001" customHeight="1" x14ac:dyDescent="0.2">
      <c r="B13" s="1334" t="s">
        <v>2182</v>
      </c>
      <c r="C13" s="1338" t="s">
        <v>2114</v>
      </c>
      <c r="D13" s="1339" t="s">
        <v>2119</v>
      </c>
      <c r="E13" s="1340">
        <v>601529</v>
      </c>
      <c r="F13" s="1340"/>
      <c r="G13" s="1340">
        <v>601529</v>
      </c>
      <c r="H13" s="1340"/>
      <c r="I13" s="1340">
        <v>59889</v>
      </c>
      <c r="J13" s="1340"/>
      <c r="K13" s="1340"/>
      <c r="L13" s="1337">
        <f t="shared" si="0"/>
        <v>661418</v>
      </c>
      <c r="M13" s="1340"/>
    </row>
    <row r="14" spans="2:14" ht="20.100000000000001" customHeight="1" x14ac:dyDescent="0.2">
      <c r="B14" s="1334" t="s">
        <v>2182</v>
      </c>
      <c r="C14" s="1338" t="s">
        <v>2114</v>
      </c>
      <c r="D14" s="1339" t="s">
        <v>2120</v>
      </c>
      <c r="E14" s="1340"/>
      <c r="F14" s="1340">
        <v>622059</v>
      </c>
      <c r="G14" s="1340"/>
      <c r="H14" s="1340"/>
      <c r="I14" s="1340">
        <v>562170</v>
      </c>
      <c r="J14" s="1340"/>
      <c r="K14" s="1340"/>
      <c r="L14" s="1337">
        <f t="shared" si="0"/>
        <v>562170</v>
      </c>
      <c r="M14" s="1340"/>
    </row>
    <row r="15" spans="2:14" ht="20.100000000000001" customHeight="1" x14ac:dyDescent="0.2">
      <c r="B15" s="1334" t="s">
        <v>2183</v>
      </c>
      <c r="C15" s="1338" t="s">
        <v>2114</v>
      </c>
      <c r="D15" s="1339" t="s">
        <v>2121</v>
      </c>
      <c r="E15" s="1340">
        <v>7895</v>
      </c>
      <c r="F15" s="1340"/>
      <c r="G15" s="1340">
        <v>7895</v>
      </c>
      <c r="H15" s="1340"/>
      <c r="I15" s="1340"/>
      <c r="J15" s="1340"/>
      <c r="K15" s="1340"/>
      <c r="L15" s="1337">
        <f t="shared" si="0"/>
        <v>7895</v>
      </c>
      <c r="M15" s="1340"/>
    </row>
    <row r="16" spans="2:14" ht="20.100000000000001" customHeight="1" x14ac:dyDescent="0.2">
      <c r="B16" s="1334" t="s">
        <v>2183</v>
      </c>
      <c r="C16" s="1338" t="s">
        <v>2114</v>
      </c>
      <c r="D16" s="1339" t="s">
        <v>2122</v>
      </c>
      <c r="E16" s="1340"/>
      <c r="F16" s="1340">
        <v>64353</v>
      </c>
      <c r="G16" s="1340"/>
      <c r="H16" s="1340"/>
      <c r="I16" s="1340">
        <v>64353</v>
      </c>
      <c r="J16" s="1340"/>
      <c r="K16" s="1340"/>
      <c r="L16" s="1337">
        <f t="shared" si="0"/>
        <v>64353</v>
      </c>
      <c r="M16" s="1340"/>
    </row>
    <row r="17" spans="2:14" ht="20.100000000000001" customHeight="1" x14ac:dyDescent="0.2">
      <c r="B17" s="1334" t="s">
        <v>2106</v>
      </c>
      <c r="C17" s="1338" t="s">
        <v>2115</v>
      </c>
      <c r="D17" s="1339" t="s">
        <v>2123</v>
      </c>
      <c r="E17" s="1340">
        <v>4543</v>
      </c>
      <c r="F17" s="1340"/>
      <c r="G17" s="1340">
        <v>4543</v>
      </c>
      <c r="H17" s="1340"/>
      <c r="I17" s="1340"/>
      <c r="J17" s="1340"/>
      <c r="K17" s="1340"/>
      <c r="L17" s="1337">
        <f t="shared" si="0"/>
        <v>4543</v>
      </c>
      <c r="M17" s="1340"/>
    </row>
    <row r="18" spans="2:14" ht="20.100000000000001" customHeight="1" x14ac:dyDescent="0.2">
      <c r="B18" s="1334" t="s">
        <v>2107</v>
      </c>
      <c r="C18" s="1338" t="s">
        <v>2115</v>
      </c>
      <c r="D18" s="1339" t="s">
        <v>2124</v>
      </c>
      <c r="E18" s="1340"/>
      <c r="F18" s="1340">
        <v>7015</v>
      </c>
      <c r="G18" s="1340"/>
      <c r="H18" s="1340"/>
      <c r="I18" s="1340">
        <v>7015</v>
      </c>
      <c r="J18" s="1340"/>
      <c r="K18" s="1340"/>
      <c r="L18" s="1337">
        <f t="shared" si="0"/>
        <v>7015</v>
      </c>
      <c r="M18" s="1340"/>
    </row>
    <row r="19" spans="2:14" ht="20.100000000000001" customHeight="1" x14ac:dyDescent="0.2">
      <c r="B19" s="1334" t="s">
        <v>2108</v>
      </c>
      <c r="C19" s="1338" t="s">
        <v>2116</v>
      </c>
      <c r="D19" s="1339" t="s">
        <v>2125</v>
      </c>
      <c r="E19" s="1340"/>
      <c r="F19" s="1340">
        <v>12300</v>
      </c>
      <c r="G19" s="1340"/>
      <c r="H19" s="1340"/>
      <c r="I19" s="1340">
        <v>12300</v>
      </c>
      <c r="J19" s="1340"/>
      <c r="K19" s="1340"/>
      <c r="L19" s="1337">
        <f t="shared" si="0"/>
        <v>12300</v>
      </c>
      <c r="M19" s="1340"/>
    </row>
    <row r="20" spans="2:14" ht="20.100000000000001" customHeight="1" x14ac:dyDescent="0.2">
      <c r="B20" s="1334" t="s">
        <v>2109</v>
      </c>
      <c r="C20" s="1338" t="s">
        <v>2181</v>
      </c>
      <c r="D20" s="1339" t="s">
        <v>2126</v>
      </c>
      <c r="E20" s="1340">
        <v>36934</v>
      </c>
      <c r="F20" s="1340"/>
      <c r="G20" s="1340">
        <v>36934</v>
      </c>
      <c r="H20" s="1340"/>
      <c r="I20" s="1340">
        <v>2000</v>
      </c>
      <c r="J20" s="1340"/>
      <c r="K20" s="1340"/>
      <c r="L20" s="1337">
        <f t="shared" si="0"/>
        <v>38934</v>
      </c>
      <c r="M20" s="1340"/>
    </row>
    <row r="21" spans="2:14" ht="20.100000000000001" customHeight="1" x14ac:dyDescent="0.2">
      <c r="B21" s="1334" t="s">
        <v>2109</v>
      </c>
      <c r="C21" s="1338" t="s">
        <v>2181</v>
      </c>
      <c r="D21" s="1339" t="s">
        <v>2127</v>
      </c>
      <c r="E21" s="1340"/>
      <c r="F21" s="1340">
        <v>23274</v>
      </c>
      <c r="G21" s="1340"/>
      <c r="H21" s="1340"/>
      <c r="I21" s="1340">
        <v>21274</v>
      </c>
      <c r="J21" s="1340"/>
      <c r="K21" s="1340"/>
      <c r="L21" s="1337">
        <f t="shared" si="0"/>
        <v>21274</v>
      </c>
      <c r="M21" s="1340"/>
    </row>
    <row r="22" spans="2:14" ht="20.100000000000001" customHeight="1" x14ac:dyDescent="0.2">
      <c r="B22" s="1334" t="s">
        <v>2110</v>
      </c>
      <c r="C22" s="1338"/>
      <c r="D22" s="1339"/>
      <c r="E22" s="1340"/>
      <c r="F22" s="1340"/>
      <c r="G22" s="1340"/>
      <c r="H22" s="1340"/>
      <c r="I22" s="1340"/>
      <c r="J22" s="1340"/>
      <c r="K22" s="1340"/>
      <c r="L22" s="1337">
        <f t="shared" si="0"/>
        <v>0</v>
      </c>
      <c r="M22" s="1340"/>
    </row>
    <row r="23" spans="2:14" ht="20.100000000000001" customHeight="1" x14ac:dyDescent="0.2">
      <c r="B23" s="1334" t="s">
        <v>2111</v>
      </c>
      <c r="C23" s="1338" t="s">
        <v>2117</v>
      </c>
      <c r="D23" s="1339" t="s">
        <v>2128</v>
      </c>
      <c r="E23" s="1340">
        <v>510241</v>
      </c>
      <c r="F23" s="1340">
        <v>298886</v>
      </c>
      <c r="G23" s="1340">
        <v>510241</v>
      </c>
      <c r="H23" s="1340"/>
      <c r="I23" s="1340">
        <v>298886</v>
      </c>
      <c r="J23" s="1340"/>
      <c r="K23" s="1340"/>
      <c r="L23" s="1337">
        <f t="shared" si="0"/>
        <v>809127</v>
      </c>
      <c r="M23" s="1340"/>
    </row>
    <row r="24" spans="2:14" ht="20.100000000000001" customHeight="1" x14ac:dyDescent="0.2">
      <c r="B24" s="1334" t="s">
        <v>2112</v>
      </c>
      <c r="C24" s="1338" t="s">
        <v>2117</v>
      </c>
      <c r="D24" s="1339" t="s">
        <v>2129</v>
      </c>
      <c r="E24" s="1340">
        <v>4249</v>
      </c>
      <c r="F24" s="1340">
        <v>2546</v>
      </c>
      <c r="G24" s="1340">
        <v>4249</v>
      </c>
      <c r="H24" s="1340"/>
      <c r="I24" s="1340">
        <v>2546</v>
      </c>
      <c r="J24" s="1340"/>
      <c r="K24" s="1340"/>
      <c r="L24" s="1337">
        <f t="shared" si="0"/>
        <v>6795</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t="s">
        <v>2118</v>
      </c>
      <c r="C26" s="1338"/>
      <c r="D26" s="1339"/>
      <c r="E26" s="1340">
        <v>1165391</v>
      </c>
      <c r="F26" s="1340">
        <v>1030433</v>
      </c>
      <c r="G26" s="1340">
        <v>1165391</v>
      </c>
      <c r="H26" s="1340"/>
      <c r="I26" s="1340">
        <v>1030433</v>
      </c>
      <c r="J26" s="1340"/>
      <c r="K26" s="1340"/>
      <c r="L26" s="1337">
        <f t="shared" si="0"/>
        <v>2195824</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1736</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1839</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1737</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1738</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1739</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1740</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topLeftCell="A7" zoomScaleNormal="100" workbookViewId="0">
      <selection activeCell="B34" sqref="B34"/>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9" t="str">
        <f>'Single Audit Cover'!A7</f>
        <v>Sparta CUSD 140</v>
      </c>
      <c r="C1" s="2432"/>
      <c r="D1" s="2432"/>
      <c r="E1" s="2432"/>
      <c r="F1" s="2432"/>
      <c r="G1" s="2432"/>
      <c r="H1" s="2432"/>
      <c r="I1" s="2432"/>
      <c r="J1" s="2432"/>
      <c r="K1" s="2432"/>
      <c r="L1" s="2432"/>
      <c r="M1" s="2432"/>
    </row>
    <row r="2" spans="2:14" ht="15" x14ac:dyDescent="0.2">
      <c r="B2" s="2433">
        <f>'Single Audit Cover'!E7</f>
        <v>45079140026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1733</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1838</v>
      </c>
      <c r="I8" s="1316" t="s">
        <v>1262</v>
      </c>
      <c r="J8" s="1315" t="s">
        <v>1989</v>
      </c>
      <c r="K8" s="1316" t="s">
        <v>1261</v>
      </c>
      <c r="L8" s="1317" t="s">
        <v>1257</v>
      </c>
      <c r="M8" s="1318" t="s">
        <v>30</v>
      </c>
    </row>
    <row r="9" spans="2:14" ht="14.25" x14ac:dyDescent="0.2">
      <c r="B9" s="1322" t="s">
        <v>1259</v>
      </c>
      <c r="C9" s="1310" t="s">
        <v>1734</v>
      </c>
      <c r="D9" s="1311" t="s">
        <v>1735</v>
      </c>
      <c r="E9" s="1319" t="s">
        <v>1838</v>
      </c>
      <c r="F9" s="1320" t="s">
        <v>1989</v>
      </c>
      <c r="G9" s="1321" t="s">
        <v>1838</v>
      </c>
      <c r="H9" s="1314" t="s">
        <v>1582</v>
      </c>
      <c r="I9" s="1316" t="s">
        <v>1989</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2133</v>
      </c>
      <c r="C11" s="1335"/>
      <c r="D11" s="1336"/>
      <c r="E11" s="1337"/>
      <c r="F11" s="1337"/>
      <c r="G11" s="1337"/>
      <c r="H11" s="1337"/>
      <c r="I11" s="1337"/>
      <c r="J11" s="1337"/>
      <c r="K11" s="1337"/>
      <c r="L11" s="1337">
        <f>+G11+I11+K11</f>
        <v>0</v>
      </c>
      <c r="M11" s="1337"/>
    </row>
    <row r="12" spans="2:14" ht="20.100000000000001" customHeight="1" x14ac:dyDescent="0.2">
      <c r="B12" s="1334" t="s">
        <v>2130</v>
      </c>
      <c r="C12" s="1338"/>
      <c r="D12" s="1339"/>
      <c r="E12" s="1340"/>
      <c r="F12" s="1340"/>
      <c r="G12" s="1340"/>
      <c r="H12" s="1340"/>
      <c r="I12" s="1340"/>
      <c r="J12" s="1340"/>
      <c r="K12" s="1340"/>
      <c r="L12" s="1337">
        <f t="shared" ref="L12:L27" si="0">+G12+I12+K12</f>
        <v>0</v>
      </c>
      <c r="M12" s="1340"/>
    </row>
    <row r="13" spans="2:14" ht="20.100000000000001" customHeight="1" x14ac:dyDescent="0.2">
      <c r="B13" s="1334" t="s">
        <v>2131</v>
      </c>
      <c r="C13" s="1338">
        <v>93.778000000000006</v>
      </c>
      <c r="D13" s="1339" t="s">
        <v>2138</v>
      </c>
      <c r="E13" s="1340">
        <v>16282</v>
      </c>
      <c r="F13" s="1340">
        <v>11767</v>
      </c>
      <c r="G13" s="1340">
        <v>16282</v>
      </c>
      <c r="H13" s="1340"/>
      <c r="I13" s="1340">
        <v>11767</v>
      </c>
      <c r="J13" s="1340"/>
      <c r="K13" s="1340"/>
      <c r="L13" s="1337">
        <f t="shared" si="0"/>
        <v>28049</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2132</v>
      </c>
      <c r="C15" s="1338"/>
      <c r="D15" s="1339"/>
      <c r="E15" s="1340">
        <v>16282</v>
      </c>
      <c r="F15" s="1340">
        <v>11767</v>
      </c>
      <c r="G15" s="1340">
        <v>16282</v>
      </c>
      <c r="H15" s="1340"/>
      <c r="I15" s="1340">
        <v>11767</v>
      </c>
      <c r="J15" s="1340"/>
      <c r="K15" s="1340"/>
      <c r="L15" s="1337">
        <f t="shared" si="0"/>
        <v>28049</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t="s">
        <v>2113</v>
      </c>
      <c r="C17" s="1338"/>
      <c r="D17" s="1339"/>
      <c r="E17" s="1340">
        <v>1621094</v>
      </c>
      <c r="F17" s="1340">
        <v>1468099</v>
      </c>
      <c r="G17" s="1340">
        <v>1621094</v>
      </c>
      <c r="H17" s="1340"/>
      <c r="I17" s="1340">
        <v>1468099</v>
      </c>
      <c r="J17" s="1340"/>
      <c r="K17" s="1340"/>
      <c r="L17" s="1337">
        <f t="shared" si="0"/>
        <v>3089193</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t="s">
        <v>2134</v>
      </c>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t="s">
        <v>2135</v>
      </c>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t="s">
        <v>2136</v>
      </c>
      <c r="C23" s="1338"/>
      <c r="D23" s="1339"/>
      <c r="E23" s="1340"/>
      <c r="F23" s="1340"/>
      <c r="G23" s="1340"/>
      <c r="H23" s="1340"/>
      <c r="I23" s="1340"/>
      <c r="J23" s="1340"/>
      <c r="K23" s="1340"/>
      <c r="L23" s="1337">
        <f t="shared" si="0"/>
        <v>0</v>
      </c>
      <c r="M23" s="1340"/>
    </row>
    <row r="24" spans="2:14" ht="20.100000000000001" customHeight="1" x14ac:dyDescent="0.2">
      <c r="B24" s="1334" t="s">
        <v>2137</v>
      </c>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1736</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1839</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1737</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1738</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1739</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1740</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topLeftCell="A4" zoomScale="120" zoomScaleNormal="120" workbookViewId="0">
      <selection activeCell="A8" sqref="A8"/>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7" t="str">
        <f>'Single Audit Cover'!A7</f>
        <v>Sparta CUSD 140</v>
      </c>
      <c r="B1" s="2437"/>
      <c r="C1" s="2437"/>
      <c r="D1" s="2437"/>
      <c r="E1" s="2437"/>
      <c r="F1" s="2437"/>
    </row>
    <row r="2" spans="1:7" ht="13.5" customHeight="1" x14ac:dyDescent="0.2">
      <c r="A2" s="2433">
        <f>'Single Audit Cover'!E7</f>
        <v>45079140026</v>
      </c>
      <c r="B2" s="2433"/>
      <c r="C2" s="2433"/>
      <c r="D2" s="2433"/>
      <c r="E2" s="2433"/>
      <c r="F2" s="2433"/>
      <c r="G2" s="1272"/>
    </row>
    <row r="3" spans="1:7" ht="15.75" customHeight="1" x14ac:dyDescent="0.2">
      <c r="A3" s="2438" t="s">
        <v>1271</v>
      </c>
      <c r="B3" s="2438"/>
      <c r="C3" s="2438"/>
      <c r="D3" s="2438"/>
      <c r="E3" s="2438"/>
      <c r="F3" s="2438"/>
    </row>
    <row r="4" spans="1:7" ht="13.5" customHeight="1" x14ac:dyDescent="0.2">
      <c r="A4" s="2439" t="str">
        <f>'Single Audit Cover'!A4</f>
        <v>Year Ending June 30, 2019</v>
      </c>
      <c r="B4" s="2439"/>
      <c r="C4" s="2439"/>
      <c r="D4" s="2439"/>
      <c r="E4" s="2439"/>
      <c r="F4" s="2439"/>
    </row>
    <row r="5" spans="1:7" ht="8.25" customHeight="1" x14ac:dyDescent="0.2">
      <c r="C5" s="317"/>
      <c r="D5" s="317"/>
    </row>
    <row r="6" spans="1:7" ht="13.5" customHeight="1" x14ac:dyDescent="0.2">
      <c r="A6" s="1273" t="s">
        <v>1728</v>
      </c>
      <c r="C6" s="317"/>
      <c r="D6" s="317"/>
    </row>
    <row r="7" spans="1:7" ht="60.95" customHeight="1" x14ac:dyDescent="0.2">
      <c r="A7" s="2436" t="s">
        <v>2184</v>
      </c>
      <c r="B7" s="2436"/>
      <c r="C7" s="2436"/>
      <c r="D7" s="2436"/>
      <c r="E7" s="2436"/>
      <c r="F7" s="2436"/>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2063</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6" t="s">
        <v>1730</v>
      </c>
      <c r="B13" s="2436"/>
      <c r="C13" s="2436"/>
      <c r="D13" s="2436"/>
      <c r="E13" s="2436"/>
      <c r="F13" s="2436"/>
    </row>
    <row r="14" spans="1:7" ht="9.75" customHeight="1" x14ac:dyDescent="0.2">
      <c r="C14" s="1257"/>
      <c r="D14" s="1257"/>
    </row>
    <row r="15" spans="1:7" ht="13.5" customHeight="1" x14ac:dyDescent="0.2">
      <c r="C15" s="1846" t="s">
        <v>1270</v>
      </c>
      <c r="D15" s="2441" t="s">
        <v>1269</v>
      </c>
      <c r="E15" s="2441"/>
      <c r="F15" s="2441"/>
    </row>
    <row r="16" spans="1:7" ht="13.5" customHeight="1" x14ac:dyDescent="0.2">
      <c r="A16" s="1279"/>
      <c r="B16" s="1273" t="s">
        <v>1268</v>
      </c>
      <c r="C16" s="1846" t="s">
        <v>1267</v>
      </c>
      <c r="D16" s="2442" t="s">
        <v>1588</v>
      </c>
      <c r="E16" s="2442"/>
      <c r="F16" s="2442"/>
    </row>
    <row r="17" spans="1:6" ht="20.45" customHeight="1" x14ac:dyDescent="0.2">
      <c r="A17" s="1280"/>
      <c r="B17" s="1281"/>
      <c r="C17" s="1282"/>
      <c r="D17" s="2440"/>
      <c r="E17" s="2440"/>
      <c r="F17" s="2440"/>
    </row>
    <row r="18" spans="1:6" ht="20.65" customHeight="1" x14ac:dyDescent="0.2">
      <c r="A18" s="1280"/>
      <c r="B18" s="1281"/>
      <c r="C18" s="1282"/>
      <c r="D18" s="2440"/>
      <c r="E18" s="2440"/>
      <c r="F18" s="2440"/>
    </row>
    <row r="19" spans="1:6" ht="20.65" customHeight="1" x14ac:dyDescent="0.2">
      <c r="A19" s="1280"/>
      <c r="B19" s="1281"/>
      <c r="C19" s="1282"/>
      <c r="D19" s="2440"/>
      <c r="E19" s="2440"/>
      <c r="F19" s="2440"/>
    </row>
    <row r="20" spans="1:6" ht="20.65" customHeight="1" x14ac:dyDescent="0.2">
      <c r="A20" s="1280"/>
      <c r="B20" s="1281"/>
      <c r="C20" s="1282"/>
      <c r="D20" s="2440"/>
      <c r="E20" s="2440"/>
      <c r="F20" s="2440"/>
    </row>
    <row r="21" spans="1:6" ht="20.65" customHeight="1" x14ac:dyDescent="0.2">
      <c r="A21" s="1280"/>
      <c r="B21" s="1281"/>
      <c r="C21" s="1282"/>
      <c r="D21" s="2440"/>
      <c r="E21" s="2440"/>
      <c r="F21" s="2440"/>
    </row>
    <row r="22" spans="1:6" ht="20.65" customHeight="1" x14ac:dyDescent="0.2">
      <c r="A22" s="1280"/>
      <c r="B22" s="1281"/>
      <c r="C22" s="1282"/>
      <c r="D22" s="2440"/>
      <c r="E22" s="2440"/>
      <c r="F22" s="2440"/>
    </row>
    <row r="23" spans="1:6" ht="20.65" customHeight="1" x14ac:dyDescent="0.2">
      <c r="A23" s="1280"/>
      <c r="B23" s="1281"/>
      <c r="C23" s="1282"/>
      <c r="D23" s="2440"/>
      <c r="E23" s="2440"/>
      <c r="F23" s="2440"/>
    </row>
    <row r="24" spans="1:6" ht="20.65" customHeight="1" x14ac:dyDescent="0.2">
      <c r="A24" s="1280"/>
      <c r="B24" s="1281"/>
      <c r="C24" s="1282"/>
      <c r="D24" s="2440"/>
      <c r="E24" s="2440"/>
      <c r="F24" s="2440"/>
    </row>
    <row r="25" spans="1:6" ht="20.65" customHeight="1" x14ac:dyDescent="0.2">
      <c r="A25" s="1280"/>
      <c r="B25" s="1281"/>
      <c r="C25" s="1282"/>
      <c r="D25" s="2440"/>
      <c r="E25" s="2440"/>
      <c r="F25" s="2440"/>
    </row>
    <row r="26" spans="1:6" ht="20.65" customHeight="1" x14ac:dyDescent="0.2">
      <c r="A26" s="1280"/>
      <c r="B26" s="1281"/>
      <c r="C26" s="1282"/>
      <c r="D26" s="2440"/>
      <c r="E26" s="2440"/>
      <c r="F26" s="2440"/>
    </row>
    <row r="27" spans="1:6" ht="20.65" customHeight="1" x14ac:dyDescent="0.2">
      <c r="A27" s="1280"/>
      <c r="B27" s="1281"/>
      <c r="C27" s="1282"/>
      <c r="D27" s="2440"/>
      <c r="E27" s="2440"/>
      <c r="F27" s="2440"/>
    </row>
    <row r="28" spans="1:6" ht="20.65" customHeight="1" x14ac:dyDescent="0.2">
      <c r="A28" s="1280"/>
      <c r="B28" s="1281"/>
      <c r="C28" s="1282"/>
      <c r="D28" s="2440"/>
      <c r="E28" s="2440"/>
      <c r="F28" s="2440"/>
    </row>
    <row r="29" spans="1:6" ht="20.65" customHeight="1" x14ac:dyDescent="0.2">
      <c r="A29" s="1280"/>
      <c r="B29" s="1281"/>
      <c r="C29" s="1282"/>
      <c r="D29" s="2440"/>
      <c r="E29" s="2440"/>
      <c r="F29" s="2440"/>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4" t="s">
        <v>1731</v>
      </c>
      <c r="B32" s="2444"/>
      <c r="C32" s="2444"/>
      <c r="D32" s="2444"/>
      <c r="E32" s="2444"/>
      <c r="F32" s="2444"/>
    </row>
    <row r="33" spans="1:6" ht="13.5" customHeight="1" x14ac:dyDescent="0.2">
      <c r="A33" s="328" t="s">
        <v>1434</v>
      </c>
      <c r="B33" s="328"/>
      <c r="C33" s="1285">
        <v>30921</v>
      </c>
      <c r="D33" s="1903"/>
      <c r="E33" s="1283"/>
    </row>
    <row r="34" spans="1:6" ht="13.5" customHeight="1" x14ac:dyDescent="0.2">
      <c r="A34" s="328" t="s">
        <v>1837</v>
      </c>
      <c r="B34" s="328"/>
      <c r="C34" s="1286">
        <v>10505</v>
      </c>
      <c r="D34" s="1903" t="s">
        <v>1589</v>
      </c>
      <c r="E34" s="2445">
        <f>+C33+C34</f>
        <v>41426</v>
      </c>
      <c r="F34" s="2446"/>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v>0</v>
      </c>
      <c r="D38" s="1903"/>
      <c r="E38" s="1283"/>
    </row>
    <row r="39" spans="1:6" ht="14.25" customHeight="1" x14ac:dyDescent="0.2">
      <c r="A39" s="328"/>
      <c r="B39" s="328" t="s">
        <v>1436</v>
      </c>
      <c r="C39" s="1289">
        <v>0</v>
      </c>
      <c r="D39" s="1903"/>
      <c r="E39" s="1283"/>
    </row>
    <row r="40" spans="1:6" ht="14.25" customHeight="1" x14ac:dyDescent="0.2">
      <c r="A40" s="328"/>
      <c r="B40" s="328" t="s">
        <v>1437</v>
      </c>
      <c r="C40" s="1289">
        <v>0</v>
      </c>
      <c r="D40" s="1903"/>
      <c r="E40" s="1283"/>
    </row>
    <row r="41" spans="1:6" ht="14.25" customHeight="1" x14ac:dyDescent="0.2">
      <c r="A41" s="328"/>
      <c r="B41" s="328" t="s">
        <v>1438</v>
      </c>
      <c r="C41" s="1289">
        <v>0</v>
      </c>
      <c r="D41" s="1903"/>
      <c r="E41" s="1283"/>
    </row>
    <row r="42" spans="1:6" ht="14.25" customHeight="1" x14ac:dyDescent="0.2">
      <c r="A42" s="328" t="s">
        <v>1439</v>
      </c>
      <c r="B42" s="328"/>
      <c r="C42" s="1901">
        <v>0</v>
      </c>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1732</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7" t="s">
        <v>1590</v>
      </c>
      <c r="C49" s="2447"/>
      <c r="D49" s="2447"/>
      <c r="E49" s="1396"/>
    </row>
    <row r="50" spans="1:5" s="1297" customFormat="1" ht="3.75" customHeight="1" x14ac:dyDescent="0.2">
      <c r="A50" s="1296"/>
      <c r="B50" s="1845"/>
      <c r="C50" s="1845"/>
      <c r="D50" s="1845"/>
      <c r="E50" s="1396"/>
    </row>
    <row r="51" spans="1:5" s="1297" customFormat="1" ht="20.25" customHeight="1" x14ac:dyDescent="0.2">
      <c r="A51" s="1298">
        <v>6</v>
      </c>
      <c r="B51" s="2443" t="s">
        <v>1551</v>
      </c>
      <c r="C51" s="2443"/>
      <c r="D51" s="2443"/>
    </row>
    <row r="52" spans="1:5" ht="14.25" customHeight="1" x14ac:dyDescent="0.2">
      <c r="A52" s="1298"/>
      <c r="B52" s="2443"/>
      <c r="C52" s="2443"/>
      <c r="D52" s="244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37" zoomScale="110" zoomScaleNormal="110" workbookViewId="0">
      <selection activeCell="C63" sqref="C63"/>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2" t="str">
        <f>'Single Audit Cover'!A7</f>
        <v>Sparta CUSD 140</v>
      </c>
      <c r="C1" s="2453"/>
      <c r="D1" s="2453"/>
      <c r="E1" s="2453"/>
      <c r="F1" s="2453"/>
      <c r="G1" s="2453"/>
      <c r="H1" s="2453"/>
      <c r="I1" s="2453"/>
      <c r="J1" s="1406"/>
    </row>
    <row r="2" spans="2:10" s="317" customFormat="1" ht="12.75" customHeight="1" x14ac:dyDescent="0.2">
      <c r="B2" s="2454">
        <f>'Single Audit Cover'!E7</f>
        <v>45079140026</v>
      </c>
      <c r="C2" s="2455"/>
      <c r="D2" s="2455"/>
      <c r="E2" s="2455"/>
      <c r="F2" s="2455"/>
      <c r="G2" s="2455"/>
      <c r="H2" s="2455"/>
      <c r="I2" s="2455"/>
      <c r="J2" s="1406"/>
    </row>
    <row r="3" spans="2:10" s="317" customFormat="1" ht="12.75" customHeight="1" x14ac:dyDescent="0.2">
      <c r="B3" s="2456" t="s">
        <v>1285</v>
      </c>
      <c r="C3" s="2457"/>
      <c r="D3" s="2457"/>
      <c r="E3" s="2457"/>
      <c r="F3" s="2457"/>
      <c r="G3" s="2457"/>
      <c r="H3" s="2457"/>
      <c r="I3" s="2457"/>
      <c r="J3" s="1407"/>
    </row>
    <row r="4" spans="2:10" s="317" customFormat="1" ht="12.75" customHeight="1" x14ac:dyDescent="0.2">
      <c r="B4" s="2456" t="str">
        <f>'Single Audit Cover'!A4</f>
        <v>Year Ending June 30, 2019</v>
      </c>
      <c r="C4" s="2457"/>
      <c r="D4" s="2457"/>
      <c r="E4" s="2457"/>
      <c r="F4" s="2457"/>
      <c r="G4" s="2457"/>
      <c r="H4" s="2457"/>
      <c r="I4" s="2457"/>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6" t="s">
        <v>1284</v>
      </c>
      <c r="C7" s="2457"/>
      <c r="D7" s="2457"/>
      <c r="E7" s="2457"/>
      <c r="F7" s="2457"/>
      <c r="G7" s="2457"/>
      <c r="H7" s="2457"/>
      <c r="I7" s="2457"/>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8"/>
      <c r="D11" s="2458"/>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2063</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2063</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t="s">
        <v>2063</v>
      </c>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2063</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2063</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9" t="s">
        <v>2141</v>
      </c>
      <c r="E29" s="2459"/>
      <c r="F29" s="2459"/>
      <c r="G29" s="2459"/>
      <c r="H29" s="2459"/>
      <c r="I29" s="2459"/>
    </row>
    <row r="30" spans="2:9" s="317" customFormat="1" x14ac:dyDescent="0.2">
      <c r="B30" s="1365"/>
      <c r="C30" s="322"/>
      <c r="D30" s="1417" t="s">
        <v>1747</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2063</v>
      </c>
      <c r="H33" s="1297" t="s">
        <v>99</v>
      </c>
    </row>
    <row r="35" spans="2:9" x14ac:dyDescent="0.2">
      <c r="B35" s="1425" t="s">
        <v>1748</v>
      </c>
      <c r="C35" s="1426"/>
      <c r="D35" s="1264"/>
    </row>
    <row r="36" spans="2:9" ht="6" customHeight="1" x14ac:dyDescent="0.2">
      <c r="B36" s="1425"/>
      <c r="C36" s="1426"/>
      <c r="D36" s="1264"/>
    </row>
    <row r="37" spans="2:9" ht="17.25" customHeight="1" x14ac:dyDescent="0.2">
      <c r="B37" s="1427" t="s">
        <v>1749</v>
      </c>
      <c r="C37" s="2460" t="s">
        <v>1750</v>
      </c>
      <c r="D37" s="2461"/>
      <c r="E37" s="2461"/>
      <c r="F37" s="2462"/>
      <c r="G37" s="2460" t="s">
        <v>1592</v>
      </c>
      <c r="H37" s="2461"/>
      <c r="I37" s="2462"/>
    </row>
    <row r="38" spans="2:9" ht="16.5" customHeight="1" x14ac:dyDescent="0.2">
      <c r="B38" s="1428" t="s">
        <v>2114</v>
      </c>
      <c r="C38" s="2448" t="s">
        <v>2139</v>
      </c>
      <c r="D38" s="2449"/>
      <c r="E38" s="2449"/>
      <c r="F38" s="2450"/>
      <c r="G38" s="2463">
        <v>622059</v>
      </c>
      <c r="H38" s="2464"/>
      <c r="I38" s="2465"/>
    </row>
    <row r="39" spans="2:9" ht="16.5" customHeight="1" x14ac:dyDescent="0.2">
      <c r="B39" s="1428" t="s">
        <v>2114</v>
      </c>
      <c r="C39" s="2448" t="s">
        <v>2140</v>
      </c>
      <c r="D39" s="2449"/>
      <c r="E39" s="2449"/>
      <c r="F39" s="2450"/>
      <c r="G39" s="2451">
        <v>64353</v>
      </c>
      <c r="H39" s="2451"/>
      <c r="I39" s="2451"/>
    </row>
    <row r="40" spans="2:9" ht="16.5" customHeight="1" x14ac:dyDescent="0.2">
      <c r="B40" s="1428"/>
      <c r="C40" s="2448"/>
      <c r="D40" s="2449"/>
      <c r="E40" s="2449"/>
      <c r="F40" s="2450"/>
      <c r="G40" s="2451"/>
      <c r="H40" s="2451"/>
      <c r="I40" s="2451"/>
    </row>
    <row r="41" spans="2:9" ht="16.5" customHeight="1" x14ac:dyDescent="0.2">
      <c r="B41" s="1428"/>
      <c r="C41" s="2448"/>
      <c r="D41" s="2449"/>
      <c r="E41" s="2449"/>
      <c r="F41" s="2450"/>
      <c r="G41" s="2451"/>
      <c r="H41" s="2451"/>
      <c r="I41" s="2451"/>
    </row>
    <row r="42" spans="2:9" ht="16.5" customHeight="1" x14ac:dyDescent="0.2">
      <c r="B42" s="1428"/>
      <c r="C42" s="2448"/>
      <c r="D42" s="2449"/>
      <c r="E42" s="2449"/>
      <c r="F42" s="2450"/>
      <c r="G42" s="2451"/>
      <c r="H42" s="2451"/>
      <c r="I42" s="2451"/>
    </row>
    <row r="43" spans="2:9" ht="16.5" customHeight="1" x14ac:dyDescent="0.2">
      <c r="B43" s="1428"/>
      <c r="C43" s="2466" t="s">
        <v>1593</v>
      </c>
      <c r="D43" s="2467"/>
      <c r="E43" s="2467"/>
      <c r="F43" s="2468"/>
      <c r="G43" s="2469">
        <f>SUM(G38:I42)</f>
        <v>686412</v>
      </c>
      <c r="H43" s="2469"/>
      <c r="I43" s="2469"/>
    </row>
    <row r="44" spans="2:9" ht="12.75" customHeight="1" x14ac:dyDescent="0.2"/>
    <row r="45" spans="2:9" ht="12.75" customHeight="1" x14ac:dyDescent="0.2">
      <c r="B45" s="1419" t="s">
        <v>1840</v>
      </c>
      <c r="D45" s="2470">
        <v>1468099</v>
      </c>
      <c r="E45" s="2471"/>
    </row>
    <row r="46" spans="2:9" ht="5.25" customHeight="1" x14ac:dyDescent="0.2">
      <c r="B46" s="1429"/>
      <c r="D46" s="1430"/>
      <c r="E46" s="1431"/>
    </row>
    <row r="47" spans="2:9" ht="12.75" customHeight="1" x14ac:dyDescent="0.2">
      <c r="B47" s="1297" t="s">
        <v>1594</v>
      </c>
      <c r="C47" s="1297"/>
      <c r="D47" s="1432">
        <f>+G43/D45</f>
        <v>0.46755157520031004</v>
      </c>
      <c r="E47" s="1433"/>
      <c r="F47" s="1434"/>
      <c r="I47" s="1435"/>
    </row>
    <row r="48" spans="2:9" ht="9.9499999999999993" customHeight="1" x14ac:dyDescent="0.2"/>
    <row r="49" spans="1:9" x14ac:dyDescent="0.2">
      <c r="B49" s="1365" t="s">
        <v>1273</v>
      </c>
      <c r="C49" s="1279"/>
      <c r="D49" s="1279"/>
      <c r="E49" s="2472">
        <v>750000</v>
      </c>
      <c r="F49" s="2472"/>
      <c r="G49" s="2472"/>
      <c r="H49" s="322"/>
    </row>
    <row r="51" spans="1:9" ht="13.5" customHeight="1" x14ac:dyDescent="0.2">
      <c r="B51" s="1365" t="s">
        <v>1272</v>
      </c>
      <c r="C51" s="1279"/>
      <c r="E51" s="1422" t="s">
        <v>2063</v>
      </c>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1751</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1752</v>
      </c>
      <c r="C58" s="1448"/>
      <c r="D58" s="1448"/>
    </row>
    <row r="59" spans="1:9" s="1445" customFormat="1" ht="3.95" customHeight="1" x14ac:dyDescent="0.2">
      <c r="A59" s="1442"/>
      <c r="B59" s="1447"/>
      <c r="C59" s="1448"/>
      <c r="D59" s="1448"/>
    </row>
    <row r="60" spans="1:9" s="1445" customFormat="1" ht="13.5" customHeight="1" x14ac:dyDescent="0.2">
      <c r="A60" s="1442"/>
      <c r="B60" s="1447" t="s">
        <v>1753</v>
      </c>
      <c r="C60" s="1448"/>
      <c r="D60" s="1448"/>
    </row>
    <row r="61" spans="1:9" s="1445" customFormat="1" ht="3.95" customHeight="1" x14ac:dyDescent="0.2">
      <c r="A61" s="1442"/>
      <c r="B61" s="1447"/>
      <c r="C61" s="1448"/>
      <c r="D61" s="1448"/>
    </row>
    <row r="62" spans="1:9" s="1445" customFormat="1" ht="12.75" customHeight="1" x14ac:dyDescent="0.2">
      <c r="A62" s="1442"/>
      <c r="B62" s="1447" t="s">
        <v>1754</v>
      </c>
      <c r="C62" s="1448"/>
      <c r="D62" s="1448"/>
    </row>
    <row r="63" spans="1:9" s="1445" customFormat="1" ht="13.5" customHeight="1" x14ac:dyDescent="0.2">
      <c r="A63" s="1442"/>
      <c r="B63" s="1446" t="s">
        <v>1597</v>
      </c>
      <c r="C63" s="1442"/>
      <c r="D63" s="1442"/>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B35" sqref="B3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2" t="str">
        <f>'Single Audit Cover'!A7</f>
        <v>Sparta CUSD 140</v>
      </c>
      <c r="C1" s="2452"/>
      <c r="D1" s="2452"/>
      <c r="E1" s="2452"/>
      <c r="F1" s="2452"/>
      <c r="G1" s="2452"/>
      <c r="H1" s="2452"/>
      <c r="I1" s="2452"/>
      <c r="J1" s="2452"/>
      <c r="K1" s="2452"/>
      <c r="L1" s="1371"/>
      <c r="M1" s="1371"/>
    </row>
    <row r="2" spans="1:13" ht="12" customHeight="1" x14ac:dyDescent="0.2">
      <c r="B2" s="2454">
        <f>'Single Audit Cover'!E7</f>
        <v>45079140026</v>
      </c>
      <c r="C2" s="2454"/>
      <c r="D2" s="2454"/>
      <c r="E2" s="2454"/>
      <c r="F2" s="2454"/>
      <c r="G2" s="2454"/>
      <c r="H2" s="2454"/>
      <c r="I2" s="2454"/>
      <c r="J2" s="2454"/>
      <c r="K2" s="2454"/>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1741</v>
      </c>
      <c r="C10" s="1382" t="s">
        <v>1990</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t="s">
        <v>2103</v>
      </c>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t="s">
        <v>2103</v>
      </c>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1742</v>
      </c>
      <c r="C19" s="1390"/>
      <c r="D19" s="1391"/>
      <c r="E19" s="1391"/>
      <c r="F19" s="1391"/>
      <c r="G19" s="1392"/>
      <c r="H19" s="1391"/>
      <c r="I19" s="1392"/>
      <c r="J19" s="1391"/>
      <c r="K19" s="1391"/>
      <c r="L19" s="1393"/>
    </row>
    <row r="20" spans="2:12" ht="45.75" customHeight="1" x14ac:dyDescent="0.2">
      <c r="B20" s="2478" t="s">
        <v>2103</v>
      </c>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t="s">
        <v>2103</v>
      </c>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t="s">
        <v>2103</v>
      </c>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t="s">
        <v>2103</v>
      </c>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1743</v>
      </c>
      <c r="C31" s="1400"/>
      <c r="D31" s="1375"/>
      <c r="E31" s="1376"/>
      <c r="F31" s="1376"/>
      <c r="G31" s="1377"/>
      <c r="H31" s="1376"/>
      <c r="I31" s="1377"/>
      <c r="J31" s="1376"/>
      <c r="K31" s="1376"/>
      <c r="L31" s="1378"/>
    </row>
    <row r="32" spans="2:12" s="322" customFormat="1" ht="44.25" customHeight="1" x14ac:dyDescent="0.2">
      <c r="B32" s="2473" t="s">
        <v>2103</v>
      </c>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1744</v>
      </c>
      <c r="C35" s="1403"/>
      <c r="D35" s="322"/>
      <c r="E35" s="322"/>
      <c r="F35" s="322"/>
      <c r="L35" s="1378"/>
    </row>
    <row r="36" spans="1:13" ht="9.6" customHeight="1" x14ac:dyDescent="0.2">
      <c r="B36" s="1297" t="s">
        <v>1841</v>
      </c>
      <c r="C36" s="1297"/>
      <c r="L36" s="1378"/>
    </row>
    <row r="37" spans="1:13" ht="9.6" customHeight="1" x14ac:dyDescent="0.2">
      <c r="B37" s="1297" t="s">
        <v>1842</v>
      </c>
      <c r="C37" s="1297"/>
    </row>
    <row r="38" spans="1:13" ht="11.85" customHeight="1" x14ac:dyDescent="0.2">
      <c r="B38" s="1404" t="s">
        <v>1745</v>
      </c>
      <c r="C38" s="1404"/>
    </row>
    <row r="39" spans="1:13" ht="9.6" customHeight="1" x14ac:dyDescent="0.2">
      <c r="B39" s="1297" t="s">
        <v>1286</v>
      </c>
      <c r="C39" s="1297"/>
      <c r="M39" s="1405"/>
    </row>
    <row r="40" spans="1:13" ht="12.6" customHeight="1" x14ac:dyDescent="0.2">
      <c r="B40" s="1404" t="s">
        <v>1746</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B49" sqref="B4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9" t="str">
        <f>'Single Audit Cover'!A7</f>
        <v>Sparta CUSD 140</v>
      </c>
      <c r="C1" s="2479"/>
      <c r="D1" s="2479"/>
      <c r="E1" s="2479"/>
      <c r="F1" s="2479"/>
      <c r="G1" s="2479"/>
      <c r="H1" s="2479"/>
      <c r="I1" s="2479"/>
      <c r="J1" s="2479"/>
      <c r="K1" s="2479"/>
      <c r="L1" s="1449"/>
    </row>
    <row r="2" spans="1:12" ht="12.75" customHeight="1" x14ac:dyDescent="0.2">
      <c r="B2" s="2480">
        <f>'Single Audit Cover'!E7</f>
        <v>45079140026</v>
      </c>
      <c r="C2" s="2480"/>
      <c r="D2" s="2480"/>
      <c r="E2" s="2480"/>
      <c r="F2" s="2480"/>
      <c r="G2" s="2480"/>
      <c r="H2" s="2480"/>
      <c r="I2" s="2480"/>
      <c r="J2" s="2480"/>
      <c r="K2" s="2480"/>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1" t="s">
        <v>1308</v>
      </c>
      <c r="C6" s="2481"/>
      <c r="D6" s="2481"/>
      <c r="E6" s="2481"/>
      <c r="F6" s="2481"/>
      <c r="G6" s="2481"/>
      <c r="H6" s="2481"/>
      <c r="I6" s="2481"/>
      <c r="J6" s="2481"/>
      <c r="K6" s="2481"/>
      <c r="L6" s="322"/>
    </row>
    <row r="7" spans="1:12" ht="4.5" customHeight="1" x14ac:dyDescent="0.2">
      <c r="B7" s="1376"/>
      <c r="C7" s="1376"/>
      <c r="D7" s="1376"/>
      <c r="E7" s="1376"/>
      <c r="F7" s="1376"/>
      <c r="G7" s="1377"/>
      <c r="H7" s="1376"/>
      <c r="I7" s="1377"/>
      <c r="J7" s="1376"/>
      <c r="K7" s="1376"/>
      <c r="L7" s="322"/>
    </row>
    <row r="8" spans="1:12" ht="13.5" customHeight="1" x14ac:dyDescent="0.2">
      <c r="B8" s="1384" t="s">
        <v>1755</v>
      </c>
      <c r="C8" s="1451" t="s">
        <v>1990</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9"/>
      <c r="G12" s="2459"/>
      <c r="H12" s="2459"/>
      <c r="I12" s="2459"/>
      <c r="J12" s="2459"/>
      <c r="K12" s="245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2"/>
      <c r="E14" s="2482"/>
      <c r="F14" s="2482"/>
      <c r="H14" s="1459" t="s">
        <v>1303</v>
      </c>
      <c r="I14" s="2483"/>
      <c r="J14" s="2483"/>
      <c r="K14" s="248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3"/>
      <c r="E16" s="2483"/>
      <c r="F16" s="2483"/>
      <c r="G16" s="2483"/>
      <c r="H16" s="2483"/>
      <c r="I16" s="2483"/>
      <c r="J16" s="2483"/>
      <c r="K16" s="2483"/>
      <c r="L16" s="322"/>
    </row>
    <row r="17" spans="2:12" ht="13.5" customHeight="1" x14ac:dyDescent="0.2">
      <c r="B17" s="1384" t="s">
        <v>1301</v>
      </c>
      <c r="C17" s="1384"/>
      <c r="D17" s="2484"/>
      <c r="E17" s="2484"/>
      <c r="F17" s="2484"/>
      <c r="G17" s="2484"/>
      <c r="H17" s="2484"/>
      <c r="I17" s="2484"/>
      <c r="J17" s="2484"/>
      <c r="K17" s="248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t="s">
        <v>2103</v>
      </c>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1756</v>
      </c>
      <c r="C22" s="1461"/>
      <c r="D22" s="322"/>
      <c r="E22" s="322"/>
      <c r="F22" s="322"/>
      <c r="G22" s="1380"/>
      <c r="H22" s="322"/>
      <c r="I22" s="1380"/>
      <c r="J22" s="322"/>
      <c r="K22" s="322"/>
      <c r="L22" s="322"/>
    </row>
    <row r="23" spans="2:12" ht="37.5" customHeight="1" x14ac:dyDescent="0.2">
      <c r="B23" s="2474" t="s">
        <v>2103</v>
      </c>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1757</v>
      </c>
      <c r="C25" s="1461"/>
      <c r="D25" s="322"/>
      <c r="E25" s="322"/>
      <c r="F25" s="322"/>
      <c r="G25" s="1380"/>
      <c r="H25" s="322"/>
      <c r="I25" s="1380"/>
      <c r="J25" s="322"/>
      <c r="K25" s="322"/>
      <c r="L25" s="322"/>
    </row>
    <row r="26" spans="2:12" ht="37.5" customHeight="1" x14ac:dyDescent="0.2">
      <c r="B26" s="2474" t="s">
        <v>2103</v>
      </c>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1758</v>
      </c>
      <c r="C28" s="1461"/>
      <c r="D28" s="322"/>
      <c r="E28" s="322"/>
      <c r="F28" s="322"/>
      <c r="G28" s="1380"/>
      <c r="H28" s="322"/>
      <c r="I28" s="1380"/>
      <c r="J28" s="322"/>
      <c r="K28" s="322"/>
      <c r="L28" s="322"/>
    </row>
    <row r="29" spans="2:12" ht="37.5" customHeight="1" x14ac:dyDescent="0.2">
      <c r="B29" s="2474" t="s">
        <v>2103</v>
      </c>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t="s">
        <v>2103</v>
      </c>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t="s">
        <v>2103</v>
      </c>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t="s">
        <v>2103</v>
      </c>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1759</v>
      </c>
      <c r="C40" s="1400"/>
      <c r="D40" s="1375"/>
      <c r="E40" s="1376"/>
      <c r="F40" s="1376"/>
      <c r="G40" s="1377"/>
      <c r="H40" s="1376"/>
      <c r="I40" s="1377"/>
      <c r="J40" s="1376"/>
      <c r="K40" s="1376"/>
    </row>
    <row r="41" spans="2:12" s="322" customFormat="1" ht="33.75" customHeight="1" x14ac:dyDescent="0.2">
      <c r="B41" s="2474" t="s">
        <v>2103</v>
      </c>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1760</v>
      </c>
      <c r="C44" s="1403"/>
      <c r="D44" s="322"/>
      <c r="E44" s="322"/>
      <c r="F44" s="322"/>
    </row>
    <row r="45" spans="2:12" ht="10.5" customHeight="1" x14ac:dyDescent="0.2">
      <c r="B45" s="1404" t="s">
        <v>1761</v>
      </c>
      <c r="C45" s="1404"/>
      <c r="G45" s="317"/>
      <c r="I45" s="317"/>
    </row>
    <row r="46" spans="2:12" ht="11.1" customHeight="1" x14ac:dyDescent="0.2">
      <c r="B46" s="1404" t="s">
        <v>1762</v>
      </c>
      <c r="C46" s="1404"/>
      <c r="G46" s="317"/>
      <c r="I46" s="317"/>
    </row>
    <row r="47" spans="2:12" ht="11.1" customHeight="1" x14ac:dyDescent="0.2">
      <c r="B47" s="1404" t="s">
        <v>1763</v>
      </c>
      <c r="C47" s="1404"/>
      <c r="G47" s="317"/>
      <c r="I47" s="317"/>
    </row>
    <row r="48" spans="2:12" ht="11.1" customHeight="1" x14ac:dyDescent="0.2">
      <c r="B48" s="1404" t="s">
        <v>1764</v>
      </c>
      <c r="C48" s="1404"/>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zoomScale="110" zoomScaleNormal="110" workbookViewId="0">
      <selection activeCell="B9" sqref="B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2" t="str">
        <f>'Single Audit Cover'!A7</f>
        <v>Sparta CUSD 140</v>
      </c>
      <c r="C1" s="2452"/>
      <c r="D1" s="2452"/>
      <c r="E1" s="1469"/>
    </row>
    <row r="2" spans="2:5" s="1279" customFormat="1" ht="12.75" customHeight="1" x14ac:dyDescent="0.2">
      <c r="B2" s="2454">
        <f>'Single Audit Cover'!E7</f>
        <v>45079140026</v>
      </c>
      <c r="C2" s="2454"/>
      <c r="D2" s="2454"/>
      <c r="E2" s="1470"/>
    </row>
    <row r="3" spans="2:5" ht="12.75" customHeight="1" x14ac:dyDescent="0.2">
      <c r="B3" s="2475" t="s">
        <v>1765</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1766</v>
      </c>
      <c r="C5" s="328"/>
      <c r="D5" s="328"/>
      <c r="E5" s="328"/>
    </row>
    <row r="6" spans="2:5" s="1279" customFormat="1" ht="13.5" customHeight="1" x14ac:dyDescent="0.2">
      <c r="B6" s="1473" t="s">
        <v>1315</v>
      </c>
      <c r="C6" s="1473" t="s">
        <v>1314</v>
      </c>
      <c r="D6" s="1473" t="s">
        <v>1767</v>
      </c>
    </row>
    <row r="7" spans="2:5" ht="13.5" customHeight="1" x14ac:dyDescent="0.2">
      <c r="B7" s="1474"/>
      <c r="C7" s="324"/>
      <c r="D7" s="324"/>
      <c r="E7" s="324"/>
    </row>
    <row r="8" spans="2:5" ht="13.5" customHeight="1" x14ac:dyDescent="0.2">
      <c r="B8" s="1474" t="s">
        <v>2142</v>
      </c>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1768</v>
      </c>
    </row>
    <row r="46" spans="2:5" ht="12.2" customHeight="1" x14ac:dyDescent="0.2">
      <c r="B46" s="1483" t="s">
        <v>1769</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4d435f69-8686-490b-bd6d-b153bf22ab50"/>
    <ds:schemaRef ds:uri="http://purl.org/dc/elements/1.1/"/>
    <ds:schemaRef ds:uri="http://purl.org/dc/terms/"/>
    <ds:schemaRef ds:uri="6ce3111e-7420-4802-b50a-75d4e9a0b980"/>
    <ds:schemaRef ds:uri="http://schemas.microsoft.com/office/2006/metadata/properties"/>
    <ds:schemaRef ds:uri="http://schemas.microsoft.com/office/2006/documentManagement/types"/>
    <ds:schemaRef ds:uri="http://www.w3.org/XML/1998/namespace"/>
    <ds:schemaRef ds:uri="http://schemas.openxmlformats.org/package/2006/metadata/core-properties"/>
    <ds:schemaRef ds:uri="d21dc803-237d-4c68-8692-8d731fd29118"/>
    <ds:schemaRef ds:uri="http://schemas.microsoft.com/office/infopath/2007/PartnerControls"/>
    <ds:schemaRef ds:uri="http://schemas.microsoft.com/sharepoint/v3"/>
    <ds:schemaRef ds:uri="http://purl.org/dc/dcmitype/"/>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 PG 1 OF 3</vt:lpstr>
      <vt:lpstr> SEFA - PG 2 OF 3</vt:lpstr>
      <vt:lpstr> SEFA - PG 3 OF 3 </vt:lpstr>
      <vt:lpstr>SEFA NOTES</vt:lpstr>
      <vt:lpstr>SF&amp;QC Sec-1</vt:lpstr>
      <vt:lpstr>SF&amp;QC Sec-2</vt:lpstr>
      <vt:lpstr>SF&amp;QC Sec-3</vt:lpstr>
      <vt:lpstr>SSPAF</vt:lpstr>
      <vt:lpstr>' SEFA - PG 1 OF 3'!Print_Area</vt:lpstr>
      <vt:lpstr>' SEFA - PG 2 OF 3'!Print_Area</vt:lpstr>
      <vt:lpstr>' SEFA - PG 3 OF 3 '!Print_Area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2019-10-10T20:39:48Z</cp:lastPrinted>
  <dcterms:created xsi:type="dcterms:W3CDTF">2003-10-29T19:06:34Z</dcterms:created>
  <dcterms:modified xsi:type="dcterms:W3CDTF">2019-11-18T20:38:57Z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