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C019F16-7BB2-47EE-ABA5-1C18C17047C4}"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127" l="1"/>
  <c r="K17" i="127" l="1"/>
  <c r="K13" i="127"/>
  <c r="G301" i="29" l="1"/>
  <c r="D228"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7" i="127"/>
  <c r="B78" i="127"/>
  <c r="D26" i="108"/>
  <c r="E27" i="108"/>
  <c r="G27" i="108"/>
  <c r="F36" i="108"/>
  <c r="G28" i="108"/>
  <c r="G30" i="108"/>
  <c r="E31" i="108"/>
  <c r="G31"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J22" i="37"/>
  <c r="F34" i="34" l="1"/>
  <c r="G33" i="108"/>
  <c r="E26" i="108"/>
  <c r="H365" i="29"/>
  <c r="B7242" i="106" s="1"/>
  <c r="D7242" i="106" s="1"/>
  <c r="G26" i="108"/>
  <c r="J210" i="29"/>
  <c r="B7072" i="106" s="1"/>
  <c r="D7072" i="106" s="1"/>
  <c r="F46" i="34"/>
  <c r="E30" i="108"/>
  <c r="J352" i="29"/>
  <c r="J367" i="29" s="1"/>
  <c r="B7245" i="106" s="1"/>
  <c r="G15" i="145"/>
  <c r="F68" i="34"/>
  <c r="D68" i="36"/>
  <c r="D24" i="37"/>
  <c r="B4270" i="106" s="1"/>
  <c r="D4270" i="106" s="1"/>
  <c r="F56" i="34"/>
  <c r="F38" i="34"/>
  <c r="E35" i="108"/>
  <c r="B1124" i="106"/>
  <c r="D1124" i="106" s="1"/>
  <c r="J23" i="12"/>
  <c r="J24" i="12" s="1"/>
  <c r="F44" i="34"/>
  <c r="F37" i="34"/>
  <c r="D22" i="37"/>
  <c r="C342" i="29"/>
  <c r="B7216" i="106" s="1"/>
  <c r="D7216" i="106" s="1"/>
  <c r="B7074" i="106"/>
  <c r="D7074" i="106" s="1"/>
  <c r="C352" i="29"/>
  <c r="B3621" i="106" s="1"/>
  <c r="D3621" i="106" s="1"/>
  <c r="K76" i="4"/>
  <c r="B3586" i="106" s="1"/>
  <c r="D3586" i="106" s="1"/>
  <c r="H76" i="4"/>
  <c r="B3298" i="106" s="1"/>
  <c r="D3298" i="106" s="1"/>
  <c r="C129" i="29"/>
  <c r="D54" i="36"/>
  <c r="H33" i="118"/>
  <c r="F50" i="34"/>
  <c r="B1126" i="106"/>
  <c r="D1126" i="106" s="1"/>
  <c r="B2836" i="106"/>
  <c r="D2836" i="106" s="1"/>
  <c r="I210" i="29"/>
  <c r="B7071" i="106" s="1"/>
  <c r="D7071" i="106" s="1"/>
  <c r="H112" i="29"/>
  <c r="B7018" i="106" s="1"/>
  <c r="D7018" i="106" s="1"/>
  <c r="D17" i="7"/>
  <c r="B4104" i="106" s="1"/>
  <c r="D4104" i="106" s="1"/>
  <c r="G35" i="108"/>
  <c r="D36" i="108"/>
  <c r="F26" i="108"/>
  <c r="D69" i="36"/>
  <c r="B7235" i="106"/>
  <c r="D7235" i="106" s="1"/>
  <c r="B7047" i="106"/>
  <c r="D7047" i="106" s="1"/>
  <c r="L15" i="11"/>
  <c r="B3459" i="106" s="1"/>
  <c r="D3459" i="106" s="1"/>
  <c r="F52" i="34"/>
  <c r="D27" i="108"/>
  <c r="D37" i="108"/>
  <c r="D7245" i="106"/>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B6216" i="106" s="1"/>
  <c r="D6216" i="10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730" i="106"/>
  <c r="D7730" i="106" s="1"/>
  <c r="B7270" i="106"/>
  <c r="D7251" i="106" l="1"/>
  <c r="D7256" i="106"/>
  <c r="C367" i="29"/>
  <c r="B3622" i="106" s="1"/>
  <c r="D3622" i="106" s="1"/>
  <c r="I151" i="29"/>
  <c r="F59" i="34" s="1"/>
  <c r="D7252" i="106"/>
  <c r="D51" i="36"/>
  <c r="D7255" i="106"/>
  <c r="D41" i="108"/>
  <c r="E43" i="108" s="1"/>
  <c r="H77" i="4"/>
  <c r="B3299" i="106" s="1"/>
  <c r="D3299" i="106" s="1"/>
  <c r="L114" i="29"/>
  <c r="D52" i="36"/>
  <c r="N23" i="3"/>
  <c r="B284" i="106" s="1"/>
  <c r="D284" i="106" s="1"/>
  <c r="F41" i="108"/>
  <c r="G43" i="108" s="1"/>
  <c r="C114" i="29"/>
  <c r="B757" i="106" s="1"/>
  <c r="D757" i="106" s="1"/>
  <c r="B5527" i="106"/>
  <c r="D5527" i="106" s="1"/>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B7243" i="106" s="1"/>
  <c r="D7243" i="106"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K367" i="29"/>
  <c r="B7224" i="106"/>
  <c r="D7224" i="106" s="1"/>
  <c r="B1145" i="106"/>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F8" i="4"/>
  <c r="F10" i="4" s="1"/>
  <c r="B4125" i="106" s="1"/>
  <c r="D4125" i="106" s="1"/>
  <c r="J20" i="4"/>
  <c r="J78" i="4" s="1"/>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8" i="146"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<sst xmlns="http://schemas.openxmlformats.org/spreadsheetml/2006/main" count="5131" uniqueCount="2135">
  <si>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</si>
  <si>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</si>
  <si>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</si>
  <si>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</si>
  <si>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</si>
  <si>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</si>
  <si>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</si>
  <si>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</si>
  <si>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</si>
  <si>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</si>
  <si>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</si>
  <si>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</si>
  <si>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</si>
  <si>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</si>
  <si>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</si>
  <si>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</si>
  <si>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</si>
  <si>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</si>
  <si>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</si>
  <si>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</si>
  <si>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</si>
  <si>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</si>
  <si>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</si>
  <si>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</si>
  <si>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</si>
  <si>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</si>
  <si>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</si>
  <si>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</si>
  <si>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</si>
  <si>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</si>
  <si>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</si>
  <si>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</si>
  <si>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</si>
  <si>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</si>
  <si>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</si>
  <si>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</si>
  <si>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</si>
  <si>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</si>
  <si>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</si>
  <si>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</si>
  <si>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</si>
  <si>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</si>
  <si>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</si>
  <si>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</si>
  <si>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</si>
  <si>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</si>
  <si>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</si>
  <si>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</si>
  <si>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</si>
  <si>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</si>
  <si>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</si>
  <si>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</si>
  <si>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</si>
  <si>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</si>
  <si>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</si>
  <si>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</si>
  <si>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</si>
  <si>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</si>
  <si>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</si>
  <si>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</si>
  <si>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</si>
  <si>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</si>
  <si>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</si>
  <si>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</si>
  <si>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</si>
  <si>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</si>
  <si>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</si>
  <si>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</si>
  <si>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</si>
  <si>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</si>
  <si>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</si>
  <si>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</si>
  <si>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</si>
  <si>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</si>
  <si>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</si>
  <si>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</si>
  <si>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</si>
  <si>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</si>
  <si>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</si>
  <si>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</si>
  <si>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</si>
  <si>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</si>
  <si>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</si>
  <si>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</si>
  <si>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</si>
  <si>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</si>
  <si>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</si>
  <si>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</si>
  <si>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</si>
  <si>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</si>
  <si>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</si>
  <si>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</si>
  <si>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</si>
  <si>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</si>
  <si>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</si>
  <si>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</si>
  <si>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</si>
  <si>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</si>
  <si>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</si>
  <si>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</si>
  <si>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</si>
  <si>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</si>
  <si>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</si>
  <si>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</si>
  <si>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</si>
  <si>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</si>
  <si>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</si>
  <si>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</si>
  <si>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</si>
  <si>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</si>
  <si>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</si>
  <si>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</si>
  <si>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</si>
  <si>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</si>
  <si>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</si>
  <si>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</si>
  <si>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</si>
  <si>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</si>
  <si>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</si>
  <si>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</si>
  <si>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</si>
  <si>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</si>
  <si>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</si>
  <si>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</si>
  <si>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</si>
  <si>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</si>
  <si>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</si>
  <si>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</si>
  <si>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</si>
  <si>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</si>
  <si>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</si>
  <si>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</si>
  <si>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</si>
  <si>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</si>
  <si>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</si>
  <si>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</si>
  <si>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</si>
  <si>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</si>
  <si>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</si>
  <si>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</si>
  <si>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</si>
  <si>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</si>
  <si>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</si>
  <si>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</si>
  <si>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</si>
  <si>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</si>
  <si>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</si>
  <si>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</si>
  <si>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</si>
  <si>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</si>
  <si>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</si>
  <si>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</si>
  <si>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</si>
  <si>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</si>
  <si>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</si>
  <si>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</si>
  <si>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</si>
  <si>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</si>
  <si>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</si>
  <si>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</si>
  <si>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</si>
  <si>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</si>
  <si>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</si>
  <si>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</si>
  <si>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</si>
  <si>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</si>
  <si>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</si>
  <si>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</si>
  <si>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</si>
  <si>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</si>
  <si>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</si>
  <si>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</si>
  <si>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</si>
  <si>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</si>
  <si>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</si>
  <si>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</si>
  <si>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</si>
  <si>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</si>
  <si>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</si>
  <si>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</si>
  <si>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</si>
  <si>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</si>
  <si>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</si>
  <si>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</si>
  <si>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</si>
  <si>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</si>
  <si>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</si>
  <si>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</si>
  <si>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</si>
  <si>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</si>
  <si>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</si>
  <si>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</si>
  <si>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</si>
  <si>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</si>
  <si>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</si>
  <si>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</si>
  <si>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</si>
  <si>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</si>
  <si>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</si>
  <si>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</si>
  <si>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</si>
  <si>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</si>
  <si>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</si>
  <si>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</si>
  <si>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</si>
  <si>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</si>
  <si>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</si>
  <si>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</si>
  <si>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</si>
  <si>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</si>
  <si>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</si>
  <si>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</si>
  <si>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</si>
  <si>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</si>
  <si>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</si>
  <si>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</si>
  <si>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</si>
  <si>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</si>
  <si>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</si>
  <si>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</si>
  <si>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</si>
  <si>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</si>
  <si>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</si>
  <si>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</si>
  <si>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</si>
  <si>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</si>
  <si>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</si>
  <si>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</si>
  <si>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</si>
  <si>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</si>
  <si>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</si>
  <si>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</si>
  <si>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</si>
  <si>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</si>
  <si>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</si>
  <si>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</si>
  <si>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</si>
  <si>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</si>
  <si>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</si>
  <si>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</si>
  <si>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</si>
  <si>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</si>
  <si>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</si>
  <si>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</si>
  <si>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</si>
  <si>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</si>
  <si>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</si>
  <si>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</si>
  <si>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</si>
  <si>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</si>
  <si>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</si>
  <si>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</si>
  <si>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</si>
  <si>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</si>
  <si>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</si>
  <si>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</si>
  <si>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</si>
  <si>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</si>
  <si>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</si>
  <si>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</si>
  <si>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</si>
  <si>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</si>
  <si>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</si>
  <si>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</si>
  <si>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</si>
  <si>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</si>
  <si>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</si>
  <si>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</si>
  <si>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</si>
  <si>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</si>
  <si>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</si>
  <si>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</si>
  <si>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</si>
  <si>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</si>
  <si>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</si>
  <si>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</si>
  <si>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</si>
  <si>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</si>
  <si>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</si>
  <si>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</si>
  <si>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</si>
  <si>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</si>
  <si>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</si>
  <si>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</si>
  <si>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</si>
  <si>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</si>
  <si>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</si>
  <si>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</si>
  <si>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</si>
  <si>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</si>
  <si>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</si>
  <si>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</si>
  <si>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</si>
  <si>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</si>
  <si>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</si>
  <si>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</si>
  <si>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</si>
  <si>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</si>
  <si>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</si>
  <si>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</si>
  <si>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</si>
  <si>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</si>
  <si>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</si>
  <si>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</si>
  <si>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</si>
  <si>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</si>
  <si>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</si>
  <si>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</si>
  <si>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</si>
  <si>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</si>
  <si>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</si>
  <si>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</si>
  <si>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</si>
  <si>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</si>
  <si>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</si>
  <si>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</si>
  <si>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</si>
  <si>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</si>
  <si>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</si>
  <si>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</si>
  <si>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</si>
  <si>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</si>
  <si>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</si>
  <si>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</si>
  <si>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</si>
  <si>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</si>
  <si>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</si>
  <si>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</si>
  <si>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</si>
  <si>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</si>
  <si>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</si>
  <si>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</si>
  <si>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</si>
  <si>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</si>
  <si>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</si>
  <si>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</si>
  <si>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</si>
  <si>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</si>
  <si>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</si>
  <si>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</si>
  <si>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</si>
  <si>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</si>
  <si>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</si>
  <si>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</si>
  <si>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</si>
  <si>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</si>
  <si>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</si>
  <si>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</si>
  <si>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</si>
  <si>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</si>
  <si>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</si>
  <si>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</si>
  <si>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</si>
  <si>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</si>
  <si>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</si>
  <si>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</si>
  <si>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</si>
  <si>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</si>
  <si>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</si>
  <si>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</si>
  <si>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</si>
  <si>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</si>
  <si>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</si>
  <si>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</si>
  <si>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</si>
  <si>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</si>
  <si>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</si>
  <si>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</si>
  <si>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</si>
  <si>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</si>
  <si>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</si>
  <si>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</si>
  <si>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</si>
  <si>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</si>
  <si>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</si>
  <si>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</si>
  <si>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</si>
  <si>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</si>
  <si>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</si>
  <si>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</si>
  <si>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</si>
  <si>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</si>
  <si>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</si>
  <si>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</si>
  <si>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</si>
  <si>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</si>
  <si>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</si>
  <si>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</si>
  <si>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</si>
  <si>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</si>
  <si>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</si>
  <si>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</si>
  <si>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</si>
  <si>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</si>
  <si>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</si>
  <si>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</si>
  <si>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</si>
  <si>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</si>
  <si>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</si>
  <si>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</si>
  <si>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</si>
  <si>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</si>
  <si>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</si>
  <si>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</si>
  <si>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</si>
  <si>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</si>
  <si>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</si>
  <si>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</si>
  <si>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</si>
  <si>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</si>
  <si>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</si>
  <si>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</si>
  <si>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</si>
  <si>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</si>
  <si>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</si>
  <si>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</si>
  <si>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</si>
  <si>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</si>
  <si>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</si>
  <si>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</si>
  <si>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</si>
  <si>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</si>
  <si>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</si>
  <si>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</si>
  <si>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</si>
  <si>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</si>
  <si>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</si>
  <si>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</si>
  <si>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</si>
  <si>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</si>
  <si>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</si>
  <si>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</si>
  <si>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</si>
  <si>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</si>
  <si>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</si>
  <si>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</si>
  <si>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</si>
  <si>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</si>
  <si>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</si>
  <si>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</si>
  <si>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</si>
  <si>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</si>
  <si>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</si>
  <si>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</si>
  <si>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</si>
  <si>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</si>
  <si>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</si>
  <si>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</si>
  <si>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</si>
  <si>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</si>
  <si>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</si>
  <si>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</si>
  <si>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</si>
  <si>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</si>
  <si>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</si>
  <si>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</si>
  <si>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</si>
  <si>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</si>
  <si>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</si>
  <si>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</si>
  <si>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</si>
  <si>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</si>
  <si>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</si>
  <si>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</si>
  <si>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</si>
  <si>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</si>
  <si>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</si>
  <si>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</si>
  <si>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</si>
  <si>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</si>
  <si>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</si>
  <si>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</si>
  <si>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</si>
  <si>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</si>
  <si>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</si>
  <si>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</si>
  <si>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</si>
  <si>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</si>
  <si>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</si>
  <si>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</si>
  <si>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</si>
  <si>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</si>
  <si>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</si>
  <si>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</si>
  <si>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</si>
  <si>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</si>
  <si>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</si>
  <si>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</si>
  <si>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</si>
  <si>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</si>
  <si>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</si>
  <si>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</si>
  <si>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</si>
  <si>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</si>
  <si>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</si>
  <si>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</si>
  <si>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</si>
  <si>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</si>
  <si>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</si>
  <si>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</si>
  <si>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</si>
  <si>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</si>
  <si>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</si>
  <si>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</si>
  <si>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</si>
  <si>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</si>
  <si>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</si>
  <si>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</si>
  <si>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</si>
  <si>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</si>
  <si>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</si>
  <si>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</si>
  <si>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</si>
  <si>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</si>
  <si>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</si>
  <si>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</si>
  <si>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</si>
  <si>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</si>
  <si>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</si>
  <si>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</si>
  <si>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</si>
  <si>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</si>
  <si>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</si>
  <si>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</si>
  <si>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</si>
  <si>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</si>
  <si>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</si>
  <si>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</si>
  <si>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</si>
  <si>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</si>
  <si>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</si>
  <si>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</si>
  <si>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</si>
  <si>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</si>
  <si>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</si>
  <si>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</si>
  <si>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</si>
  <si>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</si>
  <si>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</si>
  <si>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</si>
  <si>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</si>
  <si>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</si>
  <si>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</si>
  <si>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</si>
  <si>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</si>
  <si>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</si>
  <si>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</si>
  <si>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</si>
  <si>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</si>
  <si>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</si>
  <si>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</si>
  <si>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</si>
  <si>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</si>
  <si>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</si>
  <si>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</si>
  <si>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</si>
  <si>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</si>
  <si>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</si>
  <si>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</si>
  <si>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</si>
  <si>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</si>
  <si>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</si>
  <si>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</si>
  <si>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</si>
  <si>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</si>
  <si>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</si>
  <si>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</si>
  <si>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</si>
  <si>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</si>
  <si>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</si>
  <si>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</si>
  <si>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</si>
  <si>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</si>
  <si>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</si>
  <si>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</si>
  <si>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</si>
  <si>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</si>
  <si>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</si>
  <si>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</si>
  <si>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</si>
  <si>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</si>
  <si>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</si>
  <si>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</si>
  <si>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</si>
  <si>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</si>
  <si>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</si>
  <si>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</si>
  <si>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</si>
  <si>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</si>
  <si>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</si>
  <si>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</si>
  <si>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</si>
  <si>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</si>
  <si>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</si>
  <si>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</si>
  <si>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</si>
  <si>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</si>
  <si>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</si>
  <si>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</si>
  <si>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</si>
  <si>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</si>
  <si>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</si>
  <si>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</si>
  <si>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</si>
  <si>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</si>
  <si>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</si>
  <si>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</si>
  <si>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</si>
  <si>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</si>
  <si>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</si>
  <si>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</si>
  <si>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</si>
  <si>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</si>
  <si>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</si>
  <si>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</si>
  <si>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</si>
  <si>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</si>
  <si>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</si>
  <si>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</si>
  <si>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</si>
  <si>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</si>
  <si>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</si>
  <si>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</si>
  <si>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</si>
  <si>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</si>
  <si>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</si>
  <si>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</si>
  <si>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</si>
  <si>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</si>
  <si>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</si>
  <si>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</si>
  <si>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</si>
  <si>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</si>
  <si>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</si>
  <si>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</si>
  <si>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</si>
  <si>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</si>
  <si>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</si>
  <si>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</si>
  <si>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</si>
  <si>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</si>
  <si>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</si>
  <si>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</si>
  <si>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</si>
  <si>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</si>
  <si>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</si>
  <si>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</si>
  <si>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</si>
  <si>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</si>
  <si>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</si>
  <si>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</si>
  <si>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</si>
  <si>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</si>
  <si>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</si>
  <si>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</si>
  <si>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</si>
  <si>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</si>
  <si>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</si>
  <si>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</si>
  <si>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</si>
  <si>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</si>
  <si>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</si>
  <si>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</si>
  <si>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</si>
  <si>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</si>
  <si>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</si>
  <si>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</si>
  <si>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</si>
  <si>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</si>
  <si>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</si>
  <si>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</si>
  <si>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</si>
  <si>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</si>
  <si>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</si>
  <si>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</si>
  <si>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</si>
  <si>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</si>
  <si>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</si>
  <si>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</si>
  <si>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</si>
  <si>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</si>
  <si>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</si>
  <si>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</si>
  <si>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</si>
  <si>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</si>
  <si>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</si>
  <si>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</si>
  <si>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</si>
  <si>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</si>
  <si>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</si>
  <si>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</si>
  <si>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</si>
  <si>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</si>
  <si>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</si>
  <si>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</si>
  <si>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</si>
  <si>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</si>
  <si>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</si>
  <si>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</si>
  <si>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</si>
  <si>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</si>
  <si>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</si>
  <si>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</si>
  <si>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</si>
  <si>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</si>
  <si>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</si>
  <si>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</si>
  <si>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</si>
  <si>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</si>
  <si>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</si>
  <si>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</si>
  <si>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</si>
  <si>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</si>
  <si>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</si>
  <si>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</si>
  <si>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</si>
  <si>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</si>
  <si>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</si>
  <si>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</si>
  <si>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</si>
  <si>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</si>
  <si>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</si>
  <si>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</si>
  <si>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</si>
  <si>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</si>
  <si>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</si>
  <si>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</si>
  <si>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</si>
  <si>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</si>
  <si>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</si>
  <si>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</si>
  <si>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</si>
  <si>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</si>
  <si>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</si>
  <si>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</si>
  <si>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</si>
  <si>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</si>
  <si>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</si>
  <si>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</si>
  <si>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</si>
  <si>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</si>
  <si>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</si>
  <si>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</si>
  <si>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</si>
  <si>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</si>
  <si>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</si>
  <si>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</si>
  <si>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</si>
  <si>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</si>
  <si>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</si>
  <si>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</si>
  <si>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</si>
  <si>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</si>
  <si>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</si>
  <si>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</si>
  <si>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</si>
  <si>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</si>
  <si>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</si>
  <si>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</si>
  <si>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</si>
  <si>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</si>
  <si>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</si>
  <si>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</si>
  <si>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</si>
  <si>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</si>
  <si>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</si>
  <si>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</si>
  <si>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</si>
  <si>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</si>
  <si>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</si>
  <si>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</si>
  <si>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</si>
  <si>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</si>
  <si>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</si>
  <si>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</si>
  <si>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</si>
  <si>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</si>
  <si>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</si>
  <si>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</si>
  <si>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</si>
  <si>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</si>
  <si>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</si>
  <si>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</si>
  <si>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</si>
  <si>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</si>
  <si>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</si>
  <si>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</si>
  <si>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</si>
  <si>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</si>
  <si>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</si>
  <si>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</si>
  <si>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</si>
  <si>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</si>
  <si>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</si>
  <si>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</si>
  <si>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</si>
  <si>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</si>
  <si>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</si>
  <si>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</si>
  <si>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</si>
  <si>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</si>
  <si>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</si>
  <si>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</si>
  <si>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</si>
  <si>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</si>
  <si>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</si>
  <si>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</si>
  <si>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</si>
  <si>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</si>
  <si>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</si>
  <si>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</si>
  <si>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</si>
  <si>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</si>
  <si>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</si>
  <si>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</si>
  <si>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</si>
  <si>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</si>
  <si>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</si>
  <si>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</si>
  <si>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</si>
  <si>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</si>
  <si>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</si>
  <si>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</si>
  <si>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</si>
  <si>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</si>
  <si>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</si>
  <si>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</si>
  <si>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</si>
  <si>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</si>
  <si>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</si>
  <si>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</si>
  <si>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</si>
  <si>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</si>
  <si>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</si>
  <si>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</si>
  <si>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</si>
  <si>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</si>
  <si>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</si>
  <si>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</si>
  <si>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</si>
  <si>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</si>
  <si>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</si>
  <si>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</si>
  <si>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</si>
  <si>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</si>
  <si>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</si>
  <si>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</si>
  <si>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</si>
  <si>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</si>
  <si>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</si>
  <si>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</si>
  <si>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</si>
  <si>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</si>
  <si>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</si>
  <si>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</si>
  <si>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</si>
  <si>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</si>
  <si>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</si>
  <si>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</si>
  <si>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</si>
  <si>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</si>
  <si>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</si>
  <si>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</si>
  <si>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</si>
  <si>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</si>
  <si>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</si>
  <si>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</si>
  <si>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</si>
  <si>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</si>
  <si>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</si>
  <si>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</si>
  <si>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</si>
  <si>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</si>
  <si>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</si>
  <si>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</si>
  <si>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</si>
  <si>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</si>
  <si>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</si>
  <si>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</si>
  <si>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</si>
  <si>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</si>
  <si>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</si>
  <si>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</si>
  <si>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</si>
  <si>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</si>
  <si>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</si>
  <si>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</si>
  <si>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</si>
  <si>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</si>
  <si>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</si>
  <si>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</si>
  <si>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</si>
  <si>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</si>
  <si>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</si>
  <si>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</si>
  <si>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</si>
  <si>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</si>
  <si>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</si>
  <si>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</si>
  <si>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</si>
  <si>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</si>
  <si>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</si>
  <si>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</si>
  <si>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</si>
  <si>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</si>
  <si>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</si>
  <si>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</si>
  <si>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</si>
  <si>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</si>
  <si>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</si>
  <si>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</si>
  <si>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</si>
  <si>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</si>
  <si>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</si>
  <si>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</si>
  <si>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</si>
  <si>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</si>
  <si>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</si>
  <si>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</si>
  <si>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</si>
  <si>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</si>
  <si>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</si>
  <si>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</si>
  <si>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</si>
  <si>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</si>
  <si>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</si>
  <si>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</si>
  <si>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</si>
  <si>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</si>
  <si>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</si>
  <si>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</si>
  <si>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</si>
  <si>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</si>
  <si>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</si>
  <si>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</si>
  <si>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</si>
  <si>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</si>
  <si>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</si>
  <si>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</si>
  <si>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</si>
  <si>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</si>
  <si>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</si>
  <si>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</si>
  <si>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</si>
  <si>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</si>
  <si>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</si>
  <si>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</si>
  <si>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</si>
  <si>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</si>
  <si>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</si>
  <si>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</si>
  <si>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</si>
  <si>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</si>
  <si>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</si>
  <si>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</si>
  <si>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</si>
  <si>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</si>
  <si>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</si>
  <si>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</si>
  <si>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</si>
  <si>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</si>
  <si>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</si>
  <si>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</si>
  <si>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</si>
  <si>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</si>
  <si>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</si>
  <si>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</si>
  <si>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</si>
  <si>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</si>
  <si>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</si>
  <si>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</si>
  <si>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</si>
  <si>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</si>
  <si>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</si>
  <si>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</si>
  <si>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</si>
  <si>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</si>
  <si>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</si>
  <si>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</si>
  <si>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</si>
  <si>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</si>
  <si>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</si>
  <si>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</si>
  <si>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</si>
  <si>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</si>
  <si>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</si>
  <si>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</si>
  <si>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</si>
  <si>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</si>
  <si>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</si>
  <si>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</si>
  <si>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</si>
  <si>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</si>
  <si>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</si>
  <si>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</si>
  <si>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</si>
  <si>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</si>
  <si>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</si>
  <si>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</si>
  <si>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</si>
  <si>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</si>
  <si>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</si>
  <si>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</si>
  <si>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</si>
  <si>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</si>
  <si>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</si>
  <si>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</si>
  <si>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</si>
  <si>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</si>
  <si>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</si>
  <si>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</si>
  <si>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</si>
  <si>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</si>
  <si>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</si>
  <si>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</si>
  <si>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</si>
  <si>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</si>
  <si>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</si>
  <si>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</si>
  <si>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</si>
  <si>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</si>
  <si>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</si>
  <si>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</si>
  <si>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</si>
  <si>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</si>
  <si>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</si>
  <si>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</si>
  <si>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</si>
  <si>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</si>
  <si>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</si>
  <si>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</si>
  <si>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</si>
  <si>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</si>
  <si>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</si>
  <si>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</si>
  <si>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</si>
  <si>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</si>
  <si>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</si>
  <si>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</si>
  <si>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</si>
  <si>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</si>
  <si>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</si>
  <si>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</si>
  <si>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</si>
  <si>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</si>
  <si>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</si>
  <si>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</si>
  <si>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</si>
  <si>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</si>
  <si>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</si>
  <si>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</si>
  <si>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</si>
  <si>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</si>
  <si>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</si>
  <si>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</si>
  <si>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</si>
  <si>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</si>
  <si>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</si>
  <si>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</si>
  <si>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</si>
  <si>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</si>
  <si>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</si>
  <si>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</si>
  <si>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</si>
  <si>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</si>
  <si>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</si>
  <si>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</si>
  <si>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</si>
  <si>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</si>
  <si>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</si>
  <si>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</si>
  <si>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</si>
  <si>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</si>
  <si>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</si>
  <si>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</si>
  <si>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</si>
  <si>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</si>
  <si>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</si>
  <si>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</si>
  <si>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</si>
  <si>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</si>
  <si>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</si>
  <si>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</si>
  <si>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</si>
  <si>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</si>
  <si>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</si>
  <si>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</si>
  <si>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</si>
  <si>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</si>
  <si>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</si>
  <si>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</si>
  <si>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</si>
  <si>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</si>
  <si>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</si>
  <si>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</si>
  <si>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</si>
  <si>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</si>
  <si>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</si>
  <si>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</si>
  <si>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</si>
  <si>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</si>
  <si>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</si>
  <si>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</si>
  <si>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</si>
  <si>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</si>
  <si>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</si>
  <si>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</si>
  <si>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</si>
  <si>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</si>
  <si>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</si>
  <si>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</si>
  <si>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</si>
  <si>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</si>
  <si>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</si>
  <si>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</si>
  <si>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</si>
  <si>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</si>
  <si>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</si>
  <si>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</si>
  <si>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</si>
  <si>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</si>
  <si>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</si>
  <si>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</si>
  <si>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</si>
  <si>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</si>
  <si>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</si>
  <si>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</si>
  <si>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</si>
  <si>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</si>
  <si>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</si>
  <si>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</si>
  <si>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</si>
  <si>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</si>
  <si>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</si>
  <si>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</si>
  <si>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</si>
  <si>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</si>
  <si>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</si>
  <si>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</si>
  <si>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</si>
  <si>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</si>
  <si>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</si>
  <si>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</si>
  <si>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</si>
  <si>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</si>
  <si>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</si>
  <si>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</si>
  <si>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</si>
  <si>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</si>
  <si>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</si>
  <si>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</si>
  <si>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</si>
  <si>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</si>
  <si>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</si>
  <si>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</si>
  <si>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</si>
  <si>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</si>
  <si>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</si>
  <si>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</si>
  <si>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</si>
  <si>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</si>
  <si>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</si>
  <si>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</si>
  <si>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</si>
  <si>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</si>
  <si>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</si>
  <si>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</si>
  <si>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</si>
  <si>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</si>
  <si>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</si>
  <si>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</si>
  <si>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</si>
  <si>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</si>
  <si>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</si>
  <si>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</si>
  <si>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</si>
  <si>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</si>
  <si>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</si>
  <si>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</si>
  <si>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</si>
  <si>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</si>
  <si>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</si>
  <si>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</si>
  <si>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</si>
  <si>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</si>
  <si>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</si>
  <si>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</si>
  <si>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</si>
  <si>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</si>
  <si>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</si>
  <si>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</si>
  <si>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</si>
  <si>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</si>
  <si>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</si>
  <si>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</si>
  <si>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</si>
  <si>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</si>
  <si>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</si>
  <si>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</si>
  <si>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</si>
  <si>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</si>
  <si>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</si>
  <si>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</si>
  <si>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</si>
  <si>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</si>
  <si>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</si>
  <si>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</si>
  <si>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</si>
  <si>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</si>
  <si>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</si>
  <si>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</si>
  <si>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</si>
  <si>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</si>
  <si>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</si>
  <si>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</si>
  <si>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</si>
  <si>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</si>
  <si>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</si>
  <si>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</si>
  <si>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</si>
  <si>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</si>
  <si>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</si>
  <si>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</si>
  <si>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</si>
  <si>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</si>
  <si>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</si>
  <si>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</si>
  <si>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</si>
  <si>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</si>
  <si>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</si>
  <si>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</si>
  <si>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</si>
  <si>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</si>
  <si>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</si>
  <si>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</si>
  <si>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</si>
  <si>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</si>
  <si>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</si>
  <si>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</si>
  <si>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</si>
  <si>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</si>
  <si>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</si>
  <si>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</si>
  <si>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</si>
  <si>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</si>
  <si>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</si>
  <si>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</si>
  <si>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</si>
  <si>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</si>
  <si>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</si>
  <si>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</si>
  <si>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</si>
  <si>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</si>
  <si>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</si>
  <si>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</si>
  <si>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</si>
  <si>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</si>
  <si>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</si>
  <si>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</si>
  <si>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</si>
  <si>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</si>
  <si>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</si>
  <si>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</si>
  <si>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</si>
  <si>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</si>
  <si>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</si>
  <si>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</si>
  <si>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</si>
  <si>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</si>
  <si>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</si>
  <si>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</si>
  <si>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</si>
  <si>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</si>
  <si>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</si>
  <si>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</si>
  <si>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</si>
  <si>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</si>
  <si>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</si>
  <si>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</si>
  <si>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</si>
  <si>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</si>
  <si>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</si>
  <si>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</si>
  <si>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</si>
  <si>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</si>
  <si>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</si>
  <si>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</si>
  <si>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</si>
  <si>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</si>
  <si>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</si>
  <si>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</si>
  <si>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</si>
  <si>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</si>
  <si>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</si>
  <si>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</si>
  <si>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</si>
  <si>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</si>
  <si>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</si>
  <si>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</si>
  <si>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</si>
  <si>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</si>
  <si>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</si>
  <si>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</si>
  <si>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</si>
  <si>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</si>
  <si>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</si>
  <si>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</si>
  <si>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</si>
  <si>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</si>
  <si>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</si>
  <si>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</si>
  <si>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</si>
  <si>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</si>
  <si>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</si>
  <si>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</si>
  <si>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</si>
  <si>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</si>
  <si>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</si>
  <si>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</si>
  <si>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</si>
  <si>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</si>
  <si>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</si>
  <si>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</si>
  <si>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</si>
  <si>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</si>
  <si>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</si>
  <si>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</si>
  <si>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</si>
  <si>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</si>
  <si>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</si>
  <si>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</si>
  <si>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</si>
  <si>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</si>
  <si>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</si>
  <si>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</si>
  <si>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</si>
  <si>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</si>
  <si>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</si>
  <si>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</si>
  <si>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</si>
  <si>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</si>
  <si>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</si>
  <si>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</si>
  <si>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</si>
  <si>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</si>
  <si>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</si>
  <si>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</si>
  <si>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</si>
  <si>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</si>
  <si>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</si>
  <si>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</si>
  <si>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</si>
  <si>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</si>
  <si>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</si>
  <si>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</si>
  <si>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</si>
  <si>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</si>
  <si>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</si>
  <si>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</si>
  <si>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</si>
  <si>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</si>
  <si>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</si>
  <si>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</si>
  <si>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</si>
  <si>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</si>
  <si>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</si>
  <si>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</si>
  <si>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</si>
  <si>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</si>
  <si>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</si>
  <si>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</si>
  <si>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</si>
  <si>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</si>
  <si>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</si>
  <si>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</si>
  <si>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</si>
  <si>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</si>
  <si>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</si>
  <si>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</si>
  <si>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</si>
  <si>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</si>
  <si>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</si>
  <si>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</si>
  <si>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</si>
  <si>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</si>
  <si>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</si>
  <si>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</si>
  <si>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</si>
  <si>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</si>
  <si>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</si>
  <si>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</si>
  <si>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</si>
  <si>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</si>
  <si>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</si>
  <si>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</si>
  <si>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</si>
  <si>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</si>
  <si>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</si>
  <si>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</si>
  <si>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</si>
  <si>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</si>
  <si>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</si>
  <si>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</si>
  <si>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</si>
  <si>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</si>
  <si>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</si>
  <si>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</si>
  <si>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</si>
  <si>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</si>
  <si>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</si>
  <si>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</si>
  <si>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</si>
  <si>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</si>
  <si>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</si>
  <si>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</si>
  <si>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</si>
  <si>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</si>
  <si>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</si>
  <si>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</si>
  <si>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</si>
  <si>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</si>
  <si>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</si>
  <si>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</si>
  <si>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</si>
  <si>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</si>
  <si>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</si>
  <si>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</si>
  <si>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</si>
  <si>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</si>
  <si>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</si>
  <si>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</si>
  <si>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</si>
  <si>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</si>
  <si>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</si>
  <si>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</si>
  <si>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</si>
  <si>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</si>
  <si>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</si>
  <si>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</si>
  <si>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</si>
  <si>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</si>
  <si>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</si>
  <si>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</si>
  <si>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</si>
  <si>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</si>
  <si>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</si>
  <si>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</si>
  <si>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</si>
  <si>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</si>
  <si>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</si>
  <si>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</si>
  <si>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</si>
  <si>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</si>
  <si>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</si>
  <si>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</si>
  <si>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</si>
  <si>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</si>
  <si>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</si>
  <si>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</si>
  <si>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</si>
  <si>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</si>
  <si>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</si>
  <si>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</si>
  <si>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</si>
  <si>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</si>
  <si>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</si>
  <si>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</si>
  <si>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</si>
  <si>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</si>
  <si>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</si>
  <si>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</si>
  <si>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</si>
  <si>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</si>
  <si>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</si>
  <si>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</si>
  <si>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</si>
  <si>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</si>
  <si>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</si>
  <si>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</si>
  <si>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</si>
  <si>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</si>
  <si>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</si>
  <si>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</si>
  <si>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</si>
  <si>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</si>
  <si>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</si>
  <si>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</si>
  <si>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</si>
  <si>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</si>
  <si>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</si>
  <si>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</si>
  <si>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</si>
  <si>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</si>
  <si>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</si>
  <si>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</si>
  <si>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</si>
  <si>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</si>
  <si>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</si>
  <si>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</si>
  <si>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</si>
  <si>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</si>
  <si>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</si>
  <si>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</si>
  <si>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</si>
  <si>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</si>
  <si>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</si>
  <si>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</si>
  <si>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</si>
  <si>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</si>
  <si>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</si>
  <si>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</si>
  <si>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</si>
  <si>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</si>
  <si>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</si>
  <si>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</si>
  <si>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</si>
  <si>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</si>
  <si>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</si>
  <si>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</si>
  <si>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</si>
  <si>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</si>
  <si>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</si>
  <si>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</si>
  <si>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</si>
  <si>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</si>
  <si>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</si>
  <si>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</si>
  <si>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</si>
  <si>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</si>
  <si>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</si>
  <si>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</si>
  <si>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</si>
  <si>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</si>
  <si>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</si>
  <si>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</si>
  <si>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</si>
  <si>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</si>
  <si>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</si>
  <si>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</si>
  <si>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</si>
  <si>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</si>
  <si>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</si>
  <si>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</si>
  <si>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</si>
  <si>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</si>
  <si>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</si>
  <si>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</si>
  <si>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</si>
  <si>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</si>
  <si>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</si>
  <si>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</si>
  <si>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</si>
  <si>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</si>
  <si>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</si>
  <si>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</si>
  <si>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</si>
  <si>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</si>
  <si>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</si>
  <si>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</si>
  <si>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</si>
  <si>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</si>
  <si>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</si>
  <si>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</si>
  <si>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</si>
  <si>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</si>
  <si>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</si>
  <si>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</si>
  <si>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</si>
  <si>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</si>
  <si>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</si>
  <si>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</si>
  <si>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</si>
  <si>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</si>
  <si>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</si>
  <si>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</si>
  <si>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</si>
  <si>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</si>
  <si>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</si>
  <si>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</si>
  <si>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</si>
  <si>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</si>
  <si>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</si>
  <si>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</si>
  <si>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</si>
  <si>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</si>
  <si>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</si>
  <si>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</si>
  <si>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</si>
  <si>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</si>
  <si>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</si>
  <si>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</si>
  <si>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</si>
  <si>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</si>
  <si>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</si>
  <si>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</si>
  <si>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</si>
  <si>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</si>
  <si>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</si>
  <si>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</si>
  <si>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</si>
  <si>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</si>
  <si>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</si>
  <si>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</si>
  <si>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</si>
  <si>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</si>
  <si>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</si>
  <si>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</si>
  <si>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</si>
  <si>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</si>
  <si>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</si>
  <si>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</si>
  <si>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</si>
  <si>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</si>
  <si>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</si>
  <si>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</si>
  <si>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</si>
  <si>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</si>
  <si>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</si>
  <si>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</si>
  <si>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</si>
  <si>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</si>
  <si>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</si>
  <si>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</si>
  <si>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</si>
  <si>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</si>
  <si>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</si>
  <si>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</si>
  <si>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</si>
  <si>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</si>
  <si>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</si>
  <si>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</si>
  <si>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</si>
  <si>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</si>
  <si>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</si>
  <si>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</si>
  <si>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</si>
  <si>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</si>
  <si>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</si>
  <si>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</si>
  <si>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</si>
  <si>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</si>
  <si>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</si>
  <si>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</si>
  <si>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</si>
  <si>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</si>
  <si>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</si>
  <si>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</si>
  <si>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</si>
  <si>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</si>
  <si>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</si>
  <si>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</si>
  <si>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</si>
  <si>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</si>
  <si>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</si>
  <si>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</si>
  <si>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</si>
  <si>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</si>
  <si>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</si>
  <si>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</si>
  <si>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</si>
  <si>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</si>
  <si>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</si>
  <si>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</si>
  <si>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</si>
  <si>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</si>
  <si>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</si>
  <si>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</si>
  <si>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</si>
  <si>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</si>
  <si>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</si>
  <si>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</si>
  <si>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</si>
  <si>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</si>
  <si>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</si>
  <si>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</si>
  <si>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</si>
  <si>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</si>
  <si>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</si>
  <si>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</si>
  <si>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</si>
  <si>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</si>
  <si>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</si>
  <si>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</si>
  <si>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</si>
  <si>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</si>
  <si>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</si>
  <si>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</si>
  <si>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</si>
  <si>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</si>
  <si>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</si>
  <si>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</si>
  <si>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</si>
  <si>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</si>
  <si>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</si>
  <si>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</si>
  <si>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</si>
  <si>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</si>
  <si>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</si>
  <si>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</si>
  <si>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</si>
  <si>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</si>
  <si>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</si>
  <si>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</si>
  <si>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</si>
  <si>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</si>
  <si>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</si>
  <si>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</si>
  <si>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</si>
  <si>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</si>
  <si>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</si>
  <si>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</si>
  <si>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</si>
  <si>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</si>
  <si>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</si>
  <si>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</si>
  <si>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</si>
  <si>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</si>
  <si>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</si>
  <si>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</si>
  <si>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</si>
  <si>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</si>
  <si>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</si>
  <si>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</si>
  <si>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</si>
  <si>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</si>
  <si>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</si>
  <si>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</si>
  <si>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</si>
  <si>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</si>
  <si>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</si>
  <si>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</si>
  <si>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</si>
  <si>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</si>
  <si>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</si>
  <si>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</si>
  <si>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</si>
  <si>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</si>
  <si>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</si>
  <si>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</si>
  <si>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</si>
  <si>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</si>
  <si>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</si>
  <si>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</si>
  <si>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</si>
  <si>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</si>
  <si>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</si>
  <si>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</si>
  <si>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</si>
  <si>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</si>
  <si>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</si>
  <si>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</si>
  <si>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</si>
  <si>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</si>
  <si>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</si>
  <si>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</si>
  <si>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</si>
  <si>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</si>
  <si>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</si>
  <si>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</si>
  <si>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</si>
  <si>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</si>
  <si>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</si>
  <si>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</si>
  <si>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</si>
  <si>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</si>
  <si>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</si>
  <si>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</si>
  <si>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</si>
  <si>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</si>
  <si>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</si>
  <si>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</si>
  <si>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</si>
  <si>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</si>
  <si>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</si>
  <si>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</si>
  <si>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</si>
  <si>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</si>
  <si>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</si>
  <si>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</si>
  <si>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</si>
  <si>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</si>
  <si>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</si>
  <si>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</si>
  <si>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</si>
  <si>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</si>
  <si>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</si>
  <si>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</si>
  <si>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</si>
  <si>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</si>
  <si>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</si>
  <si>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</si>
  <si>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</si>
  <si>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</si>
  <si>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</si>
  <si>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</si>
  <si>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</si>
  <si>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</si>
  <si>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</si>
  <si>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</si>
  <si>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</si>
  <si>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</si>
  <si>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</si>
  <si>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</si>
  <si>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</si>
  <si>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</si>
  <si>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</si>
  <si>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</si>
  <si>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</si>
  <si>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</si>
  <si>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</si>
  <si>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</si>
  <si>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</si>
  <si>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</si>
  <si>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</si>
  <si>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</si>
  <si>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</si>
  <si>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</si>
  <si>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</si>
  <si>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</si>
  <si>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</si>
  <si>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</si>
  <si>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</si>
  <si>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</si>
  <si>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</si>
  <si>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</si>
  <si>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</si>
  <si>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</si>
  <si>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</si>
  <si>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</si>
  <si>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</si>
  <si>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</si>
  <si>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</si>
  <si>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</si>
  <si>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</si>
  <si>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</si>
  <si>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</si>
  <si>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</si>
  <si>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</si>
  <si>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</si>
  <si>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</si>
  <si>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</si>
  <si>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</si>
  <si>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</si>
  <si>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</si>
  <si>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</si>
  <si>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</si>
  <si>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</si>
  <si>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</si>
  <si>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</si>
  <si>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</si>
  <si>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</si>
  <si>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</si>
  <si>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</si>
  <si>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</si>
  <si>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</si>
  <si>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</si>
  <si>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</si>
  <si>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</si>
  <si>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</si>
  <si>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</si>
  <si>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</si>
  <si>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</si>
  <si>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</si>
  <si>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</si>
  <si>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</si>
  <si>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</si>
  <si>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</si>
  <si>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</si>
  <si>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</si>
  <si>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</si>
  <si>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</si>
  <si>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</si>
  <si>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</si>
  <si>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</si>
  <si>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</si>
  <si>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</si>
  <si>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</si>
  <si>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</si>
  <si>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</si>
  <si>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</si>
  <si>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</si>
  <si>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</si>
  <si>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</si>
  <si>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</si>
  <si>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</si>
  <si>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</si>
  <si>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</si>
  <si>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</si>
  <si>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</si>
  <si>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</si>
  <si>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</si>
  <si>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</si>
  <si>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</si>
  <si>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</si>
  <si>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</si>
  <si>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</si>
  <si>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</si>
  <si>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</si>
  <si>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</si>
  <si>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</si>
  <si>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</si>
  <si>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</si>
  <si>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</si>
  <si>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</si>
  <si>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</si>
  <si>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</si>
  <si>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</si>
  <si>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</si>
  <si>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</si>
  <si>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</si>
  <si>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</si>
  <si>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</si>
  <si>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</si>
  <si>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</si>
  <si>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</si>
  <si>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</si>
  <si>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</si>
  <si>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</si>
  <si>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</si>
  <si>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</si>
  <si>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</si>
  <si>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</si>
  <si>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</si>
  <si>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</si>
  <si>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</si>
  <si>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</si>
  <si>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</si>
  <si>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</si>
  <si>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</si>
  <si>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</si>
  <si>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</si>
  <si>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</si>
  <si>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</si>
  <si>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</si>
  <si>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</si>
  <si>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</si>
  <si>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</si>
  <si>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</si>
  <si>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</si>
  <si>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</si>
  <si>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</si>
  <si>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</si>
  <si>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</si>
  <si>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</si>
  <si>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</si>
  <si>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</si>
  <si>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</si>
  <si>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</si>
  <si>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</si>
  <si>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</si>
  <si>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</si>
  <si>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</si>
  <si>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</si>
  <si>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</si>
  <si>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</si>
  <si>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</si>
  <si>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</si>
  <si>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</si>
  <si>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</si>
  <si>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</si>
  <si>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</si>
  <si>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</si>
  <si>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</si>
  <si>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</si>
  <si>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</si>
  <si>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</si>
  <si>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</si>
  <si>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</si>
  <si>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</si>
  <si>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</si>
  <si>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</si>
  <si>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</si>
  <si>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</si>
  <si>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</si>
  <si>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</si>
  <si>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</si>
  <si>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</si>
  <si>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</si>
  <si>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</si>
  <si>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</si>
  <si>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</si>
  <si>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</si>
  <si>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</si>
  <si>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</si>
  <si>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</si>
  <si>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</si>
  <si>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</si>
  <si>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</si>
  <si>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</si>
  <si>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</si>
  <si>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</si>
  <si>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</si>
  <si>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</si>
  <si>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</si>
  <si>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</si>
  <si>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</si>
  <si>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</si>
  <si>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</si>
  <si>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</si>
  <si>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</si>
  <si>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</si>
  <si>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</si>
  <si>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</si>
  <si>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</si>
  <si>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</si>
  <si>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</si>
  <si>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</si>
  <si>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</si>
  <si>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</si>
  <si>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</si>
  <si>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</si>
  <si>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</si>
  <si>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</si>
  <si>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</si>
  <si>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</si>
  <si>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</si>
  <si>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</si>
  <si>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</si>
  <si>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</si>
  <si>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</si>
  <si>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</si>
  <si>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</si>
  <si>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</si>
  <si>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</si>
  <si>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</si>
  <si>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</si>
  <si>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</si>
  <si>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</si>
  <si>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</si>
  <si>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</si>
  <si>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</si>
  <si>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</si>
  <si>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</si>
  <si>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</si>
  <si>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</si>
  <si>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</si>
  <si>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</si>
  <si>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</si>
  <si>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</si>
  <si>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</si>
  <si>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</si>
  <si>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</si>
  <si>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</si>
  <si>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</si>
  <si>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</si>
  <si>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</si>
  <si>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</si>
  <si>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</si>
  <si>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</si>
  <si>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</si>
  <si>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</si>
  <si>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</si>
  <si>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</si>
  <si>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</si>
  <si>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</si>
  <si>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</si>
  <si>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</si>
  <si>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</si>
  <si>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</si>
  <si>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</si>
  <si>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</si>
  <si>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</si>
  <si>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</si>
  <si>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</si>
  <si>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RANDOLPH</t>
  </si>
  <si>
    <t>701 SOUTH SPARTA STREET</t>
  </si>
  <si>
    <t>STEELEVILLE</t>
  </si>
  <si>
    <t>smulholl@steeleville138.org</t>
  </si>
  <si>
    <t>X</t>
  </si>
  <si>
    <t>DR. STEPHANIE L. MULHOLLAND</t>
  </si>
  <si>
    <t>618-965-3432</t>
  </si>
  <si>
    <t>618-965-3433</t>
  </si>
  <si>
    <t>SCHEFFEL BOYLE</t>
  </si>
  <si>
    <t>KEITH G. BRINKMANN, CPA</t>
  </si>
  <si>
    <t>7 HILL CASTLE LANE</t>
  </si>
  <si>
    <t>COLUMBIA</t>
  </si>
  <si>
    <t>IL</t>
  </si>
  <si>
    <t>618-281-7605</t>
  </si>
  <si>
    <t>618-281-6630</t>
  </si>
  <si>
    <t>065-014460</t>
  </si>
  <si>
    <t>keith.brinkmann@scheffelboyle.com</t>
  </si>
  <si>
    <t>KELTON DAVIS</t>
  </si>
  <si>
    <t>keltondavis@roe45.org</t>
  </si>
  <si>
    <t>618-939-6560</t>
  </si>
  <si>
    <t>618-939-5332</t>
  </si>
  <si>
    <t>General Obligation School Bonds, Series 2015</t>
  </si>
  <si>
    <t>General Obligation Limited School Bonds, Series 2011</t>
  </si>
  <si>
    <t>Page #</t>
  </si>
  <si>
    <t>Southern IL University - Carbondale</t>
  </si>
  <si>
    <t xml:space="preserve">Perandoe Special Education District </t>
  </si>
  <si>
    <t>Alternate Revenue Bonds</t>
  </si>
  <si>
    <t>Athletic events receipts</t>
  </si>
  <si>
    <t>School plus program</t>
  </si>
  <si>
    <t>Other high school education fees</t>
  </si>
  <si>
    <t>Other grade school education fees</t>
  </si>
  <si>
    <t>Grade school art fees</t>
  </si>
  <si>
    <t>High school art fees</t>
  </si>
  <si>
    <t>Miscellaneous reimbursements &amp; receipts</t>
  </si>
  <si>
    <t>Donations</t>
  </si>
  <si>
    <t>Proceeds on sale of equipment</t>
  </si>
  <si>
    <t>Rural Education Acheivement Program Grant</t>
  </si>
  <si>
    <t>Technology consultant</t>
  </si>
  <si>
    <t>Technology supplies</t>
  </si>
  <si>
    <t>Technology equipment</t>
  </si>
  <si>
    <t>Bond agent fees</t>
  </si>
  <si>
    <t>------</t>
  </si>
  <si>
    <t>Mobile home privilege tax</t>
  </si>
  <si>
    <t>School Facility Occupation Taxes</t>
  </si>
  <si>
    <t>AJD Consulting Services</t>
  </si>
  <si>
    <t>Da-Com Corporation</t>
  </si>
  <si>
    <t>PowerSchool Group LLC</t>
  </si>
  <si>
    <t>Quality Network Solutions</t>
  </si>
  <si>
    <t>Southwestern Illinois Bus Co.</t>
  </si>
  <si>
    <t>Tech Electronics</t>
  </si>
  <si>
    <t>Terminix International</t>
  </si>
  <si>
    <t>Scheffel Boyle</t>
  </si>
  <si>
    <t>ED-Support Svcs - General Admin. - Purchased Svcs</t>
  </si>
  <si>
    <t>10-2300-300</t>
  </si>
  <si>
    <t>ED-Instruction-Purchased Svcs</t>
  </si>
  <si>
    <t>ED-Support Svcs School Admin. - Purchased Svcs</t>
  </si>
  <si>
    <t>ED-Support Svcs School Admin. - Supplies &amp; Materials</t>
  </si>
  <si>
    <t>ED-Fiscal Services-Purchased Svcs - Purchased Svcs</t>
  </si>
  <si>
    <t>ED-Food Svcs-Supplies &amp; Materials</t>
  </si>
  <si>
    <t>ED-Support Svcs Pupil - Purchased Svcs</t>
  </si>
  <si>
    <t>ED-Pupil Transportation Svcs-Purchased Svcs</t>
  </si>
  <si>
    <t>O&amp;M-O&amp;M of Plant Svcs - Purchased Svcs</t>
  </si>
  <si>
    <t>10-1000-300</t>
  </si>
  <si>
    <t>10-2400-300</t>
  </si>
  <si>
    <t>10-2400-400</t>
  </si>
  <si>
    <t>10-2520-300</t>
  </si>
  <si>
    <t>10-2560-400</t>
  </si>
  <si>
    <t>10-2100-300</t>
  </si>
  <si>
    <t>10-2550-300</t>
  </si>
  <si>
    <t>20-2540-300</t>
  </si>
  <si>
    <t>STEELEVILLE CUSD 138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</si>
</sst>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78" xfId="0" applyFont="1" applyBorder="1" applyAlignment="1">
      <alignment horizontal="center"/>
    </xf>
    <xf numFmtId="0" fontId="56" fillId="0" borderId="0" xfId="0" applyFont="1" applyAlignment="1">
      <alignment horizontal="center"/>
    </xf>
    <xf numFmtId="0" fontId="56" fillId="0" borderId="0" xfId="0" applyFont="1" applyFill="1" applyAlignment="1">
      <alignment horizontal="center"/>
    </xf>
    <xf numFmtId="181" fontId="56" fillId="0" borderId="0" xfId="0" applyNumberFormat="1" applyFont="1" applyFill="1"/>
    <xf numFmtId="44" fontId="56" fillId="0" borderId="0" xfId="0" applyNumberFormat="1" applyFont="1" applyFill="1"/>
    <xf numFmtId="0" fontId="56" fillId="0" borderId="0" xfId="0" applyFont="1" applyFill="1" applyAlignment="1">
      <alignment horizontal="left"/>
    </xf>
    <xf numFmtId="164" fontId="56" fillId="0" borderId="0" xfId="0" applyNumberFormat="1" applyFont="1" applyFill="1"/>
    <xf numFmtId="182" fontId="56" fillId="0" borderId="0" xfId="1" applyNumberFormat="1" applyFont="1" applyFill="1"/>
    <xf numFmtId="182" fontId="138" fillId="0" borderId="0" xfId="1" applyNumberFormat="1" applyFont="1" applyFill="1" applyBorder="1"/>
    <xf numFmtId="181" fontId="139" fillId="0" borderId="0" xfId="0" applyNumberFormat="1" applyFont="1" applyFill="1" applyBorder="1"/>
    <xf numFmtId="44" fontId="56" fillId="0" borderId="0" xfId="0" applyNumberFormat="1" applyFont="1" applyFill="1" applyBorder="1"/>
    <xf numFmtId="182" fontId="138" fillId="0" borderId="0" xfId="1" applyNumberFormat="1" applyFont="1" applyFill="1"/>
    <xf numFmtId="181" fontId="139" fillId="0" borderId="0" xfId="19" applyNumberFormat="1" applyFont="1" applyFill="1"/>
    <xf numFmtId="181" fontId="56" fillId="0" borderId="0" xfId="19" applyNumberFormat="1" applyFont="1" applyFill="1"/>
    <xf numFmtId="0" fontId="56" fillId="0" borderId="0" xfId="0" quotePrefix="1" applyFont="1" applyAlignment="1">
      <alignment horizontal="center"/>
    </xf>
    <xf numFmtId="181" fontId="56" fillId="0" borderId="0" xfId="19" applyNumberFormat="1" applyFont="1"/>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857250</xdr:colOff>
          <xdr:row>5</xdr:row>
          <xdr:rowOff>47625</xdr:rowOff>
        </xdr:from>
        <xdr:to>
          <xdr:col>1</xdr:col>
          <xdr:colOff>1771650</xdr:colOff>
          <xdr:row>9</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0" t="s">
        <v>405</v>
      </c>
      <c r="J1" s="2031"/>
      <c r="K1" s="2031"/>
      <c r="L1" s="2031"/>
      <c r="M1" s="2031"/>
      <c r="N1" s="2031"/>
      <c r="O1" s="2031"/>
      <c r="P1" s="2031"/>
      <c r="Q1" s="2031"/>
      <c r="R1" s="2031"/>
      <c r="S1" s="2031"/>
    </row>
    <row r="2" spans="1:28" ht="12" customHeight="1" x14ac:dyDescent="0.2">
      <c r="A2" s="47" t="s">
        <v>1993</v>
      </c>
      <c r="D2" s="48"/>
      <c r="I2" s="2032" t="s">
        <v>979</v>
      </c>
      <c r="J2" s="2031"/>
      <c r="K2" s="2031"/>
      <c r="L2" s="2031"/>
      <c r="M2" s="2031"/>
      <c r="N2" s="2031"/>
      <c r="O2" s="2031"/>
      <c r="P2" s="2031"/>
      <c r="Q2" s="2031"/>
      <c r="R2" s="2031"/>
      <c r="S2" s="2031"/>
    </row>
    <row r="3" spans="1:28" ht="12" customHeight="1" x14ac:dyDescent="0.2">
      <c r="A3" s="155" t="s">
        <v>1945</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2068</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t="s">
        <v>2068</v>
      </c>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0">
        <v>45079138026</v>
      </c>
      <c r="B13" s="2001"/>
      <c r="C13" s="2001"/>
      <c r="D13" s="2001"/>
      <c r="E13" s="2001"/>
      <c r="F13" s="2001"/>
      <c r="G13" s="2001"/>
      <c r="H13" s="2002"/>
      <c r="I13" s="31"/>
      <c r="J13" s="30"/>
      <c r="K13" s="28"/>
      <c r="L13" s="30"/>
      <c r="M13" s="30"/>
      <c r="N13" s="30"/>
      <c r="O13" s="30"/>
      <c r="P13" s="30"/>
      <c r="Q13" s="30"/>
      <c r="R13" s="30"/>
      <c r="S13" s="30"/>
      <c r="T13" s="2005" t="s">
        <v>2072</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2064</v>
      </c>
      <c r="B15" s="2003"/>
      <c r="C15" s="2003"/>
      <c r="D15" s="2003"/>
      <c r="E15" s="2003"/>
      <c r="F15" s="2003"/>
      <c r="G15" s="2003"/>
      <c r="H15" s="2004"/>
      <c r="T15" s="1966" t="s">
        <v>2073</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2134</v>
      </c>
      <c r="B17" s="2028"/>
      <c r="C17" s="2028"/>
      <c r="D17" s="2028"/>
      <c r="E17" s="2028"/>
      <c r="F17" s="2028"/>
      <c r="G17" s="2028"/>
      <c r="H17" s="2029"/>
      <c r="T17" s="2015" t="s">
        <v>2074</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2065</v>
      </c>
      <c r="B19" s="1999"/>
      <c r="C19" s="1999"/>
      <c r="D19" s="1999"/>
      <c r="E19" s="1999"/>
      <c r="F19" s="1999"/>
      <c r="G19" s="1999"/>
      <c r="H19" s="1997"/>
      <c r="I19" s="30"/>
      <c r="J19" s="99"/>
      <c r="K19" s="40"/>
      <c r="L19" s="38"/>
      <c r="M19" s="112" t="s">
        <v>315</v>
      </c>
      <c r="P19" s="27"/>
      <c r="Q19" s="27"/>
      <c r="R19" s="27"/>
      <c r="S19" s="31"/>
      <c r="T19" s="1998" t="s">
        <v>2075</v>
      </c>
      <c r="U19" s="1996"/>
      <c r="V19" s="1996"/>
      <c r="W19" s="1997"/>
      <c r="X19" s="2013" t="s">
        <v>2076</v>
      </c>
      <c r="Y19" s="2014"/>
      <c r="Z19" s="2011">
        <v>62236</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2066</v>
      </c>
      <c r="B21" s="1996"/>
      <c r="C21" s="1996"/>
      <c r="D21" s="1996"/>
      <c r="E21" s="1996"/>
      <c r="F21" s="1996"/>
      <c r="G21" s="1996"/>
      <c r="H21" s="1997"/>
      <c r="I21" s="2021" t="s">
        <v>678</v>
      </c>
      <c r="J21" s="1984"/>
      <c r="K21" s="1984"/>
      <c r="L21" s="1984"/>
      <c r="M21" s="1984"/>
      <c r="N21" s="1984"/>
      <c r="O21" s="1984"/>
      <c r="P21" s="1984"/>
      <c r="Q21" s="1984"/>
      <c r="R21" s="1984"/>
      <c r="S21" s="1985"/>
      <c r="T21" s="1963" t="s">
        <v>2077</v>
      </c>
      <c r="U21" s="1964"/>
      <c r="V21" s="1964"/>
      <c r="W21" s="1964"/>
      <c r="X21" s="1977" t="s">
        <v>2078</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2067</v>
      </c>
      <c r="B23" s="2019"/>
      <c r="C23" s="2019"/>
      <c r="D23" s="2019"/>
      <c r="E23" s="2019"/>
      <c r="F23" s="2019"/>
      <c r="G23" s="2019"/>
      <c r="H23" s="2020"/>
      <c r="T23" s="1958" t="s">
        <v>2079</v>
      </c>
      <c r="U23" s="1959"/>
      <c r="V23" s="1959"/>
      <c r="W23" s="1959"/>
      <c r="X23" s="1974">
        <v>44469</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62288</v>
      </c>
      <c r="B25" s="1996"/>
      <c r="C25" s="1996"/>
      <c r="D25" s="1996"/>
      <c r="E25" s="1996"/>
      <c r="F25" s="1996"/>
      <c r="G25" s="1996"/>
      <c r="H25" s="1997"/>
      <c r="I25" s="113"/>
      <c r="J25" s="2062"/>
      <c r="K25" s="2062"/>
      <c r="L25" s="2062"/>
      <c r="M25" s="2062"/>
      <c r="N25" s="2062"/>
      <c r="O25" s="2062"/>
      <c r="P25" s="2062"/>
      <c r="Q25" s="2062"/>
      <c r="R25" s="2062"/>
      <c r="S25" s="2063"/>
      <c r="T25" s="1955" t="s">
        <v>2080</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2069</v>
      </c>
      <c r="B38" s="2028"/>
      <c r="C38" s="2028"/>
      <c r="D38" s="2028"/>
      <c r="E38" s="2028"/>
      <c r="F38" s="1996"/>
      <c r="G38" s="1996"/>
      <c r="H38" s="1997"/>
      <c r="I38" s="2047"/>
      <c r="J38" s="1967"/>
      <c r="K38" s="1967"/>
      <c r="L38" s="1967"/>
      <c r="M38" s="1967"/>
      <c r="N38" s="1967"/>
      <c r="O38" s="1967"/>
      <c r="P38" s="1968"/>
      <c r="Q38" s="1968"/>
      <c r="R38" s="1968"/>
      <c r="S38" s="1969"/>
      <c r="T38" s="1966" t="s">
        <v>2081</v>
      </c>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2067</v>
      </c>
      <c r="B40" s="2055"/>
      <c r="C40" s="2056"/>
      <c r="D40" s="2056"/>
      <c r="E40" s="2056"/>
      <c r="F40" s="2057"/>
      <c r="G40" s="2057"/>
      <c r="H40" s="2058"/>
      <c r="I40" s="1970"/>
      <c r="J40" s="1972"/>
      <c r="K40" s="1972"/>
      <c r="L40" s="1972"/>
      <c r="M40" s="1972"/>
      <c r="N40" s="1972"/>
      <c r="O40" s="1972"/>
      <c r="P40" s="1972"/>
      <c r="Q40" s="1972"/>
      <c r="R40" s="1972"/>
      <c r="S40" s="1973"/>
      <c r="T40" s="1970" t="s">
        <v>2082</v>
      </c>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t="s">
        <v>2070</v>
      </c>
      <c r="B42" s="2045"/>
      <c r="C42" s="2046"/>
      <c r="D42" s="2059" t="s">
        <v>2071</v>
      </c>
      <c r="E42" s="2045"/>
      <c r="F42" s="2045"/>
      <c r="G42" s="2045"/>
      <c r="H42" s="2046"/>
      <c r="I42" s="1965"/>
      <c r="J42" s="1961"/>
      <c r="K42" s="1961"/>
      <c r="L42" s="1961"/>
      <c r="M42" s="1961"/>
      <c r="N42" s="1961"/>
      <c r="O42" s="1962"/>
      <c r="P42" s="1960"/>
      <c r="Q42" s="1961"/>
      <c r="R42" s="1961"/>
      <c r="S42" s="1962"/>
      <c r="T42" s="1965" t="s">
        <v>2083</v>
      </c>
      <c r="U42" s="1961"/>
      <c r="V42" s="1961"/>
      <c r="W42" s="1962"/>
      <c r="X42" s="1960" t="s">
        <v>2084</v>
      </c>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7" t="s">
        <v>1802</v>
      </c>
      <c r="B2" s="1527" t="s">
        <v>1951</v>
      </c>
      <c r="C2" s="714" t="s">
        <v>1952</v>
      </c>
      <c r="D2" s="714" t="s">
        <v>1953</v>
      </c>
      <c r="E2" s="714" t="s">
        <v>1954</v>
      </c>
      <c r="F2" s="714" t="s">
        <v>1955</v>
      </c>
    </row>
    <row r="3" spans="1:6" ht="12" customHeight="1" x14ac:dyDescent="0.2">
      <c r="A3" s="2198"/>
      <c r="B3" s="1524"/>
      <c r="C3" s="1525"/>
      <c r="D3" s="1526" t="s">
        <v>256</v>
      </c>
      <c r="E3" s="1525"/>
      <c r="F3" s="1526" t="s">
        <v>257</v>
      </c>
    </row>
    <row r="4" spans="1:6" ht="13.7" customHeight="1" x14ac:dyDescent="0.2">
      <c r="A4" s="715" t="s">
        <v>1155</v>
      </c>
      <c r="B4" s="1748">
        <f>'Revenues 9-14'!C5</f>
        <v>1003847</v>
      </c>
      <c r="C4" s="1523"/>
      <c r="D4" s="1751">
        <f>B4-C4</f>
        <v>1003847</v>
      </c>
      <c r="E4" s="1523">
        <v>1039087</v>
      </c>
      <c r="F4" s="1751">
        <f>E4-C4</f>
        <v>1039087</v>
      </c>
    </row>
    <row r="5" spans="1:6" ht="13.7" customHeight="1" x14ac:dyDescent="0.2">
      <c r="A5" s="715" t="s">
        <v>870</v>
      </c>
      <c r="B5" s="1749">
        <f>'Revenues 9-14'!D5</f>
        <v>188260</v>
      </c>
      <c r="C5" s="585"/>
      <c r="D5" s="1752">
        <f t="shared" ref="D5:D18" si="0">B5-C5</f>
        <v>188260</v>
      </c>
      <c r="E5" s="585">
        <v>194873</v>
      </c>
      <c r="F5" s="1752">
        <f>E5-C5</f>
        <v>194873</v>
      </c>
    </row>
    <row r="6" spans="1:6" ht="13.7" customHeight="1" x14ac:dyDescent="0.2">
      <c r="A6" s="715" t="s">
        <v>411</v>
      </c>
      <c r="B6" s="1749">
        <f>'Revenues 9-14'!E5</f>
        <v>99567</v>
      </c>
      <c r="C6" s="585"/>
      <c r="D6" s="1752">
        <f t="shared" si="0"/>
        <v>99567</v>
      </c>
      <c r="E6" s="585">
        <v>90996</v>
      </c>
      <c r="F6" s="1752">
        <f t="shared" ref="F6:F18" si="1">E6-C6</f>
        <v>90996</v>
      </c>
    </row>
    <row r="7" spans="1:6" ht="13.7" customHeight="1" x14ac:dyDescent="0.2">
      <c r="A7" s="715" t="s">
        <v>155</v>
      </c>
      <c r="B7" s="1749">
        <f>'Revenues 9-14'!F5</f>
        <v>119513</v>
      </c>
      <c r="C7" s="585"/>
      <c r="D7" s="1752">
        <f t="shared" si="0"/>
        <v>119513</v>
      </c>
      <c r="E7" s="585">
        <v>102508</v>
      </c>
      <c r="F7" s="1752">
        <f t="shared" si="1"/>
        <v>102508</v>
      </c>
    </row>
    <row r="8" spans="1:6" ht="13.7" customHeight="1" x14ac:dyDescent="0.2">
      <c r="A8" s="715" t="s">
        <v>1179</v>
      </c>
      <c r="B8" s="1749">
        <f>'Revenues 9-14'!G5</f>
        <v>63539</v>
      </c>
      <c r="C8" s="585"/>
      <c r="D8" s="1752">
        <f t="shared" si="0"/>
        <v>63539</v>
      </c>
      <c r="E8" s="585">
        <v>86979</v>
      </c>
      <c r="F8" s="1752">
        <f t="shared" si="1"/>
        <v>86979</v>
      </c>
    </row>
    <row r="9" spans="1:6" ht="13.7" customHeight="1" x14ac:dyDescent="0.2">
      <c r="A9" s="715" t="s">
        <v>408</v>
      </c>
      <c r="B9" s="1749">
        <f>'Revenues 9-14'!H5</f>
        <v>0</v>
      </c>
      <c r="C9" s="585"/>
      <c r="D9" s="1752">
        <f t="shared" si="0"/>
        <v>0</v>
      </c>
      <c r="E9" s="585">
        <v>0</v>
      </c>
      <c r="F9" s="1752">
        <f t="shared" si="1"/>
        <v>0</v>
      </c>
    </row>
    <row r="10" spans="1:6" ht="13.7" customHeight="1" x14ac:dyDescent="0.2">
      <c r="A10" s="715" t="s">
        <v>407</v>
      </c>
      <c r="B10" s="1749">
        <f>'Revenues 9-14'!I5</f>
        <v>12944</v>
      </c>
      <c r="C10" s="585"/>
      <c r="D10" s="1752">
        <f t="shared" si="0"/>
        <v>12944</v>
      </c>
      <c r="E10" s="585">
        <v>13402</v>
      </c>
      <c r="F10" s="1752">
        <f t="shared" si="1"/>
        <v>13402</v>
      </c>
    </row>
    <row r="11" spans="1:6" x14ac:dyDescent="0.2">
      <c r="A11" s="715" t="s">
        <v>409</v>
      </c>
      <c r="B11" s="1749">
        <f>'Revenues 9-14'!J5</f>
        <v>23870</v>
      </c>
      <c r="C11" s="585"/>
      <c r="D11" s="1752">
        <f t="shared" si="0"/>
        <v>23870</v>
      </c>
      <c r="E11" s="585">
        <v>24710</v>
      </c>
      <c r="F11" s="1752">
        <f t="shared" si="1"/>
        <v>24710</v>
      </c>
    </row>
    <row r="12" spans="1:6" ht="13.7" customHeight="1" x14ac:dyDescent="0.2">
      <c r="A12" s="715" t="s">
        <v>157</v>
      </c>
      <c r="B12" s="1749">
        <f>'Revenues 9-14'!K5</f>
        <v>10342</v>
      </c>
      <c r="C12" s="585"/>
      <c r="D12" s="1752">
        <f t="shared" si="0"/>
        <v>10342</v>
      </c>
      <c r="E12" s="585">
        <v>10709</v>
      </c>
      <c r="F12" s="1752">
        <f t="shared" si="1"/>
        <v>10709</v>
      </c>
    </row>
    <row r="13" spans="1:6" ht="13.7" customHeight="1" x14ac:dyDescent="0.2">
      <c r="A13" s="715" t="s">
        <v>936</v>
      </c>
      <c r="B13" s="1749">
        <f>SUM('Revenues 9-14'!C6:D6)</f>
        <v>0</v>
      </c>
      <c r="C13" s="585"/>
      <c r="D13" s="1752">
        <f t="shared" si="0"/>
        <v>0</v>
      </c>
      <c r="E13" s="585">
        <v>0</v>
      </c>
      <c r="F13" s="1752">
        <f t="shared" si="1"/>
        <v>0</v>
      </c>
    </row>
    <row r="14" spans="1:6" ht="13.7" customHeight="1" x14ac:dyDescent="0.2">
      <c r="A14" s="715" t="s">
        <v>410</v>
      </c>
      <c r="B14" s="1749">
        <f>SUM('Revenues 9-14'!C7:D7,'Revenues 9-14'!F7:H7)</f>
        <v>23813</v>
      </c>
      <c r="C14" s="585"/>
      <c r="D14" s="1752">
        <f t="shared" si="0"/>
        <v>23813</v>
      </c>
      <c r="E14" s="585">
        <v>24281</v>
      </c>
      <c r="F14" s="1752">
        <f t="shared" si="1"/>
        <v>24281</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48528</v>
      </c>
      <c r="C16" s="585"/>
      <c r="D16" s="1752">
        <f t="shared" si="0"/>
        <v>48528</v>
      </c>
      <c r="E16" s="585">
        <v>50236</v>
      </c>
      <c r="F16" s="1752">
        <f t="shared" si="1"/>
        <v>50236</v>
      </c>
    </row>
    <row r="17" spans="1:6" ht="13.7" customHeight="1" x14ac:dyDescent="0.2">
      <c r="A17" s="715" t="s">
        <v>1160</v>
      </c>
      <c r="B17" s="1749">
        <f>'Revenues 9-14'!C10</f>
        <v>0</v>
      </c>
      <c r="C17" s="585"/>
      <c r="D17" s="1752">
        <f t="shared" si="0"/>
        <v>0</v>
      </c>
      <c r="E17" s="585">
        <v>0</v>
      </c>
      <c r="F17" s="1752">
        <f t="shared" si="1"/>
        <v>0</v>
      </c>
    </row>
    <row r="18" spans="1:6" ht="13.7" customHeight="1" x14ac:dyDescent="0.2">
      <c r="A18" s="715" t="s">
        <v>762</v>
      </c>
      <c r="B18" s="1749">
        <f>SUM('Revenues 9-14'!C11:K11)</f>
        <v>0</v>
      </c>
      <c r="C18" s="585"/>
      <c r="D18" s="1752">
        <f t="shared" si="0"/>
        <v>0</v>
      </c>
      <c r="E18" s="585">
        <v>0</v>
      </c>
      <c r="F18" s="1752">
        <f t="shared" si="1"/>
        <v>0</v>
      </c>
    </row>
    <row r="19" spans="1:6" ht="13.7" customHeight="1" thickBot="1" x14ac:dyDescent="0.25">
      <c r="A19" s="1753" t="s">
        <v>1161</v>
      </c>
      <c r="B19" s="1750">
        <f>SUM(B4:B18)</f>
        <v>1594223</v>
      </c>
      <c r="C19" s="1750">
        <f>SUM(C4:C18)</f>
        <v>0</v>
      </c>
      <c r="D19" s="1750">
        <f>SUM(D4:D18)</f>
        <v>1594223</v>
      </c>
      <c r="E19" s="1750">
        <f>SUM(E4:E18)</f>
        <v>1637781</v>
      </c>
      <c r="F19" s="1750">
        <f>SUM(F4:F18)</f>
        <v>1637781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1802</v>
      </c>
      <c r="B2" s="2213"/>
      <c r="C2" s="1883" t="s">
        <v>1956</v>
      </c>
      <c r="D2" s="723" t="s">
        <v>1957</v>
      </c>
      <c r="E2" s="723" t="s">
        <v>1958</v>
      </c>
      <c r="F2" s="1883" t="s">
        <v>1959</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754">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1" t="s">
        <v>631</v>
      </c>
      <c r="B15" s="2202"/>
      <c r="C15" s="1754">
        <f>SUM(C6:C14)</f>
        <v>0</v>
      </c>
      <c r="D15" s="1754">
        <f>SUM(D6:D14)</f>
        <v>0</v>
      </c>
      <c r="E15" s="1754">
        <f>SUM(E6:E14)</f>
        <v>0</v>
      </c>
      <c r="F15" s="1754">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754">
        <f>SUM(C17+D17)-E17</f>
        <v>0</v>
      </c>
    </row>
    <row r="18" spans="1:11" ht="12.75" customHeight="1" thickTop="1" thickBot="1" x14ac:dyDescent="0.25">
      <c r="A18" s="2224" t="s">
        <v>6</v>
      </c>
      <c r="B18" s="2225"/>
      <c r="C18" s="726"/>
      <c r="D18" s="585"/>
      <c r="E18" s="726"/>
      <c r="F18" s="1754">
        <f>SUM(C18+D18)-E18</f>
        <v>0</v>
      </c>
    </row>
    <row r="19" spans="1:11" ht="12.75" customHeight="1" thickTop="1" thickBot="1" x14ac:dyDescent="0.25">
      <c r="A19" s="2224" t="s">
        <v>388</v>
      </c>
      <c r="B19" s="2225"/>
      <c r="C19" s="726"/>
      <c r="D19" s="585"/>
      <c r="E19" s="726"/>
      <c r="F19" s="1754">
        <f>SUM(C19+D19)-E19</f>
        <v>0</v>
      </c>
    </row>
    <row r="20" spans="1:11" ht="12.75" customHeight="1" thickTop="1" thickBot="1" x14ac:dyDescent="0.25">
      <c r="A20" s="2224" t="s">
        <v>448</v>
      </c>
      <c r="B20" s="2225"/>
      <c r="C20" s="726"/>
      <c r="D20" s="585"/>
      <c r="E20" s="726"/>
      <c r="F20" s="1754">
        <f>SUM(C20+D20)-E20</f>
        <v>0</v>
      </c>
    </row>
    <row r="21" spans="1:11" ht="14.25" thickTop="1" thickBot="1" x14ac:dyDescent="0.25">
      <c r="A21" s="2201" t="s">
        <v>632</v>
      </c>
      <c r="B21" s="2202"/>
      <c r="C21" s="1754">
        <f>SUM(C17:C20)</f>
        <v>0</v>
      </c>
      <c r="D21" s="1754">
        <f>SUM(D17:D20)</f>
        <v>0</v>
      </c>
      <c r="E21" s="1754">
        <f>SUM(E17:E20)</f>
        <v>0</v>
      </c>
      <c r="F21" s="1754">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754">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754">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754">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2086</v>
      </c>
      <c r="B31" s="733">
        <v>40603</v>
      </c>
      <c r="C31" s="734">
        <v>680000</v>
      </c>
      <c r="D31" s="735">
        <v>4</v>
      </c>
      <c r="E31" s="734">
        <v>175000</v>
      </c>
      <c r="F31" s="734"/>
      <c r="G31" s="734"/>
      <c r="H31" s="734">
        <v>90000</v>
      </c>
      <c r="I31" s="1755">
        <f>((E31+F31)-H31)+G31</f>
        <v>85000</v>
      </c>
      <c r="J31" s="734">
        <v>21301</v>
      </c>
      <c r="K31" s="736"/>
    </row>
    <row r="32" spans="1:11" ht="12" customHeight="1" x14ac:dyDescent="0.2">
      <c r="A32" s="732" t="s">
        <v>2085</v>
      </c>
      <c r="B32" s="733">
        <v>42307</v>
      </c>
      <c r="C32" s="734">
        <v>2900000</v>
      </c>
      <c r="D32" s="735">
        <v>7</v>
      </c>
      <c r="E32" s="734">
        <v>2595000</v>
      </c>
      <c r="F32" s="734"/>
      <c r="G32" s="734"/>
      <c r="H32" s="734">
        <v>190000</v>
      </c>
      <c r="I32" s="1755">
        <f>((E32+F32)-H32)+G32</f>
        <v>2405000</v>
      </c>
      <c r="J32" s="734">
        <v>2360447</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3580000</v>
      </c>
      <c r="D49" s="745"/>
      <c r="E49" s="1755">
        <f t="shared" ref="E49:J49" si="2">SUM(E31:E48)</f>
        <v>2770000</v>
      </c>
      <c r="F49" s="1755">
        <f t="shared" si="2"/>
        <v>0</v>
      </c>
      <c r="G49" s="1755">
        <f t="shared" si="2"/>
        <v>0</v>
      </c>
      <c r="H49" s="1755">
        <f t="shared" si="2"/>
        <v>280000</v>
      </c>
      <c r="I49" s="1755">
        <f t="shared" si="2"/>
        <v>2490000</v>
      </c>
      <c r="J49" s="1755">
        <f t="shared" si="2"/>
        <v>2381748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t="s">
        <v>2090</v>
      </c>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529"/>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v>433836</v>
      </c>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v>23813</v>
      </c>
      <c r="I5" s="772"/>
      <c r="J5" s="773"/>
      <c r="K5" s="773"/>
    </row>
    <row r="6" spans="1:11" x14ac:dyDescent="0.2">
      <c r="A6" s="774" t="s">
        <v>720</v>
      </c>
      <c r="B6" s="775"/>
      <c r="C6" s="775"/>
      <c r="D6" s="775"/>
      <c r="E6" s="776"/>
      <c r="F6" s="777" t="s">
        <v>849</v>
      </c>
      <c r="G6" s="764"/>
      <c r="H6" s="764"/>
      <c r="I6" s="764"/>
      <c r="J6" s="765">
        <v>5</v>
      </c>
      <c r="K6" s="765"/>
    </row>
    <row r="7" spans="1:11" x14ac:dyDescent="0.2">
      <c r="A7" s="778" t="s">
        <v>246</v>
      </c>
      <c r="B7" s="779"/>
      <c r="C7" s="779"/>
      <c r="D7" s="779"/>
      <c r="E7" s="780"/>
      <c r="F7" s="770" t="s">
        <v>850</v>
      </c>
      <c r="G7" s="767"/>
      <c r="H7" s="767"/>
      <c r="I7" s="767"/>
      <c r="J7" s="781"/>
      <c r="K7" s="765">
        <v>6360</v>
      </c>
    </row>
    <row r="8" spans="1:11" x14ac:dyDescent="0.2">
      <c r="A8" s="778" t="s">
        <v>345</v>
      </c>
      <c r="B8" s="779"/>
      <c r="C8" s="779"/>
      <c r="D8" s="779"/>
      <c r="E8" s="780"/>
      <c r="F8" s="770" t="s">
        <v>851</v>
      </c>
      <c r="G8" s="782"/>
      <c r="H8" s="782"/>
      <c r="I8" s="782"/>
      <c r="J8" s="765">
        <v>296011</v>
      </c>
      <c r="K8" s="769"/>
    </row>
    <row r="9" spans="1:11" x14ac:dyDescent="0.2">
      <c r="A9" s="778" t="s">
        <v>138</v>
      </c>
      <c r="B9" s="779"/>
      <c r="C9" s="779"/>
      <c r="D9" s="779"/>
      <c r="E9" s="780"/>
      <c r="F9" s="777" t="s">
        <v>853</v>
      </c>
      <c r="G9" s="782"/>
      <c r="H9" s="771"/>
      <c r="I9" s="771"/>
      <c r="J9" s="781"/>
      <c r="K9" s="765">
        <v>6855</v>
      </c>
    </row>
    <row r="10" spans="1:11" x14ac:dyDescent="0.2">
      <c r="A10" s="2255" t="s">
        <v>1813</v>
      </c>
      <c r="B10" s="2228"/>
      <c r="C10" s="2228"/>
      <c r="D10" s="2228"/>
      <c r="E10" s="2257"/>
      <c r="F10" s="783" t="s">
        <v>862</v>
      </c>
      <c r="G10" s="782"/>
      <c r="H10" s="784">
        <v>61</v>
      </c>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23874</v>
      </c>
      <c r="I12" s="1757">
        <f>SUM(I5:I11)</f>
        <v>0</v>
      </c>
      <c r="J12" s="1757">
        <f>SUM(J5:J11)</f>
        <v>296016</v>
      </c>
      <c r="K12" s="1757">
        <f>SUM(K5:K11)</f>
        <v>13215</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v>23874</v>
      </c>
      <c r="I14" s="771"/>
      <c r="J14" s="773"/>
      <c r="K14" s="765">
        <v>13215</v>
      </c>
    </row>
    <row r="15" spans="1:11" x14ac:dyDescent="0.2">
      <c r="A15" s="2228" t="s">
        <v>4</v>
      </c>
      <c r="B15" s="2228"/>
      <c r="C15" s="2228"/>
      <c r="D15" s="2228"/>
      <c r="E15" s="2256"/>
      <c r="F15" s="789" t="s">
        <v>855</v>
      </c>
      <c r="G15" s="771"/>
      <c r="H15" s="764"/>
      <c r="I15" s="764"/>
      <c r="J15" s="765">
        <v>152335</v>
      </c>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v>98138</v>
      </c>
      <c r="K18" s="795"/>
    </row>
    <row r="19" spans="1:11" ht="21.75" customHeight="1" x14ac:dyDescent="0.2">
      <c r="A19" s="2263" t="s">
        <v>1809</v>
      </c>
      <c r="B19" s="2263"/>
      <c r="C19" s="2263"/>
      <c r="D19" s="2263"/>
      <c r="E19" s="2264"/>
      <c r="F19" s="789" t="s">
        <v>933</v>
      </c>
      <c r="G19" s="782"/>
      <c r="H19" s="782"/>
      <c r="I19" s="782"/>
      <c r="J19" s="765">
        <v>190000</v>
      </c>
      <c r="K19" s="795"/>
    </row>
    <row r="20" spans="1:11" x14ac:dyDescent="0.2">
      <c r="A20" s="2242" t="s">
        <v>1814</v>
      </c>
      <c r="B20" s="2243"/>
      <c r="C20" s="2243"/>
      <c r="D20" s="2243"/>
      <c r="E20" s="2244"/>
      <c r="F20" s="789" t="s">
        <v>934</v>
      </c>
      <c r="G20" s="782"/>
      <c r="H20" s="782"/>
      <c r="I20" s="782"/>
      <c r="J20" s="765">
        <v>350</v>
      </c>
      <c r="K20" s="795"/>
    </row>
    <row r="21" spans="1:11" ht="13.5" thickBot="1" x14ac:dyDescent="0.25">
      <c r="A21" s="2248" t="s">
        <v>638</v>
      </c>
      <c r="B21" s="2248"/>
      <c r="C21" s="2248"/>
      <c r="D21" s="2248"/>
      <c r="E21" s="2248"/>
      <c r="F21" s="1758"/>
      <c r="G21" s="792"/>
      <c r="H21" s="796"/>
      <c r="I21" s="796"/>
      <c r="J21" s="1759">
        <f>SUM(J18:J20)</f>
        <v>288488</v>
      </c>
      <c r="K21" s="793"/>
    </row>
    <row r="22" spans="1:11" ht="13.5" thickTop="1" x14ac:dyDescent="0.2">
      <c r="A22" s="2228" t="s">
        <v>1815</v>
      </c>
      <c r="B22" s="2228"/>
      <c r="C22" s="2228"/>
      <c r="D22" s="2228"/>
      <c r="E22" s="2256"/>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23874</v>
      </c>
      <c r="I23" s="1757">
        <f>SUM(I14:I16,I21,I22)</f>
        <v>0</v>
      </c>
      <c r="J23" s="1757">
        <f>SUM(J14:J16,J21,J22)</f>
        <v>440823</v>
      </c>
      <c r="K23" s="1757">
        <f>SUM(K14:K16,K21,K22)</f>
        <v>13215</v>
      </c>
    </row>
    <row r="24" spans="1:11" ht="14.25" thickTop="1" thickBot="1" x14ac:dyDescent="0.25">
      <c r="A24" s="2249" t="s">
        <v>1965</v>
      </c>
      <c r="B24" s="2248"/>
      <c r="C24" s="2248"/>
      <c r="D24" s="2248"/>
      <c r="E24" s="2248"/>
      <c r="F24" s="1761"/>
      <c r="G24" s="1762">
        <f>SUM(G3,G12)-G23</f>
        <v>0</v>
      </c>
      <c r="H24" s="1762">
        <f>SUM(H3,H12)-H23</f>
        <v>0</v>
      </c>
      <c r="I24" s="1762">
        <f>SUM(I3,I12)-I23</f>
        <v>0</v>
      </c>
      <c r="J24" s="1762">
        <f>SUM(J3,J12)-J23</f>
        <v>289029</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289029</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2068</v>
      </c>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1909</v>
      </c>
      <c r="B1" s="2268"/>
      <c r="C1" s="2269"/>
      <c r="D1" s="826"/>
      <c r="E1" s="827"/>
      <c r="F1" s="827"/>
      <c r="G1" s="828"/>
      <c r="H1" s="829"/>
      <c r="I1" s="830"/>
      <c r="J1" s="2265"/>
      <c r="K1" s="2266"/>
      <c r="L1" s="226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24902</v>
      </c>
      <c r="D5" s="841"/>
      <c r="E5" s="841"/>
      <c r="F5" s="1759">
        <f>(C5+D5)-E5</f>
        <v>24902</v>
      </c>
      <c r="G5" s="837"/>
      <c r="H5" s="842"/>
      <c r="I5" s="842"/>
      <c r="J5" s="842"/>
      <c r="K5" s="793"/>
      <c r="L5" s="1768">
        <f>F5-K5</f>
        <v>24902</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6815785</v>
      </c>
      <c r="D8" s="844">
        <v>1042486</v>
      </c>
      <c r="E8" s="844"/>
      <c r="F8" s="1759">
        <f>(C8+D8)-E8</f>
        <v>7858271</v>
      </c>
      <c r="G8" s="843">
        <v>50</v>
      </c>
      <c r="H8" s="765">
        <v>2544704</v>
      </c>
      <c r="I8" s="765">
        <v>171355</v>
      </c>
      <c r="J8" s="765"/>
      <c r="K8" s="1768">
        <f>(H8+I8)-J8</f>
        <v>2716059</v>
      </c>
      <c r="L8" s="1768">
        <f>F8-K8</f>
        <v>5142212</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178390</v>
      </c>
      <c r="D10" s="846"/>
      <c r="E10" s="846"/>
      <c r="F10" s="1763">
        <f>(C10+D10)-E10</f>
        <v>178390</v>
      </c>
      <c r="G10" s="843">
        <v>20</v>
      </c>
      <c r="H10" s="847">
        <v>120506</v>
      </c>
      <c r="I10" s="847">
        <v>6049</v>
      </c>
      <c r="J10" s="847"/>
      <c r="K10" s="1768">
        <f>(H10+I10)-J10</f>
        <v>126555</v>
      </c>
      <c r="L10" s="1768">
        <f>F10-K10</f>
        <v>51835</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1926764</v>
      </c>
      <c r="D12" s="844">
        <v>41757</v>
      </c>
      <c r="E12" s="844"/>
      <c r="F12" s="1759">
        <f>(C12+D12)-E12</f>
        <v>1968521</v>
      </c>
      <c r="G12" s="843">
        <v>10</v>
      </c>
      <c r="H12" s="765">
        <v>1691905</v>
      </c>
      <c r="I12" s="765">
        <v>49683</v>
      </c>
      <c r="J12" s="765"/>
      <c r="K12" s="1768">
        <f>(H12+I12)-J12</f>
        <v>1741588</v>
      </c>
      <c r="L12" s="1768">
        <f>F12-K12</f>
        <v>226933</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v>267122</v>
      </c>
      <c r="D15" s="844">
        <v>794857</v>
      </c>
      <c r="E15" s="844">
        <v>1042486</v>
      </c>
      <c r="F15" s="1759">
        <f>(C15+D15)-E15</f>
        <v>19493</v>
      </c>
      <c r="G15" s="849" t="s">
        <v>862</v>
      </c>
      <c r="H15" s="781"/>
      <c r="I15" s="781"/>
      <c r="J15" s="781"/>
      <c r="K15" s="781"/>
      <c r="L15" s="1768">
        <f>F15-K15</f>
        <v>19493</v>
      </c>
    </row>
    <row r="16" spans="1:14" ht="15" customHeight="1" thickTop="1" thickBot="1" x14ac:dyDescent="0.25">
      <c r="A16" s="1764" t="s">
        <v>643</v>
      </c>
      <c r="B16" s="1765">
        <v>200</v>
      </c>
      <c r="C16" s="1759">
        <f>SUM(C3,C5:C6,C8:C10,C12:C15)</f>
        <v>9212963</v>
      </c>
      <c r="D16" s="1759">
        <f>SUM(D3,D5:D6,D8:D10,D12:D15)</f>
        <v>1879100</v>
      </c>
      <c r="E16" s="1759">
        <f>SUM(E3,E5:E6,E8:E10,E12:E15)</f>
        <v>1042486</v>
      </c>
      <c r="F16" s="1759">
        <f>SUM(F3,F5:F6,F8:F10,F12:F15)</f>
        <v>10049577</v>
      </c>
      <c r="G16" s="843"/>
      <c r="H16" s="1759">
        <f>SUM(H3,H6,H8:H10,H12:H14,)</f>
        <v>4357115</v>
      </c>
      <c r="I16" s="1759">
        <f>SUM(I3,I6,I8:I10,I12:I14,)</f>
        <v>227087</v>
      </c>
      <c r="J16" s="1759">
        <f>SUM(J3,J6,J8:J10,J12:J14,)</f>
        <v>0</v>
      </c>
      <c r="K16" s="1759">
        <f>(H16+I16)-J16</f>
        <v>4584202</v>
      </c>
      <c r="L16" s="1759">
        <f>F16-K16</f>
        <v>5465375</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227087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2" activePane="bottomLeft" state="frozen"/>
      <selection activeCell="C9" sqref="C9"/>
      <selection pane="bottomLeft" activeCell="F171" sqref="F17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1975</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3307709</v>
      </c>
      <c r="G8" s="865"/>
    </row>
    <row r="9" spans="1:7" x14ac:dyDescent="0.2">
      <c r="A9" s="869" t="s">
        <v>460</v>
      </c>
      <c r="B9" s="870" t="s">
        <v>1877</v>
      </c>
      <c r="C9" s="871"/>
      <c r="D9" s="869" t="s">
        <v>501</v>
      </c>
      <c r="E9" s="868"/>
      <c r="F9" s="1908">
        <f>'Expenditures 15-22'!K151</f>
        <v>169267</v>
      </c>
      <c r="G9" s="872"/>
    </row>
    <row r="10" spans="1:7" x14ac:dyDescent="0.2">
      <c r="A10" s="869" t="s">
        <v>499</v>
      </c>
      <c r="B10" s="870" t="s">
        <v>1878</v>
      </c>
      <c r="C10" s="871"/>
      <c r="D10" s="869" t="s">
        <v>501</v>
      </c>
      <c r="E10" s="868"/>
      <c r="F10" s="1908">
        <f>'Expenditures 15-22'!K174</f>
        <v>383923</v>
      </c>
      <c r="G10" s="872"/>
    </row>
    <row r="11" spans="1:7" x14ac:dyDescent="0.2">
      <c r="A11" s="869" t="s">
        <v>461</v>
      </c>
      <c r="B11" s="870" t="s">
        <v>1879</v>
      </c>
      <c r="C11" s="871"/>
      <c r="D11" s="869" t="s">
        <v>501</v>
      </c>
      <c r="E11" s="868"/>
      <c r="F11" s="1908">
        <f>'Expenditures 15-22'!K210</f>
        <v>226664</v>
      </c>
      <c r="G11" s="872"/>
    </row>
    <row r="12" spans="1:7" x14ac:dyDescent="0.2">
      <c r="A12" s="869" t="s">
        <v>462</v>
      </c>
      <c r="B12" s="870" t="s">
        <v>1880</v>
      </c>
      <c r="C12" s="871"/>
      <c r="D12" s="869" t="s">
        <v>501</v>
      </c>
      <c r="E12" s="868"/>
      <c r="F12" s="1908">
        <f>'Expenditures 15-22'!K295</f>
        <v>98197</v>
      </c>
      <c r="G12" s="872"/>
    </row>
    <row r="13" spans="1:7" x14ac:dyDescent="0.2">
      <c r="A13" s="869" t="s">
        <v>106</v>
      </c>
      <c r="B13" s="870" t="s">
        <v>1881</v>
      </c>
      <c r="C13" s="871"/>
      <c r="D13" s="869" t="s">
        <v>501</v>
      </c>
      <c r="E13" s="868"/>
      <c r="F13" s="1908">
        <f>'Expenditures 15-22'!K342</f>
        <v>23931</v>
      </c>
      <c r="G13" s="873"/>
    </row>
    <row r="14" spans="1:7" ht="12" customHeight="1" thickBot="1" x14ac:dyDescent="0.25">
      <c r="A14" s="1769"/>
      <c r="B14" s="1770"/>
      <c r="C14" s="1771"/>
      <c r="D14" s="1772" t="s">
        <v>501</v>
      </c>
      <c r="E14" s="1773" t="s">
        <v>958</v>
      </c>
      <c r="F14" s="1774">
        <f>SUM(F8:F13)</f>
        <v>4209691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56432</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7644</v>
      </c>
      <c r="G52" s="865"/>
    </row>
    <row r="53" spans="1:7" x14ac:dyDescent="0.2">
      <c r="A53" s="869" t="s">
        <v>459</v>
      </c>
      <c r="B53" s="869" t="s">
        <v>1475</v>
      </c>
      <c r="C53" s="889">
        <f>'Expenditures 15-22'!B102</f>
        <v>4000</v>
      </c>
      <c r="D53" s="888" t="str">
        <f>'Expenditures 15-22'!A102</f>
        <v>Total Payments to Other Govt Units</v>
      </c>
      <c r="E53" s="868"/>
      <c r="F53" s="1912">
        <f>'Expenditures 15-22'!K102</f>
        <v>245391</v>
      </c>
      <c r="G53" s="865"/>
    </row>
    <row r="54" spans="1:7" x14ac:dyDescent="0.2">
      <c r="A54" s="869" t="s">
        <v>459</v>
      </c>
      <c r="B54" s="869" t="s">
        <v>1476</v>
      </c>
      <c r="C54" s="889" t="s">
        <v>982</v>
      </c>
      <c r="D54" s="885" t="s">
        <v>1095</v>
      </c>
      <c r="E54" s="868"/>
      <c r="F54" s="1912">
        <f>'Expenditures 15-22'!G114</f>
        <v>13660</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2613</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280000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27004</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783</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78</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633605</v>
      </c>
      <c r="G76" s="865"/>
    </row>
    <row r="77" spans="1:8" s="893" customFormat="1" ht="12" customHeight="1" thickTop="1" thickBot="1" x14ac:dyDescent="0.25">
      <c r="A77" s="1778"/>
      <c r="B77" s="1775"/>
      <c r="C77" s="1771"/>
      <c r="D77" s="1776" t="s">
        <v>1900</v>
      </c>
      <c r="E77" s="1773"/>
      <c r="F77" s="1779">
        <f>(F14-F76)</f>
        <v>3576086</v>
      </c>
      <c r="G77" s="869"/>
    </row>
    <row r="78" spans="1:8" s="893" customFormat="1" ht="12" customHeight="1" thickTop="1" x14ac:dyDescent="0.2">
      <c r="A78" s="1780"/>
      <c r="B78" s="1775"/>
      <c r="C78" s="1771"/>
      <c r="D78" s="1776" t="s">
        <v>2062</v>
      </c>
      <c r="E78" s="1773"/>
      <c r="F78" s="898">
        <v>383.2</v>
      </c>
      <c r="G78" s="899"/>
      <c r="H78" s="869"/>
    </row>
    <row r="79" spans="1:8" s="893" customFormat="1" ht="12" customHeight="1" thickBot="1" x14ac:dyDescent="0.25">
      <c r="A79" s="1781"/>
      <c r="B79" s="1775"/>
      <c r="C79" s="1771"/>
      <c r="D79" s="1776" t="s">
        <v>1901</v>
      </c>
      <c r="E79" s="1773" t="s">
        <v>958</v>
      </c>
      <c r="F79" s="1782">
        <f>IF(F78&gt;0,F77/F78," Complete Line 78")</f>
        <v>9332.165970772443</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54471</v>
      </c>
      <c r="G94" s="912"/>
    </row>
    <row r="95" spans="1:7" x14ac:dyDescent="0.2">
      <c r="A95" s="908" t="s">
        <v>140</v>
      </c>
      <c r="B95" s="908" t="s">
        <v>175</v>
      </c>
      <c r="C95" s="910">
        <v>1700</v>
      </c>
      <c r="D95" s="918" t="str">
        <f>'Revenues 9-14'!A82</f>
        <v>Total District/School Activity Income</v>
      </c>
      <c r="E95" s="906"/>
      <c r="F95" s="1788">
        <f>SUM('Revenues 9-14'!C82,'Revenues 9-14'!D82)</f>
        <v>35322</v>
      </c>
      <c r="G95" s="912"/>
    </row>
    <row r="96" spans="1:7" x14ac:dyDescent="0.2">
      <c r="A96" s="908" t="s">
        <v>459</v>
      </c>
      <c r="B96" s="908" t="s">
        <v>176</v>
      </c>
      <c r="C96" s="910">
        <f>'Revenues 9-14'!B84</f>
        <v>1811</v>
      </c>
      <c r="D96" s="911" t="str">
        <f>'Revenues 9-14'!A84</f>
        <v>Rentals - Regular Textbooks</v>
      </c>
      <c r="E96" s="906"/>
      <c r="F96" s="1788">
        <f>'Revenues 9-14'!C84</f>
        <v>14560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25433</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19774</v>
      </c>
      <c r="G104" s="912"/>
    </row>
    <row r="105" spans="1:7" x14ac:dyDescent="0.2">
      <c r="A105" s="908" t="s">
        <v>503</v>
      </c>
      <c r="B105" s="908" t="s">
        <v>2003</v>
      </c>
      <c r="C105" s="913">
        <v>3100</v>
      </c>
      <c r="D105" s="919" t="str">
        <f>'Revenues 9-14'!A132</f>
        <v>Total Special Education</v>
      </c>
      <c r="E105" s="906"/>
      <c r="F105" s="1788">
        <f>SUM('Revenues 9-14'!C132:D132,'Revenues 9-14'!F132)</f>
        <v>90759</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18874</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1256</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6855</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90959</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1500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14489</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66697</v>
      </c>
      <c r="G125" s="930"/>
    </row>
    <row r="126" spans="1:7" x14ac:dyDescent="0.2">
      <c r="A126" s="927" t="s">
        <v>668</v>
      </c>
      <c r="B126" s="927" t="s">
        <v>2024</v>
      </c>
      <c r="C126" s="932">
        <v>4300</v>
      </c>
      <c r="D126" s="933" t="str">
        <f>'Revenues 9-14'!A204</f>
        <v>Total Title I</v>
      </c>
      <c r="E126" s="906"/>
      <c r="F126" s="1788">
        <f>SUM('Revenues 9-14'!C204,'Revenues 9-14'!D204,'Revenues 9-14'!F204,'Revenues 9-14'!G204)</f>
        <v>64634</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87608</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4525</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2206</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12104</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4368</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26131</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c r="G171" s="927"/>
    </row>
    <row r="172" spans="1:7" x14ac:dyDescent="0.2">
      <c r="A172" s="1917" t="s">
        <v>664</v>
      </c>
      <c r="B172" s="1918" t="s">
        <v>1920</v>
      </c>
      <c r="C172" s="1919">
        <v>3300</v>
      </c>
      <c r="D172" s="1920" t="s">
        <v>1923</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642525</v>
      </c>
    </row>
    <row r="175" spans="1:7" ht="12" customHeight="1" x14ac:dyDescent="0.2">
      <c r="A175" s="1769"/>
      <c r="B175" s="1783"/>
      <c r="C175" s="1784"/>
      <c r="D175" s="1785" t="s">
        <v>2057</v>
      </c>
      <c r="E175" s="1786"/>
      <c r="F175" s="1788">
        <f>'PCTC-OEPP 27-28'!F77-F174</f>
        <v>2933561</v>
      </c>
    </row>
    <row r="176" spans="1:7" ht="12" customHeight="1" x14ac:dyDescent="0.2">
      <c r="A176" s="1769"/>
      <c r="B176" s="1783"/>
      <c r="C176" s="1784"/>
      <c r="D176" s="1785" t="s">
        <v>1817</v>
      </c>
      <c r="E176" s="1786"/>
      <c r="F176" s="1788">
        <f>'Cap Outlay Deprec 26'!I18</f>
        <v>227087</v>
      </c>
    </row>
    <row r="177" spans="1:7" ht="12" customHeight="1" x14ac:dyDescent="0.2">
      <c r="A177" s="1769"/>
      <c r="B177" s="1783"/>
      <c r="C177" s="1784"/>
      <c r="D177" s="1785" t="s">
        <v>2058</v>
      </c>
      <c r="E177" s="1786"/>
      <c r="F177" s="1788">
        <f>F175+F176</f>
        <v>3160648</v>
      </c>
    </row>
    <row r="178" spans="1:7" ht="12" customHeight="1" x14ac:dyDescent="0.2">
      <c r="A178" s="1769"/>
      <c r="B178" s="1789"/>
      <c r="C178" s="1784"/>
      <c r="D178" s="1785" t="str">
        <f>D78</f>
        <v>9 Month ADA from District Average Daily Attendance/Prior General State Aid Inquiry 2018-2019</v>
      </c>
      <c r="E178" s="1786"/>
      <c r="F178" s="1790">
        <f>'PCTC-OEPP 27-28'!F78</f>
        <v>383.2</v>
      </c>
      <c r="G178" s="930"/>
    </row>
    <row r="179" spans="1:7" ht="12" customHeight="1" thickBot="1" x14ac:dyDescent="0.25">
      <c r="A179" s="1769"/>
      <c r="B179" s="1789"/>
      <c r="C179" s="1784"/>
      <c r="D179" s="1785" t="s">
        <v>2059</v>
      </c>
      <c r="E179" s="1786" t="s">
        <v>1545</v>
      </c>
      <c r="F179" s="1791">
        <f>F177/F178</f>
        <v>8248.0375782881001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D21" sqref="D21"/>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4" t="s">
        <v>1818</v>
      </c>
      <c r="B4" s="2285"/>
      <c r="C4" s="2285"/>
      <c r="D4" s="2285"/>
      <c r="E4" s="2285"/>
      <c r="F4" s="2285"/>
      <c r="G4" s="2286"/>
    </row>
    <row r="5" spans="1:7" x14ac:dyDescent="0.25">
      <c r="A5" s="2287"/>
      <c r="B5" s="2288"/>
      <c r="C5" s="2288"/>
      <c r="D5" s="2288"/>
      <c r="E5" s="2288"/>
      <c r="F5" s="2288"/>
      <c r="G5" s="2289"/>
    </row>
    <row r="6" spans="1:7" ht="18.75" x14ac:dyDescent="0.25">
      <c r="A6" s="1533" t="s">
        <v>1819</v>
      </c>
      <c r="B6" s="1534"/>
      <c r="C6" s="1534"/>
      <c r="D6" s="1534"/>
      <c r="E6" s="1534"/>
      <c r="F6" s="1534"/>
      <c r="G6" s="1535"/>
    </row>
    <row r="7" spans="1:7" ht="30.75" customHeight="1" x14ac:dyDescent="0.25">
      <c r="A7" s="2290" t="s">
        <v>1932</v>
      </c>
      <c r="B7" s="2291"/>
      <c r="C7" s="2291"/>
      <c r="D7" s="2291"/>
      <c r="E7" s="2291"/>
      <c r="F7" s="2291"/>
      <c r="G7" s="2292"/>
    </row>
    <row r="8" spans="1:7" ht="15.75" customHeight="1" x14ac:dyDescent="0.25">
      <c r="A8" s="2293" t="s">
        <v>1907</v>
      </c>
      <c r="B8" s="2294"/>
      <c r="C8" s="2294"/>
      <c r="D8" s="2294"/>
      <c r="E8" s="2294"/>
      <c r="F8" s="2294"/>
      <c r="G8" s="2295"/>
    </row>
    <row r="9" spans="1:7" ht="35.25" customHeight="1" x14ac:dyDescent="0.25">
      <c r="A9" s="2290" t="s">
        <v>1935</v>
      </c>
      <c r="B9" s="2291"/>
      <c r="C9" s="2291"/>
      <c r="D9" s="2291"/>
      <c r="E9" s="2291"/>
      <c r="F9" s="2291"/>
      <c r="G9" s="2292"/>
    </row>
    <row r="10" spans="1:7" ht="15" customHeight="1" x14ac:dyDescent="0.25">
      <c r="A10" s="1536" t="s">
        <v>1820</v>
      </c>
      <c r="B10" s="1537"/>
      <c r="C10" s="1537"/>
      <c r="D10" s="1537"/>
      <c r="E10" s="1537"/>
      <c r="F10" s="1537"/>
      <c r="G10" s="1538"/>
    </row>
    <row r="11" spans="1:7" ht="17.25" customHeight="1" x14ac:dyDescent="0.25">
      <c r="A11" s="2290" t="s">
        <v>1934</v>
      </c>
      <c r="B11" s="2291"/>
      <c r="C11" s="2291"/>
      <c r="D11" s="2291"/>
      <c r="E11" s="2291"/>
      <c r="F11" s="2291"/>
      <c r="G11" s="2292"/>
    </row>
    <row r="12" spans="1:7" ht="15" customHeight="1" x14ac:dyDescent="0.25">
      <c r="A12" s="1536" t="s">
        <v>1825</v>
      </c>
      <c r="B12" s="1537"/>
      <c r="C12" s="1537"/>
      <c r="D12" s="1537"/>
      <c r="E12" s="1537"/>
      <c r="F12" s="1537"/>
      <c r="G12" s="1538"/>
    </row>
    <row r="13" spans="1:7" ht="32.25" customHeight="1" x14ac:dyDescent="0.25">
      <c r="A13" s="2281" t="s">
        <v>1976</v>
      </c>
      <c r="B13" s="2282"/>
      <c r="C13" s="2282"/>
      <c r="D13" s="2282"/>
      <c r="E13" s="2282"/>
      <c r="F13" s="2282"/>
      <c r="G13" s="2283"/>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53" t="s">
        <v>2116</v>
      </c>
      <c r="B17" s="1954" t="s">
        <v>2117</v>
      </c>
      <c r="C17" s="1952" t="s">
        <v>2108</v>
      </c>
      <c r="D17" s="1843">
        <v>164</v>
      </c>
      <c r="E17" s="1539">
        <f t="shared" ref="E17:E141" si="0">IF(D17&lt;=25000,D17,IF(D17&gt;25000,25000,0))</f>
        <v>164</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164</v>
      </c>
      <c r="G17" s="1792">
        <f>IF(F17=0,0,D17-F17)</f>
        <v>0</v>
      </c>
      <c r="H17" s="1646"/>
    </row>
    <row r="18" spans="1:8" x14ac:dyDescent="0.25">
      <c r="A18" s="1953" t="s">
        <v>2118</v>
      </c>
      <c r="B18" s="1954" t="s">
        <v>2126</v>
      </c>
      <c r="C18" s="1952" t="s">
        <v>2109</v>
      </c>
      <c r="D18" s="1843">
        <v>21059</v>
      </c>
      <c r="E18" s="1539">
        <f t="shared" ref="E18:E140" si="2">IF(D18&lt;=25000,D18,IF(D18&gt;25000,25000,0))</f>
        <v>21059</v>
      </c>
      <c r="F18" s="1931">
        <f t="shared" si="1"/>
        <v>21059</v>
      </c>
      <c r="G18" s="1792">
        <f t="shared" ref="G18:G140" si="3">IF(F18=0,0,D18-F18)</f>
        <v>0</v>
      </c>
    </row>
    <row r="19" spans="1:8" x14ac:dyDescent="0.25">
      <c r="A19" s="1953" t="s">
        <v>2119</v>
      </c>
      <c r="B19" s="1954" t="s">
        <v>2127</v>
      </c>
      <c r="C19" s="1952" t="s">
        <v>2110</v>
      </c>
      <c r="D19" s="1843">
        <v>3158</v>
      </c>
      <c r="E19" s="1539">
        <f t="shared" si="2"/>
        <v>3158</v>
      </c>
      <c r="F19" s="1931">
        <f t="shared" si="1"/>
        <v>3158</v>
      </c>
      <c r="G19" s="1792">
        <f t="shared" si="3"/>
        <v>0</v>
      </c>
    </row>
    <row r="20" spans="1:8" x14ac:dyDescent="0.25">
      <c r="A20" s="1953" t="s">
        <v>2120</v>
      </c>
      <c r="B20" s="1954" t="s">
        <v>2128</v>
      </c>
      <c r="C20" s="1952" t="s">
        <v>2110</v>
      </c>
      <c r="D20" s="1843">
        <v>537</v>
      </c>
      <c r="E20" s="1539">
        <f t="shared" si="2"/>
        <v>537</v>
      </c>
      <c r="F20" s="1931">
        <f t="shared" si="1"/>
        <v>537</v>
      </c>
      <c r="G20" s="1792">
        <f t="shared" si="3"/>
        <v>0</v>
      </c>
    </row>
    <row r="21" spans="1:8" x14ac:dyDescent="0.25">
      <c r="A21" s="1953" t="s">
        <v>2121</v>
      </c>
      <c r="B21" s="1954" t="s">
        <v>2129</v>
      </c>
      <c r="C21" s="1952" t="s">
        <v>2110</v>
      </c>
      <c r="D21" s="1843">
        <v>1164</v>
      </c>
      <c r="E21" s="1539">
        <f t="shared" si="2"/>
        <v>1164</v>
      </c>
      <c r="F21" s="1931">
        <f t="shared" si="1"/>
        <v>1164</v>
      </c>
      <c r="G21" s="1792">
        <f t="shared" si="3"/>
        <v>0</v>
      </c>
    </row>
    <row r="22" spans="1:8" x14ac:dyDescent="0.25">
      <c r="A22" s="1953" t="s">
        <v>2122</v>
      </c>
      <c r="B22" s="1954" t="s">
        <v>2130</v>
      </c>
      <c r="C22" s="1952" t="s">
        <v>2110</v>
      </c>
      <c r="D22" s="1843">
        <v>900</v>
      </c>
      <c r="E22" s="1539">
        <f t="shared" si="2"/>
        <v>900</v>
      </c>
      <c r="F22" s="1931">
        <f t="shared" si="1"/>
        <v>900</v>
      </c>
      <c r="G22" s="1792">
        <f t="shared" si="3"/>
        <v>0</v>
      </c>
    </row>
    <row r="23" spans="1:8" x14ac:dyDescent="0.25">
      <c r="A23" s="1953" t="s">
        <v>2123</v>
      </c>
      <c r="B23" s="1954" t="s">
        <v>2131</v>
      </c>
      <c r="C23" s="1952" t="s">
        <v>2111</v>
      </c>
      <c r="D23" s="1843">
        <v>71251</v>
      </c>
      <c r="E23" s="1539">
        <f t="shared" si="2"/>
        <v>25000</v>
      </c>
      <c r="F23" s="1931">
        <f t="shared" si="1"/>
        <v>25000</v>
      </c>
      <c r="G23" s="1792">
        <f t="shared" si="3"/>
        <v>46251</v>
      </c>
    </row>
    <row r="24" spans="1:8" x14ac:dyDescent="0.25">
      <c r="A24" s="1953" t="s">
        <v>2124</v>
      </c>
      <c r="B24" s="1954" t="s">
        <v>2132</v>
      </c>
      <c r="C24" s="1952" t="s">
        <v>2112</v>
      </c>
      <c r="D24" s="1843">
        <v>178756</v>
      </c>
      <c r="E24" s="1539">
        <f t="shared" si="2"/>
        <v>25000</v>
      </c>
      <c r="F24" s="1931">
        <f t="shared" si="1"/>
        <v>25000</v>
      </c>
      <c r="G24" s="1792">
        <f t="shared" si="3"/>
        <v>153756</v>
      </c>
    </row>
    <row r="25" spans="1:8" x14ac:dyDescent="0.25">
      <c r="A25" s="1953" t="s">
        <v>2125</v>
      </c>
      <c r="B25" s="1954" t="s">
        <v>2133</v>
      </c>
      <c r="C25" s="1952" t="s">
        <v>2113</v>
      </c>
      <c r="D25" s="1843">
        <v>2073</v>
      </c>
      <c r="E25" s="1539">
        <f t="shared" si="2"/>
        <v>2073</v>
      </c>
      <c r="F25" s="1931">
        <f t="shared" si="1"/>
        <v>2073</v>
      </c>
      <c r="G25" s="1792">
        <f t="shared" si="3"/>
        <v>0</v>
      </c>
    </row>
    <row r="26" spans="1:8" x14ac:dyDescent="0.25">
      <c r="A26" s="1953" t="s">
        <v>2125</v>
      </c>
      <c r="B26" s="1954" t="s">
        <v>2133</v>
      </c>
      <c r="C26" s="1952" t="s">
        <v>2114</v>
      </c>
      <c r="D26" s="1843">
        <v>1814</v>
      </c>
      <c r="E26" s="1539">
        <f t="shared" si="2"/>
        <v>1814</v>
      </c>
      <c r="F26" s="1931">
        <f t="shared" si="1"/>
        <v>1814</v>
      </c>
      <c r="G26" s="1792">
        <f t="shared" si="3"/>
        <v>0</v>
      </c>
    </row>
    <row r="27" spans="1:8" x14ac:dyDescent="0.25">
      <c r="A27" s="1953" t="s">
        <v>2116</v>
      </c>
      <c r="B27" s="1954" t="s">
        <v>2117</v>
      </c>
      <c r="C27" s="1952" t="s">
        <v>2115</v>
      </c>
      <c r="D27" s="1843">
        <v>8200</v>
      </c>
      <c r="E27" s="1539">
        <f t="shared" si="2"/>
        <v>8200</v>
      </c>
      <c r="F27" s="1931">
        <f t="shared" si="1"/>
        <v>8200</v>
      </c>
      <c r="G27" s="1792">
        <f t="shared" si="3"/>
        <v>0</v>
      </c>
    </row>
    <row r="28" spans="1:8" x14ac:dyDescent="0.25">
      <c r="A28" s="1953"/>
      <c r="B28" s="1954"/>
      <c r="C28" s="1952"/>
      <c r="D28" s="1843"/>
      <c r="E28" s="1539">
        <f t="shared" si="2"/>
        <v>0</v>
      </c>
      <c r="F28" s="1931">
        <f t="shared" si="1"/>
        <v>0</v>
      </c>
      <c r="G28" s="1792">
        <f t="shared" si="3"/>
        <v>0</v>
      </c>
    </row>
    <row r="29" spans="1:8" x14ac:dyDescent="0.25">
      <c r="A29" s="1953"/>
      <c r="B29" s="1954"/>
      <c r="C29" s="1952"/>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289076</v>
      </c>
      <c r="E141" s="1540">
        <f t="shared" si="0"/>
        <v>25000</v>
      </c>
      <c r="F141" s="1932">
        <f>SUM(F17:F140)</f>
        <v>89069</v>
      </c>
      <c r="G141" s="1794">
        <f>SUM(G17:G140)</f>
        <v>200007</v>
      </c>
    </row>
  </sheetData>
  <sheetProtection password="F60E" sheet="1" selectLockedCells="1"/>
  <mergeCells count="6">
    <mergeCell ref="A13:G13"/>
    <mergeCell ref="A4:G5"/>
    <mergeCell ref="A11:G11"/>
    <mergeCell ref="A7:G7"/>
    <mergeCell ref="A8:G8"/>
    <mergeCell ref="A9:G9"/>
  </mergeCells>
  <printOptions horizontalCentered="1"/>
  <pageMargins left="0.2" right="0.2" top="0.45" bottom="0.25" header="0.3" footer="0.15"/>
  <pageSetup scale="83" firstPageNumber="34" fitToHeight="0" orientation="landscape" useFirstPageNumber="1" r:id="rId1"/>
  <headerFooter differentFirst="1" scaleWithDoc="0">
    <oddFooter>&amp;LSee notes to financial statements.&amp;C&amp;P</oddFooter>
    <firstFooter>&amp;LSee notes to financial statements.&amp;C34</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48660</v>
      </c>
      <c r="F10" s="974"/>
      <c r="G10" s="975"/>
      <c r="H10" s="162"/>
      <c r="I10" s="162"/>
    </row>
    <row r="11" spans="1:9" s="668" customFormat="1" ht="22.5" customHeight="1" x14ac:dyDescent="0.2">
      <c r="A11" s="2301" t="s">
        <v>1977</v>
      </c>
      <c r="B11" s="2302"/>
      <c r="C11" s="2302"/>
      <c r="D11" s="2303"/>
      <c r="E11" s="977">
        <v>12360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2252806</v>
      </c>
      <c r="F19" s="1798"/>
      <c r="G19" s="1800">
        <f>'Expenditures 15-22'!K33-SUM('Expenditures 15-22'!G33,'Expenditures 15-22'!I33)+'Expenditures 15-22'!D229</f>
        <v>2252806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144475</v>
      </c>
      <c r="F21" s="1801"/>
      <c r="G21" s="1804">
        <f>'Expenditures 15-22'!K42-SUM('Expenditures 15-22'!G42,'Expenditures 15-22'!I42)+'Expenditures 15-22'!K120-SUM('Expenditures 15-22'!G120,'Expenditures 15-22'!I120)+'Expenditures 15-22'!K180-SUM('Expenditures 15-22'!G180,'Expenditures 15-22'!I180)+'Expenditures 15-22'!D238</f>
        <v>144475</v>
      </c>
      <c r="H21" s="987"/>
      <c r="I21" s="162"/>
    </row>
    <row r="22" spans="1:9" s="668" customFormat="1" ht="12" customHeight="1" x14ac:dyDescent="0.2">
      <c r="A22" s="994" t="s">
        <v>564</v>
      </c>
      <c r="B22" s="995"/>
      <c r="C22" s="993">
        <v>2200</v>
      </c>
      <c r="D22" s="1801"/>
      <c r="E22" s="1803">
        <f>'Expenditures 15-22'!K47-SUM('Expenditures 15-22'!G47,'Expenditures 15-22'!I47)+'Expenditures 15-22'!D243</f>
        <v>9343</v>
      </c>
      <c r="F22" s="1801"/>
      <c r="G22" s="1804">
        <f>'Expenditures 15-22'!K47-SUM('Expenditures 15-22'!G47,'Expenditures 15-22'!I47)+'Expenditures 15-22'!D243</f>
        <v>9343</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130212</v>
      </c>
      <c r="F23" s="1801"/>
      <c r="G23" s="1803">
        <f>'Expenditures 15-22'!K53-SUM('Expenditures 15-22'!G53,'Expenditures 15-22'!I53)+'Expenditures 15-22'!D257+'Expenditures 15-22'!K330-SUM('Expenditures 15-22'!G330,'Expenditures 15-22'!I330)</f>
        <v>130212</v>
      </c>
      <c r="H23" s="987"/>
      <c r="I23" s="162"/>
    </row>
    <row r="24" spans="1:9" s="668" customFormat="1" ht="12" customHeight="1" x14ac:dyDescent="0.2">
      <c r="A24" s="994" t="s">
        <v>566</v>
      </c>
      <c r="B24" s="995"/>
      <c r="C24" s="993">
        <v>2400</v>
      </c>
      <c r="D24" s="1801"/>
      <c r="E24" s="1803">
        <f>'Expenditures 15-22'!K57-SUM('Expenditures 15-22'!G57,'Expenditures 15-22'!I57)+'Expenditures 15-22'!D261</f>
        <v>248859</v>
      </c>
      <c r="F24" s="1801"/>
      <c r="G24" s="1804">
        <f>'Expenditures 15-22'!K57-SUM('Expenditures 15-22'!G57,'Expenditures 15-22'!I57)+'Expenditures 15-22'!D261</f>
        <v>248859</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55102</v>
      </c>
      <c r="E27" s="1803">
        <f>E8</f>
        <v>0</v>
      </c>
      <c r="F27" s="1803">
        <f>'Expenditures 15-22'!K60-SUM('Expenditures 15-22'!G60,'Expenditures 15-22'!I60)+'Expenditures 15-22'!D264-E8</f>
        <v>55102</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373454</v>
      </c>
      <c r="F28" s="1805">
        <f>'Expenditures 15-22'!K61-SUM('Expenditures 15-22'!G61,'Expenditures 15-22'!I61)+'Expenditures 15-22'!K124-SUM('Expenditures 15-22'!G124,'Expenditures 15-22'!I124)+'Expenditures 15-22'!D266-E9</f>
        <v>373454</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200917</v>
      </c>
      <c r="F29" s="1801"/>
      <c r="G29" s="1804">
        <f>'Expenditures 15-22'!K62-SUM('Expenditures 15-22'!G62,'Expenditures 15-22'!I62)+'Expenditures 15-22'!K125-SUM('Expenditures 15-22'!G125,'Expenditures 15-22'!I125)+'Expenditures 15-22'!K182-SUM('Expenditures 15-22'!G182,'Expenditures 15-22'!I182)+'Expenditures 15-22'!D267</f>
        <v>200917</v>
      </c>
      <c r="H29" s="985"/>
    </row>
    <row r="30" spans="1:9" ht="12" customHeight="1" x14ac:dyDescent="0.2">
      <c r="A30" s="994" t="s">
        <v>100</v>
      </c>
      <c r="B30" s="997"/>
      <c r="C30" s="993">
        <v>2560</v>
      </c>
      <c r="D30" s="1801"/>
      <c r="E30" s="1803">
        <f>'Expenditures 15-22'!K63-SUM('Expenditures 15-22'!G63,'Expenditures 15-22'!I63)+'Expenditures 15-22'!D268-E10</f>
        <v>65550</v>
      </c>
      <c r="F30" s="1801"/>
      <c r="G30" s="1803">
        <f>'Expenditures 15-22'!K63-SUM('Expenditures 15-22'!G63,'Expenditures 15-22'!I63)+'Expenditures 15-22'!D268-E10</f>
        <v>65550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7722</v>
      </c>
      <c r="F39" s="1801"/>
      <c r="G39" s="1803">
        <f>'Expenditures 15-22'!K75-SUM('Expenditures 15-22'!G75,'Expenditures 15-22'!I75)+'Expenditures 15-22'!K130-SUM('Expenditures 15-22'!G130,'Expenditures 15-22'!I130)+'Expenditures 15-22'!K185-SUM('Expenditures 15-22'!G185,'Expenditures 15-22'!I185)+'Expenditures 15-22'!D280</f>
        <v>7722</v>
      </c>
    </row>
    <row r="40" spans="1:7" ht="12" customHeight="1" x14ac:dyDescent="0.2">
      <c r="A40" s="990" t="s">
        <v>1823</v>
      </c>
      <c r="B40" s="991"/>
      <c r="C40" s="993"/>
      <c r="D40" s="1801"/>
      <c r="E40" s="1805">
        <f>-'Contracts Paid in CY 29'!G141</f>
        <v>-200007</v>
      </c>
      <c r="F40" s="1801"/>
      <c r="G40" s="1805">
        <f>-'Contracts Paid in CY 29'!G141</f>
        <v>-200007</v>
      </c>
    </row>
    <row r="41" spans="1:7" ht="12" customHeight="1" x14ac:dyDescent="0.2">
      <c r="A41" s="998" t="s">
        <v>156</v>
      </c>
      <c r="B41" s="999"/>
      <c r="C41" s="1000"/>
      <c r="D41" s="1805">
        <f>SUM(D19:D39)</f>
        <v>55102</v>
      </c>
      <c r="E41" s="1805">
        <f>SUM(E19:E40)</f>
        <v>3233331</v>
      </c>
      <c r="F41" s="1805">
        <f>SUM(F19:F39)</f>
        <v>428556</v>
      </c>
      <c r="G41" s="1805">
        <f>SUM(G19:G40)</f>
        <v>2859877</v>
      </c>
    </row>
    <row r="42" spans="1:7" x14ac:dyDescent="0.2">
      <c r="A42" s="987"/>
      <c r="B42" s="162"/>
      <c r="C42" s="1001"/>
      <c r="D42" s="2299" t="s">
        <v>522</v>
      </c>
      <c r="E42" s="2300"/>
      <c r="F42" s="1002" t="s">
        <v>523</v>
      </c>
      <c r="G42" s="1003"/>
    </row>
    <row r="43" spans="1:7" ht="12" customHeight="1" x14ac:dyDescent="0.2">
      <c r="A43" s="987"/>
      <c r="B43" s="162"/>
      <c r="C43" s="1001"/>
      <c r="D43" s="1806" t="s">
        <v>473</v>
      </c>
      <c r="E43" s="1807">
        <f>D41</f>
        <v>55102</v>
      </c>
      <c r="F43" s="1806" t="s">
        <v>473</v>
      </c>
      <c r="G43" s="1807">
        <f>F41</f>
        <v>428556</v>
      </c>
    </row>
    <row r="44" spans="1:7" ht="12" customHeight="1" x14ac:dyDescent="0.2">
      <c r="A44" s="987"/>
      <c r="B44" s="162"/>
      <c r="C44" s="1001"/>
      <c r="D44" s="1806" t="s">
        <v>474</v>
      </c>
      <c r="E44" s="1807">
        <f>E41</f>
        <v>3233331</v>
      </c>
      <c r="F44" s="1806" t="s">
        <v>474</v>
      </c>
      <c r="G44" s="1807">
        <f>G41</f>
        <v>2859877</v>
      </c>
    </row>
    <row r="45" spans="1:7" ht="12" customHeight="1" x14ac:dyDescent="0.2">
      <c r="A45" s="987"/>
      <c r="B45" s="162"/>
      <c r="C45" s="162"/>
      <c r="D45" s="1808" t="s">
        <v>1006</v>
      </c>
      <c r="E45" s="1809">
        <f>(E43/E44)</f>
        <v>1.7041867968358326E-2</v>
      </c>
      <c r="F45" s="1808" t="s">
        <v>1006</v>
      </c>
      <c r="G45" s="1809">
        <f>(G43/G44)</f>
        <v>0.14985119989426118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 sqref="A4:F4"/>
      <selection pane="bottomLeft" activeCell="A5" sqref="A5:F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7" t="s">
        <v>1379</v>
      </c>
      <c r="B1" s="2307"/>
      <c r="C1" s="2307"/>
      <c r="D1" s="2307"/>
      <c r="E1" s="2307"/>
      <c r="F1" s="2307"/>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8" t="s">
        <v>1546</v>
      </c>
      <c r="B5" s="2309"/>
      <c r="C5" s="2310"/>
      <c r="D5" s="2310"/>
      <c r="E5" s="2310"/>
      <c r="F5" s="2310"/>
    </row>
    <row r="6" spans="1:10" ht="12" customHeight="1" x14ac:dyDescent="0.25">
      <c r="A6" s="1849"/>
      <c r="B6" s="1850"/>
      <c r="C6" s="2311" t="str">
        <f>COVER!A17</f>
        <v>STEELEVILLE CUSD 138</v>
      </c>
      <c r="D6" s="2311"/>
      <c r="E6" s="2311"/>
      <c r="F6" s="1851"/>
    </row>
    <row r="7" spans="1:10" ht="11.25" customHeight="1" thickBot="1" x14ac:dyDescent="0.3">
      <c r="A7" s="1849"/>
      <c r="B7" s="1850"/>
      <c r="C7" s="2312">
        <f>COVER!A13</f>
        <v>45079138026</v>
      </c>
      <c r="D7" s="2312"/>
      <c r="E7" s="2312"/>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t="s">
        <v>2068</v>
      </c>
      <c r="D25" s="1864" t="s">
        <v>2068</v>
      </c>
      <c r="E25" s="1867" t="s">
        <v>2068</v>
      </c>
      <c r="F25" s="1866" t="s">
        <v>2088</v>
      </c>
      <c r="H25" s="1877">
        <f t="shared" si="0"/>
        <v>5</v>
      </c>
      <c r="I25" s="1877">
        <f t="shared" si="1"/>
        <v>5</v>
      </c>
      <c r="J25" s="1877">
        <f t="shared" si="2"/>
        <v>5</v>
      </c>
    </row>
    <row r="26" spans="1:12" ht="12" customHeight="1" x14ac:dyDescent="0.2">
      <c r="A26" s="1862" t="s">
        <v>1534</v>
      </c>
      <c r="B26" s="1863"/>
      <c r="C26" s="1864" t="s">
        <v>2068</v>
      </c>
      <c r="D26" s="1864" t="s">
        <v>2068</v>
      </c>
      <c r="E26" s="1867" t="s">
        <v>2068</v>
      </c>
      <c r="F26" s="1866" t="s">
        <v>2089</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72"/>
      <c r="B39" s="1872"/>
      <c r="C39" s="1872"/>
      <c r="D39" s="1872"/>
      <c r="E39" s="1872"/>
      <c r="F39" s="1872"/>
    </row>
    <row r="40" spans="1:11" s="1869" customFormat="1" ht="12" customHeight="1" x14ac:dyDescent="0.25">
      <c r="A40" s="1873" t="s">
        <v>1391</v>
      </c>
      <c r="B40" s="1874"/>
      <c r="C40" s="2321"/>
      <c r="D40" s="2321"/>
      <c r="E40" s="2321"/>
      <c r="F40" s="2322"/>
      <c r="H40" s="1878"/>
      <c r="I40" s="1878"/>
      <c r="J40" s="1878"/>
      <c r="K40" s="1878"/>
    </row>
    <row r="41" spans="1:11" s="1869" customFormat="1" ht="12" customHeight="1" x14ac:dyDescent="0.25">
      <c r="A41" s="2323"/>
      <c r="B41" s="2324"/>
      <c r="C41" s="2324"/>
      <c r="D41" s="2324"/>
      <c r="E41" s="2324"/>
      <c r="F41" s="2325"/>
      <c r="H41" s="1878"/>
      <c r="I41" s="1878"/>
      <c r="J41" s="1878"/>
      <c r="K41" s="1878"/>
    </row>
    <row r="42" spans="1:11" s="1869" customFormat="1" ht="12" customHeight="1" x14ac:dyDescent="0.25">
      <c r="A42" s="2323"/>
      <c r="B42" s="2324"/>
      <c r="C42" s="2324"/>
      <c r="D42" s="2324"/>
      <c r="E42" s="2324"/>
      <c r="F42" s="2325"/>
      <c r="H42" s="1878"/>
      <c r="I42" s="1878"/>
      <c r="J42" s="1878"/>
      <c r="K42" s="1878"/>
    </row>
    <row r="43" spans="1:11" s="1869" customFormat="1" ht="15" x14ac:dyDescent="0.25">
      <c r="A43" s="2315"/>
      <c r="B43" s="2316"/>
      <c r="C43" s="2316"/>
      <c r="D43" s="2316"/>
      <c r="E43" s="2316"/>
      <c r="F43" s="2317"/>
      <c r="H43" s="1878"/>
      <c r="I43" s="1878"/>
      <c r="J43" s="1878"/>
      <c r="K43" s="1878"/>
    </row>
    <row r="44" spans="1:11" s="1869" customFormat="1" ht="12" hidden="1" customHeight="1" x14ac:dyDescent="0.25">
      <c r="A44" s="2315"/>
      <c r="B44" s="2316"/>
      <c r="C44" s="2316"/>
      <c r="D44" s="2316"/>
      <c r="E44" s="2316"/>
      <c r="F44" s="231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84" orientation="landscape" r:id="rId1"/>
  <headerFooter scaleWithDoc="0">
    <oddFooter>&amp;LSee notes to financial statements.&amp;C39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31" t="str">
        <f>COVER!A17</f>
        <v>STEELEVILLE CUSD 138</v>
      </c>
      <c r="J6" s="2332"/>
      <c r="Q6" s="1663"/>
    </row>
    <row r="7" spans="1:17" x14ac:dyDescent="0.2">
      <c r="A7" s="2333" t="s">
        <v>869</v>
      </c>
      <c r="B7" s="2334"/>
      <c r="C7" s="2334"/>
      <c r="D7" s="2334"/>
      <c r="E7" s="2335"/>
      <c r="F7" s="1017"/>
      <c r="G7" s="1009"/>
      <c r="H7" s="1016" t="s">
        <v>372</v>
      </c>
      <c r="I7" s="2336">
        <f>COVER!A13</f>
        <v>45079138026</v>
      </c>
      <c r="J7" s="233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66041</v>
      </c>
      <c r="F12" s="1039"/>
      <c r="G12" s="1810">
        <f t="shared" ref="G12:G18" si="0">SUM(E12:F12)</f>
        <v>66041</v>
      </c>
      <c r="H12" s="1040">
        <v>68094</v>
      </c>
      <c r="I12" s="1039"/>
      <c r="J12" s="1810">
        <f t="shared" ref="J12:J18" si="1">SUM(H12:I12)</f>
        <v>68094</v>
      </c>
    </row>
    <row r="13" spans="1:17" ht="15" customHeight="1" x14ac:dyDescent="0.2">
      <c r="A13" s="1035">
        <v>2</v>
      </c>
      <c r="B13" s="1036" t="s">
        <v>42</v>
      </c>
      <c r="C13" s="1037"/>
      <c r="D13" s="1038">
        <v>2330</v>
      </c>
      <c r="E13" s="1810">
        <f>'Expenditures 15-22'!K51</f>
        <v>0</v>
      </c>
      <c r="F13" s="1039"/>
      <c r="G13" s="1810">
        <f t="shared" si="0"/>
        <v>0</v>
      </c>
      <c r="H13" s="1040">
        <v>0</v>
      </c>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v>0</v>
      </c>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v>0</v>
      </c>
      <c r="I15" s="1040">
        <v>0</v>
      </c>
      <c r="J15" s="1810">
        <f t="shared" si="1"/>
        <v>0</v>
      </c>
    </row>
    <row r="16" spans="1:17" ht="15" customHeight="1" x14ac:dyDescent="0.2">
      <c r="A16" s="1035">
        <v>5</v>
      </c>
      <c r="B16" s="1036" t="s">
        <v>101</v>
      </c>
      <c r="C16" s="1037"/>
      <c r="D16" s="1038">
        <v>2570</v>
      </c>
      <c r="E16" s="1810">
        <f>'Expenditures 15-22'!K64</f>
        <v>0</v>
      </c>
      <c r="F16" s="1039"/>
      <c r="G16" s="1810">
        <f t="shared" si="0"/>
        <v>0</v>
      </c>
      <c r="H16" s="1040">
        <v>0</v>
      </c>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40" t="s">
        <v>7</v>
      </c>
      <c r="C18" s="2341"/>
      <c r="D18" s="2342"/>
      <c r="E18" s="1043">
        <v>0</v>
      </c>
      <c r="F18" s="1043">
        <v>0</v>
      </c>
      <c r="G18" s="1811">
        <f t="shared" si="0"/>
        <v>0</v>
      </c>
      <c r="H18" s="1040">
        <v>0</v>
      </c>
      <c r="I18" s="1040">
        <v>0</v>
      </c>
      <c r="J18" s="1810">
        <f t="shared" si="1"/>
        <v>0</v>
      </c>
    </row>
    <row r="19" spans="1:10" ht="12.75" customHeight="1" thickBot="1" x14ac:dyDescent="0.25">
      <c r="A19" s="1035">
        <v>8</v>
      </c>
      <c r="B19" s="1044" t="s">
        <v>1161</v>
      </c>
      <c r="D19" s="1045"/>
      <c r="E19" s="1812">
        <f t="shared" ref="E19:J19" si="2">SUM(E12:E17)-E18</f>
        <v>66041</v>
      </c>
      <c r="F19" s="1812">
        <f t="shared" si="2"/>
        <v>0</v>
      </c>
      <c r="G19" s="1812">
        <f t="shared" si="2"/>
        <v>66041</v>
      </c>
      <c r="H19" s="1812">
        <f t="shared" si="2"/>
        <v>68094</v>
      </c>
      <c r="I19" s="1812">
        <f t="shared" si="2"/>
        <v>0</v>
      </c>
      <c r="J19" s="1812">
        <f t="shared" si="2"/>
        <v>68094</v>
      </c>
    </row>
    <row r="20" spans="1:10" ht="13.5" thickTop="1" x14ac:dyDescent="0.2">
      <c r="A20" s="1035">
        <v>9</v>
      </c>
      <c r="B20" s="2343" t="s">
        <v>1981</v>
      </c>
      <c r="C20" s="2343"/>
      <c r="D20" s="2344"/>
      <c r="E20" s="1046"/>
      <c r="F20" s="1046"/>
      <c r="G20" s="1046"/>
      <c r="H20" s="1046"/>
      <c r="I20" s="1046"/>
      <c r="J20" s="1813">
        <f>IF(AND(G19&gt;0,J19&gt;0),(((J19-G19)/G19)),"Enter Budget Data")</f>
        <v>3.1086749140685332E-2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1983</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statements.&amp;C40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78"/>
  <sheetViews>
    <sheetView showGridLines="0" zoomScale="110" zoomScaleNormal="110" workbookViewId="0">
      <selection activeCell="B78" sqref="B78"/>
    </sheetView>
  </sheetViews>
  <sheetFormatPr defaultColWidth="9.140625" defaultRowHeight="12.75" x14ac:dyDescent="0.2"/>
  <cols>
    <col min="1" max="1" width="3" style="329" customWidth="1"/>
    <col min="2" max="2" width="4.28515625" style="329" customWidth="1"/>
    <col min="3" max="3" width="9.85546875" style="329" customWidth="1"/>
    <col min="4" max="4" width="4.28515625" style="329" customWidth="1"/>
    <col min="5" max="5" width="11.28515625" style="329" customWidth="1"/>
    <col min="6" max="6" width="4.28515625" style="329" customWidth="1"/>
    <col min="7" max="7" width="26.28515625" style="329" bestFit="1" customWidth="1"/>
    <col min="8" max="8" width="4.28515625" style="329" customWidth="1"/>
    <col min="9" max="9" width="35.42578125" style="329" customWidth="1"/>
    <col min="10" max="10" width="4.28515625" style="329" customWidth="1"/>
    <col min="11" max="11" width="12" style="329" bestFit="1" customWidth="1"/>
    <col min="12" max="16384" width="9.140625" style="329"/>
  </cols>
  <sheetData>
    <row r="2" spans="1:12" x14ac:dyDescent="0.2">
      <c r="A2" s="389" t="s">
        <v>258</v>
      </c>
    </row>
    <row r="3" spans="1:12" x14ac:dyDescent="0.2">
      <c r="A3" s="329" t="s">
        <v>259</v>
      </c>
    </row>
    <row r="5" spans="1:12" x14ac:dyDescent="0.2">
      <c r="C5" s="1936" t="s">
        <v>2087</v>
      </c>
      <c r="E5" s="1936" t="s">
        <v>378</v>
      </c>
      <c r="G5" s="1936" t="s">
        <v>1077</v>
      </c>
      <c r="I5" s="1936" t="s">
        <v>481</v>
      </c>
      <c r="K5" s="1936" t="s">
        <v>865</v>
      </c>
    </row>
    <row r="6" spans="1:12" x14ac:dyDescent="0.2">
      <c r="A6" s="1942">
        <v>1</v>
      </c>
      <c r="B6" s="674"/>
      <c r="C6" s="1938">
        <v>15</v>
      </c>
      <c r="D6" s="1938"/>
      <c r="E6" s="1938">
        <v>1790</v>
      </c>
      <c r="F6" s="1938"/>
      <c r="G6" s="1941" t="s">
        <v>1155</v>
      </c>
      <c r="H6" s="1941"/>
      <c r="I6" s="1941" t="s">
        <v>2091</v>
      </c>
      <c r="J6" s="674"/>
      <c r="K6" s="1939">
        <v>4238</v>
      </c>
    </row>
    <row r="7" spans="1:12" x14ac:dyDescent="0.2">
      <c r="A7" s="1942"/>
      <c r="B7" s="674"/>
      <c r="C7" s="1938"/>
      <c r="D7" s="1938"/>
      <c r="E7" s="1938"/>
      <c r="F7" s="1938"/>
      <c r="G7" s="1941"/>
      <c r="H7" s="1941"/>
      <c r="I7" s="1941"/>
      <c r="J7" s="674"/>
      <c r="K7" s="1940"/>
    </row>
    <row r="8" spans="1:12" x14ac:dyDescent="0.2">
      <c r="A8" s="1942">
        <v>2</v>
      </c>
      <c r="B8" s="674"/>
      <c r="C8" s="1938">
        <v>15</v>
      </c>
      <c r="D8" s="1938"/>
      <c r="E8" s="1938">
        <v>1993</v>
      </c>
      <c r="F8" s="1938"/>
      <c r="G8" s="1941" t="s">
        <v>1155</v>
      </c>
      <c r="H8" s="1941"/>
      <c r="I8" s="1941" t="s">
        <v>2092</v>
      </c>
      <c r="J8" s="674"/>
      <c r="K8" s="1939">
        <v>10820</v>
      </c>
    </row>
    <row r="9" spans="1:12" x14ac:dyDescent="0.2">
      <c r="A9" s="1942"/>
      <c r="B9" s="674"/>
      <c r="C9" s="1938"/>
      <c r="D9" s="1938"/>
      <c r="E9" s="1938"/>
      <c r="F9" s="1938"/>
      <c r="G9" s="1941"/>
      <c r="H9" s="1941"/>
      <c r="I9" s="1941" t="s">
        <v>2096</v>
      </c>
      <c r="J9" s="674"/>
      <c r="K9" s="1943">
        <v>1345</v>
      </c>
    </row>
    <row r="10" spans="1:12" x14ac:dyDescent="0.2">
      <c r="A10" s="1942"/>
      <c r="B10" s="674"/>
      <c r="C10" s="1938"/>
      <c r="D10" s="1938"/>
      <c r="E10" s="1938"/>
      <c r="F10" s="1938"/>
      <c r="G10" s="1941"/>
      <c r="H10" s="1941"/>
      <c r="I10" s="1941" t="s">
        <v>2095</v>
      </c>
      <c r="J10" s="674"/>
      <c r="K10" s="1943">
        <v>1830</v>
      </c>
    </row>
    <row r="11" spans="1:12" x14ac:dyDescent="0.2">
      <c r="A11" s="1942"/>
      <c r="B11" s="674"/>
      <c r="C11" s="1938"/>
      <c r="D11" s="1938"/>
      <c r="E11" s="1938"/>
      <c r="F11" s="1938"/>
      <c r="G11" s="1941"/>
      <c r="H11" s="1941"/>
      <c r="I11" s="1941" t="s">
        <v>2093</v>
      </c>
      <c r="J11" s="674"/>
      <c r="K11" s="1943">
        <v>4465</v>
      </c>
    </row>
    <row r="12" spans="1:12" ht="15" x14ac:dyDescent="0.35">
      <c r="A12" s="1942"/>
      <c r="B12" s="674"/>
      <c r="C12" s="1938"/>
      <c r="D12" s="1938"/>
      <c r="E12" s="1938"/>
      <c r="F12" s="1938"/>
      <c r="G12" s="1941"/>
      <c r="H12" s="1941"/>
      <c r="I12" s="1941" t="s">
        <v>2094</v>
      </c>
      <c r="J12" s="674"/>
      <c r="K12" s="1944">
        <v>1314</v>
      </c>
      <c r="L12" s="674"/>
    </row>
    <row r="13" spans="1:12" ht="15" x14ac:dyDescent="0.35">
      <c r="A13" s="1942"/>
      <c r="B13" s="674"/>
      <c r="C13" s="1938"/>
      <c r="D13" s="1938"/>
      <c r="E13" s="1938"/>
      <c r="F13" s="1938"/>
      <c r="G13" s="1941"/>
      <c r="H13" s="1941"/>
      <c r="I13" s="1941"/>
      <c r="J13" s="674"/>
      <c r="K13" s="1945">
        <f>SUM(K8:K12)</f>
        <v>19774</v>
      </c>
      <c r="L13" s="674"/>
    </row>
    <row r="14" spans="1:12" x14ac:dyDescent="0.2">
      <c r="A14" s="1942"/>
      <c r="B14" s="674"/>
      <c r="C14" s="1938"/>
      <c r="D14" s="1938"/>
      <c r="E14" s="1938"/>
      <c r="F14" s="1938"/>
      <c r="G14" s="1941"/>
      <c r="H14" s="1941"/>
      <c r="I14" s="1941"/>
      <c r="J14" s="674"/>
      <c r="K14" s="1946"/>
      <c r="L14" s="674"/>
    </row>
    <row r="15" spans="1:12" x14ac:dyDescent="0.2">
      <c r="A15" s="1942">
        <v>3</v>
      </c>
      <c r="B15" s="674"/>
      <c r="C15" s="1938">
        <v>15</v>
      </c>
      <c r="D15" s="1938"/>
      <c r="E15" s="1938">
        <v>1999</v>
      </c>
      <c r="F15" s="1938"/>
      <c r="G15" s="1941" t="s">
        <v>1155</v>
      </c>
      <c r="H15" s="1941"/>
      <c r="I15" s="1941" t="s">
        <v>2097</v>
      </c>
      <c r="J15" s="674"/>
      <c r="K15" s="1939">
        <v>9500</v>
      </c>
      <c r="L15" s="674"/>
    </row>
    <row r="16" spans="1:12" ht="15" x14ac:dyDescent="0.35">
      <c r="A16" s="1942"/>
      <c r="B16" s="674"/>
      <c r="C16" s="1938"/>
      <c r="D16" s="1938"/>
      <c r="E16" s="1938"/>
      <c r="F16" s="1938"/>
      <c r="G16" s="1941"/>
      <c r="H16" s="1941"/>
      <c r="I16" s="1941" t="s">
        <v>2098</v>
      </c>
      <c r="J16" s="674"/>
      <c r="K16" s="1944">
        <v>6534</v>
      </c>
      <c r="L16" s="674"/>
    </row>
    <row r="17" spans="1:12" ht="15" x14ac:dyDescent="0.35">
      <c r="A17" s="1942"/>
      <c r="B17" s="674"/>
      <c r="C17" s="1938"/>
      <c r="D17" s="1938"/>
      <c r="E17" s="1938"/>
      <c r="F17" s="1938"/>
      <c r="G17" s="1941"/>
      <c r="H17" s="1941"/>
      <c r="I17" s="1941"/>
      <c r="J17" s="674"/>
      <c r="K17" s="1945">
        <f>SUM(K15:K16)</f>
        <v>16034</v>
      </c>
      <c r="L17" s="674"/>
    </row>
    <row r="18" spans="1:12" x14ac:dyDescent="0.2">
      <c r="A18" s="1942"/>
      <c r="B18" s="674"/>
      <c r="C18" s="1938"/>
      <c r="D18" s="1938"/>
      <c r="E18" s="1938"/>
      <c r="F18" s="1938"/>
      <c r="G18" s="1941"/>
      <c r="H18" s="1941"/>
      <c r="I18" s="1941"/>
      <c r="J18" s="674"/>
      <c r="K18" s="1940"/>
      <c r="L18" s="674"/>
    </row>
    <row r="19" spans="1:12" x14ac:dyDescent="0.2">
      <c r="A19" s="1942">
        <v>4</v>
      </c>
      <c r="B19" s="674"/>
      <c r="C19" s="1938">
        <v>15</v>
      </c>
      <c r="D19" s="1938"/>
      <c r="E19" s="1938">
        <v>1999</v>
      </c>
      <c r="F19" s="1938"/>
      <c r="G19" s="1941" t="s">
        <v>870</v>
      </c>
      <c r="H19" s="1941"/>
      <c r="I19" s="1941" t="s">
        <v>2099</v>
      </c>
      <c r="J19" s="674"/>
      <c r="K19" s="1939">
        <v>2417</v>
      </c>
    </row>
    <row r="20" spans="1:12" x14ac:dyDescent="0.2">
      <c r="A20" s="1942"/>
      <c r="B20" s="674"/>
      <c r="C20" s="1938"/>
      <c r="D20" s="1938"/>
      <c r="E20" s="1938"/>
      <c r="F20" s="1938"/>
      <c r="G20" s="1941"/>
      <c r="H20" s="1941"/>
      <c r="I20" s="1941"/>
      <c r="J20" s="674"/>
      <c r="K20" s="1940"/>
    </row>
    <row r="21" spans="1:12" x14ac:dyDescent="0.2">
      <c r="A21" s="1942">
        <v>5</v>
      </c>
      <c r="B21" s="674"/>
      <c r="C21" s="1938">
        <v>17</v>
      </c>
      <c r="D21" s="1938"/>
      <c r="E21" s="1938">
        <v>4090</v>
      </c>
      <c r="F21" s="1938"/>
      <c r="G21" s="1941" t="s">
        <v>1155</v>
      </c>
      <c r="H21" s="1941"/>
      <c r="I21" s="1941" t="s">
        <v>2100</v>
      </c>
      <c r="J21" s="674"/>
      <c r="K21" s="1939">
        <v>14489</v>
      </c>
    </row>
    <row r="22" spans="1:12" x14ac:dyDescent="0.2">
      <c r="A22" s="1942"/>
      <c r="B22" s="674"/>
      <c r="C22" s="1938"/>
      <c r="D22" s="1938"/>
      <c r="E22" s="1938"/>
      <c r="F22" s="1938"/>
      <c r="G22" s="1941"/>
      <c r="H22" s="1941"/>
      <c r="I22" s="1941"/>
      <c r="J22" s="674"/>
      <c r="K22" s="1940"/>
    </row>
    <row r="23" spans="1:12" x14ac:dyDescent="0.2">
      <c r="A23" s="1942">
        <v>6</v>
      </c>
      <c r="B23" s="674"/>
      <c r="C23" s="1938">
        <v>20</v>
      </c>
      <c r="D23" s="1938"/>
      <c r="E23" s="1938">
        <v>2190</v>
      </c>
      <c r="F23" s="1938"/>
      <c r="G23" s="1941" t="s">
        <v>1155</v>
      </c>
      <c r="H23" s="1941"/>
      <c r="I23" s="1941" t="s">
        <v>2101</v>
      </c>
      <c r="J23" s="674"/>
      <c r="K23" s="1939">
        <v>31041.9</v>
      </c>
    </row>
    <row r="24" spans="1:12" x14ac:dyDescent="0.2">
      <c r="A24" s="1942"/>
      <c r="B24" s="674"/>
      <c r="C24" s="1938"/>
      <c r="D24" s="1938"/>
      <c r="E24" s="1938"/>
      <c r="F24" s="1938"/>
      <c r="G24" s="1941"/>
      <c r="H24" s="1941"/>
      <c r="I24" s="1941" t="s">
        <v>2102</v>
      </c>
      <c r="J24" s="674"/>
      <c r="K24" s="1943">
        <v>27341</v>
      </c>
    </row>
    <row r="25" spans="1:12" ht="15" x14ac:dyDescent="0.35">
      <c r="A25" s="1942"/>
      <c r="B25" s="674"/>
      <c r="C25" s="1938"/>
      <c r="D25" s="1938"/>
      <c r="E25" s="1938"/>
      <c r="F25" s="1938"/>
      <c r="G25" s="1941"/>
      <c r="H25" s="1941"/>
      <c r="I25" s="1941" t="s">
        <v>2103</v>
      </c>
      <c r="J25" s="674"/>
      <c r="K25" s="1947">
        <v>9979</v>
      </c>
    </row>
    <row r="26" spans="1:12" ht="15" x14ac:dyDescent="0.35">
      <c r="A26" s="1942"/>
      <c r="B26" s="674"/>
      <c r="C26" s="1938"/>
      <c r="D26" s="1938"/>
      <c r="E26" s="1938"/>
      <c r="F26" s="1938"/>
      <c r="G26" s="1941"/>
      <c r="H26" s="1941"/>
      <c r="I26" s="1941"/>
      <c r="J26" s="674"/>
      <c r="K26" s="1948">
        <f>SUM(K23:K25)</f>
        <v>68361.899999999994</v>
      </c>
    </row>
    <row r="27" spans="1:12" x14ac:dyDescent="0.2">
      <c r="A27" s="1942"/>
      <c r="B27" s="674"/>
      <c r="C27" s="1938"/>
      <c r="D27" s="1938"/>
      <c r="E27" s="1938"/>
      <c r="F27" s="1938"/>
      <c r="G27" s="1941"/>
      <c r="H27" s="1941"/>
      <c r="I27" s="1941"/>
      <c r="J27" s="674"/>
      <c r="K27" s="1940"/>
    </row>
    <row r="28" spans="1:12" x14ac:dyDescent="0.2">
      <c r="A28" s="1942">
        <v>7</v>
      </c>
      <c r="B28" s="674"/>
      <c r="C28" s="1938">
        <v>23</v>
      </c>
      <c r="D28" s="1938"/>
      <c r="E28" s="1938">
        <v>5400</v>
      </c>
      <c r="F28" s="1938"/>
      <c r="G28" s="1941" t="s">
        <v>450</v>
      </c>
      <c r="H28" s="1941"/>
      <c r="I28" s="1941" t="s">
        <v>2104</v>
      </c>
      <c r="J28" s="674"/>
      <c r="K28" s="1949">
        <v>850</v>
      </c>
    </row>
    <row r="29" spans="1:12" x14ac:dyDescent="0.2">
      <c r="A29" s="1068"/>
    </row>
    <row r="30" spans="1:12" x14ac:dyDescent="0.2">
      <c r="A30" s="1068">
        <v>8</v>
      </c>
      <c r="C30" s="1937">
        <v>30</v>
      </c>
      <c r="E30" s="1950" t="s">
        <v>2105</v>
      </c>
      <c r="G30" s="329" t="s">
        <v>410</v>
      </c>
      <c r="I30" s="329" t="s">
        <v>2106</v>
      </c>
      <c r="K30" s="1949">
        <v>61</v>
      </c>
    </row>
    <row r="31" spans="1:12" x14ac:dyDescent="0.2">
      <c r="A31" s="1068"/>
    </row>
    <row r="32" spans="1:12" x14ac:dyDescent="0.2">
      <c r="A32" s="1068">
        <v>9</v>
      </c>
      <c r="C32" s="1937">
        <v>30</v>
      </c>
      <c r="E32" s="1950" t="s">
        <v>2105</v>
      </c>
      <c r="G32" s="329" t="s">
        <v>2107</v>
      </c>
      <c r="I32" s="329" t="s">
        <v>2104</v>
      </c>
      <c r="K32" s="1951">
        <v>350</v>
      </c>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row>
    <row r="68" spans="1:2" x14ac:dyDescent="0.2">
      <c r="A68" s="1068"/>
    </row>
    <row r="69" spans="1:2" x14ac:dyDescent="0.2">
      <c r="A69" s="1068"/>
    </row>
    <row r="70" spans="1:2" x14ac:dyDescent="0.2">
      <c r="A70" s="1068"/>
    </row>
    <row r="71" spans="1:2" x14ac:dyDescent="0.2">
      <c r="A71" s="1068"/>
    </row>
    <row r="72" spans="1:2" x14ac:dyDescent="0.2">
      <c r="A72" s="1068"/>
    </row>
    <row r="73" spans="1:2" x14ac:dyDescent="0.2">
      <c r="A73" s="1068"/>
    </row>
    <row r="74" spans="1:2" x14ac:dyDescent="0.2">
      <c r="A74" s="1068"/>
    </row>
    <row r="75" spans="1:2" x14ac:dyDescent="0.2">
      <c r="A75" s="1068"/>
    </row>
    <row r="76" spans="1:2" x14ac:dyDescent="0.2">
      <c r="A76" s="1068"/>
    </row>
    <row r="77" spans="1:2" x14ac:dyDescent="0.2">
      <c r="A77" s="1068"/>
      <c r="B77" s="258" t="str">
        <f>COVER!A17</f>
        <v>STEELEVILLE CUSD 138</v>
      </c>
    </row>
    <row r="78" spans="1:2" x14ac:dyDescent="0.2">
      <c r="B78" s="1069">
        <f>COVER!A13</f>
        <v>45079138026</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statements.&amp;C41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C114" sqref="C114:D1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15" sqref="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857250</xdr:colOff>
                <xdr:row>5</xdr:row>
                <xdr:rowOff>47625</xdr:rowOff>
              </from>
              <to>
                <xdr:col>1</xdr:col>
                <xdr:colOff>1771650</xdr:colOff>
                <xdr:row>9</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1987</v>
      </c>
      <c r="B2" s="2362"/>
      <c r="C2" s="2362"/>
      <c r="D2" s="2362"/>
      <c r="E2" s="2362"/>
      <c r="F2" s="2363"/>
      <c r="G2" s="1073"/>
      <c r="H2" s="1073"/>
    </row>
    <row r="3" spans="1:8" ht="57" customHeight="1" x14ac:dyDescent="0.2">
      <c r="A3" s="2364" t="s">
        <v>1686</v>
      </c>
      <c r="B3" s="2365"/>
      <c r="C3" s="2365"/>
      <c r="D3" s="2365"/>
      <c r="E3" s="2365"/>
      <c r="F3" s="2366"/>
      <c r="G3" s="1073"/>
      <c r="H3" s="1073"/>
    </row>
    <row r="4" spans="1:8" ht="14.25" customHeight="1" x14ac:dyDescent="0.2">
      <c r="A4" s="2370" t="s">
        <v>1988</v>
      </c>
      <c r="B4" s="2371"/>
      <c r="C4" s="2371"/>
      <c r="D4" s="2371"/>
      <c r="E4" s="2371"/>
      <c r="F4" s="2372"/>
      <c r="G4" s="1073"/>
      <c r="H4" s="1073"/>
    </row>
    <row r="5" spans="1:8" ht="14.25" customHeight="1" x14ac:dyDescent="0.2">
      <c r="A5" s="2373" t="s">
        <v>1984</v>
      </c>
      <c r="B5" s="2374"/>
      <c r="C5" s="2374"/>
      <c r="D5" s="2374"/>
      <c r="E5" s="2374"/>
      <c r="F5" s="2375"/>
      <c r="G5" s="1073"/>
      <c r="H5" s="1073"/>
    </row>
    <row r="6" spans="1:8" s="1074" customFormat="1" ht="41.25" customHeight="1" x14ac:dyDescent="0.2">
      <c r="A6" s="2367" t="s">
        <v>1691</v>
      </c>
      <c r="B6" s="2368"/>
      <c r="C6" s="2368"/>
      <c r="D6" s="2368"/>
      <c r="E6" s="2368"/>
      <c r="F6" s="236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3485905</v>
      </c>
      <c r="C8" s="1814">
        <f>'Acct Summary 7-8'!D8</f>
        <v>202714</v>
      </c>
      <c r="D8" s="1814">
        <f>'Acct Summary 7-8'!F8</f>
        <v>215663</v>
      </c>
      <c r="E8" s="1814">
        <f>'Acct Summary 7-8'!I8</f>
        <v>13703</v>
      </c>
      <c r="F8" s="1814">
        <f>SUM(B8:E8)</f>
        <v>3917985</v>
      </c>
    </row>
    <row r="9" spans="1:8" s="1078" customFormat="1" ht="14.25" customHeight="1" thickBot="1" x14ac:dyDescent="0.25">
      <c r="A9" s="1077" t="s">
        <v>1369</v>
      </c>
      <c r="B9" s="1815">
        <f>'Acct Summary 7-8'!C17</f>
        <v>3307709</v>
      </c>
      <c r="C9" s="1815">
        <f>'Acct Summary 7-8'!D17</f>
        <v>169267</v>
      </c>
      <c r="D9" s="1815">
        <f>'Acct Summary 7-8'!F17</f>
        <v>226664</v>
      </c>
      <c r="E9" s="1814"/>
      <c r="F9" s="1814">
        <f>SUM(B9:E9)</f>
        <v>3703640</v>
      </c>
    </row>
    <row r="10" spans="1:8" s="1078" customFormat="1" ht="14.25" thickTop="1" thickBot="1" x14ac:dyDescent="0.25">
      <c r="A10" s="1079" t="s">
        <v>1370</v>
      </c>
      <c r="B10" s="1816">
        <f>(B8-B9)</f>
        <v>178196</v>
      </c>
      <c r="C10" s="1816">
        <f>(C8-C9)</f>
        <v>33447</v>
      </c>
      <c r="D10" s="1816">
        <f>(D8-D9)</f>
        <v>-11001</v>
      </c>
      <c r="E10" s="1815">
        <f>(E8-E9)</f>
        <v>13703</v>
      </c>
      <c r="F10" s="1817">
        <f>SUM(F8-F9)</f>
        <v>214345</v>
      </c>
    </row>
    <row r="11" spans="1:8" s="1078" customFormat="1" ht="14.25" thickTop="1" thickBot="1" x14ac:dyDescent="0.25">
      <c r="A11" s="1080" t="s">
        <v>1985</v>
      </c>
      <c r="B11" s="1818">
        <f>'Acct Summary 7-8'!C81</f>
        <v>394178</v>
      </c>
      <c r="C11" s="1818">
        <f>'Acct Summary 7-8'!D81</f>
        <v>334534</v>
      </c>
      <c r="D11" s="1818">
        <f>'Acct Summary 7-8'!F81</f>
        <v>304895</v>
      </c>
      <c r="E11" s="1818">
        <f>'Acct Summary 7-8'!I81</f>
        <v>384240</v>
      </c>
      <c r="F11" s="1819">
        <f>SUM(B11:E11)</f>
        <v>1417847</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1687</v>
      </c>
      <c r="B16" s="2354"/>
      <c r="C16" s="2354"/>
      <c r="D16" s="2354"/>
      <c r="E16" s="235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statements.&amp;C42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D62" sqref="D6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6" t="s">
        <v>665</v>
      </c>
      <c r="B3" s="2377"/>
      <c r="C3" s="2377"/>
      <c r="D3" s="2378"/>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7" t="s">
        <v>1504</v>
      </c>
      <c r="D7" s="2388"/>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1" t="s">
        <v>314</v>
      </c>
      <c r="D21" s="2392"/>
    </row>
    <row r="22" spans="1:10" ht="12.75" x14ac:dyDescent="0.2">
      <c r="A22" s="1138"/>
      <c r="B22" s="1139">
        <v>2</v>
      </c>
      <c r="C22" s="2389" t="s">
        <v>1524</v>
      </c>
      <c r="D22" s="2390"/>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3" t="s">
        <v>536</v>
      </c>
      <c r="D43" s="239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5" t="s">
        <v>784</v>
      </c>
      <c r="D56" s="238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5" t="s">
        <v>1696</v>
      </c>
      <c r="D70" s="238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statements.&amp;C43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45079138026</v>
      </c>
    </row>
    <row r="3" spans="1:2" x14ac:dyDescent="0.2">
      <c r="A3" t="s">
        <v>956</v>
      </c>
      <c r="B3" s="138" t="str">
        <f>COVER!A15</f>
        <v>RANDOLPH</v>
      </c>
    </row>
    <row r="4" spans="1:2" x14ac:dyDescent="0.2">
      <c r="A4" t="s">
        <v>1007</v>
      </c>
      <c r="B4" s="138" t="str">
        <f>COVER!A17</f>
        <v>STEELEVILLE CUSD 138</v>
      </c>
    </row>
    <row r="5" spans="1:2" x14ac:dyDescent="0.2">
      <c r="A5" t="s">
        <v>704</v>
      </c>
      <c r="B5" s="138" t="str">
        <f>COVER!A38</f>
        <v>DR. STEPHANIE L. MULHOLLAND</v>
      </c>
    </row>
    <row r="6" spans="1:2" x14ac:dyDescent="0.2">
      <c r="A6" t="s">
        <v>709</v>
      </c>
      <c r="B6" s="138">
        <f>COVER!P35</f>
        <v>0</v>
      </c>
    </row>
    <row r="7" spans="1:2" x14ac:dyDescent="0.2">
      <c r="A7" t="s">
        <v>705</v>
      </c>
      <c r="B7" s="138">
        <f>COVER!I38</f>
        <v>0</v>
      </c>
    </row>
    <row r="8" spans="1:2" x14ac:dyDescent="0.2">
      <c r="A8" t="s">
        <v>706</v>
      </c>
      <c r="B8" s="138" t="str">
        <f>COVER!T38</f>
        <v>KELTON DAVIS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065-014460</v>
      </c>
    </row>
    <row r="16" spans="1:2" x14ac:dyDescent="0.2">
      <c r="A16" t="s">
        <v>422</v>
      </c>
      <c r="B16" s="138" t="str">
        <f>COVER!T13</f>
        <v>SCHEFFEL BOYLE</v>
      </c>
    </row>
    <row r="17" spans="1:2" x14ac:dyDescent="0.2">
      <c r="A17" t="s">
        <v>884</v>
      </c>
      <c r="B17" s="138" t="str">
        <f>COVER!T15</f>
        <v>KEITH G. BRINKMANN, CPA</v>
      </c>
    </row>
    <row r="18" spans="1:2" x14ac:dyDescent="0.2">
      <c r="A18" t="s">
        <v>1150</v>
      </c>
      <c r="B18" s="138" t="str">
        <f>COVER!T17</f>
        <v>7 HILL CASTLE LANE</v>
      </c>
    </row>
    <row r="19" spans="1:2" x14ac:dyDescent="0.2">
      <c r="A19" t="s">
        <v>886</v>
      </c>
      <c r="B19" s="138" t="str">
        <f>COVER!T25</f>
        <v>keith.brinkmann@scheffelboyle.com</v>
      </c>
    </row>
    <row r="20" spans="1:2" x14ac:dyDescent="0.2">
      <c r="A20" t="s">
        <v>887</v>
      </c>
      <c r="B20" s="138" t="str">
        <f>COVER!T19</f>
        <v>COLUMBIA</v>
      </c>
    </row>
    <row r="21" spans="1:2" x14ac:dyDescent="0.2">
      <c r="A21" t="s">
        <v>479</v>
      </c>
      <c r="B21" s="138" t="str">
        <f>COVER!X19</f>
        <v>IL</v>
      </c>
    </row>
    <row r="22" spans="1:2" x14ac:dyDescent="0.2">
      <c r="A22" t="s">
        <v>888</v>
      </c>
      <c r="B22" s="138">
        <f>COVER!Z19</f>
        <v>62236</v>
      </c>
    </row>
    <row r="23" spans="1:2" x14ac:dyDescent="0.2">
      <c r="A23" t="s">
        <v>1152</v>
      </c>
      <c r="B23" s="138" t="str">
        <f>COVER!T21</f>
        <v>618-281-7605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35065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398512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4334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4334</v>
      </c>
      <c r="C91" s="2" t="s">
        <v>573</v>
      </c>
      <c r="D91" s="2" t="str">
        <f t="shared" si="0"/>
        <v>Error?</v>
      </c>
    </row>
    <row r="92" spans="1:4" x14ac:dyDescent="0.2">
      <c r="A92" s="5">
        <v>31</v>
      </c>
      <c r="B92" s="138">
        <f>'Assets-Liab 5-6'!C39</f>
        <v>394178</v>
      </c>
      <c r="D92" s="2" t="str">
        <f t="shared" si="0"/>
        <v>Error?</v>
      </c>
    </row>
    <row r="93" spans="1:4" x14ac:dyDescent="0.2">
      <c r="A93" s="5">
        <v>32</v>
      </c>
      <c r="B93" s="138">
        <f>'Assets-Liab 5-6'!C41</f>
        <v>398512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334534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334534</v>
      </c>
      <c r="D123" s="2" t="str">
        <f t="shared" si="0"/>
        <v>Error?</v>
      </c>
    </row>
    <row r="124" spans="1:4" x14ac:dyDescent="0.2">
      <c r="A124" s="5">
        <v>63</v>
      </c>
      <c r="B124" s="138">
        <f>'Assets-Liab 5-6'!D41</f>
        <v>334534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108252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63699</v>
      </c>
      <c r="D140" s="2" t="str">
        <f t="shared" si="1"/>
        <v>Error?</v>
      </c>
    </row>
    <row r="141" spans="1:4" x14ac:dyDescent="0.2">
      <c r="A141" s="5">
        <v>80</v>
      </c>
      <c r="B141" s="138">
        <f>'Assets-Liab 5-6'!E41</f>
        <v>108252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304895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304895</v>
      </c>
      <c r="D170" s="2" t="str">
        <f t="shared" si="1"/>
        <v>Error?</v>
      </c>
    </row>
    <row r="171" spans="1:4" x14ac:dyDescent="0.2">
      <c r="A171" s="5">
        <v>110</v>
      </c>
      <c r="B171" s="138">
        <f>'Assets-Liab 5-6'!F41</f>
        <v>304895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100204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91349</v>
      </c>
      <c r="D189" s="2" t="str">
        <f t="shared" si="1"/>
        <v>Error?</v>
      </c>
    </row>
    <row r="190" spans="1:4" x14ac:dyDescent="0.2">
      <c r="A190" s="5">
        <v>129</v>
      </c>
      <c r="B190" s="138">
        <f>'Assets-Liab 5-6'!G41</f>
        <v>100204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230595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-13880</v>
      </c>
      <c r="D212" s="2" t="str">
        <f t="shared" si="2"/>
        <v>Error?</v>
      </c>
    </row>
    <row r="213" spans="1:4" x14ac:dyDescent="0.2">
      <c r="A213" s="12">
        <v>152</v>
      </c>
      <c r="B213" s="138">
        <f>'Assets-Liab 5-6'!H41</f>
        <v>230595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24902</v>
      </c>
      <c r="D273" s="2" t="str">
        <f t="shared" si="3"/>
        <v>Error?</v>
      </c>
    </row>
    <row r="274" spans="1:4" x14ac:dyDescent="0.2">
      <c r="A274" s="5">
        <v>213</v>
      </c>
      <c r="B274" s="138">
        <f>'Assets-Liab 5-6'!M17</f>
        <v>178390</v>
      </c>
      <c r="D274" s="2" t="str">
        <f t="shared" si="3"/>
        <v>Error?</v>
      </c>
    </row>
    <row r="275" spans="1:4" x14ac:dyDescent="0.2">
      <c r="A275" s="5">
        <v>214</v>
      </c>
      <c r="B275" s="138">
        <f>'Assets-Liab 5-6'!M18</f>
        <v>7858271</v>
      </c>
      <c r="D275" s="2" t="str">
        <f t="shared" si="3"/>
        <v>Error?</v>
      </c>
    </row>
    <row r="276" spans="1:4" x14ac:dyDescent="0.2">
      <c r="A276" s="5">
        <v>215</v>
      </c>
      <c r="B276" s="138">
        <f>'Assets-Liab 5-6'!M19</f>
        <v>1968521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10049577</v>
      </c>
      <c r="C279" s="2" t="s">
        <v>573</v>
      </c>
      <c r="D279" s="2" t="str">
        <f t="shared" si="3"/>
        <v>Error?</v>
      </c>
    </row>
    <row r="280" spans="1:4" x14ac:dyDescent="0.2">
      <c r="A280" s="5">
        <v>219</v>
      </c>
      <c r="B280" s="138">
        <f>'Assets-Liab 5-6'!M40</f>
        <v>10049577</v>
      </c>
      <c r="D280" s="2" t="str">
        <f t="shared" si="3"/>
        <v>Error?</v>
      </c>
    </row>
    <row r="281" spans="1:4" x14ac:dyDescent="0.2">
      <c r="A281" s="5">
        <v>220</v>
      </c>
      <c r="B281" s="138">
        <f>'Assets-Liab 5-6'!M41</f>
        <v>10049577</v>
      </c>
      <c r="C281" s="2" t="s">
        <v>573</v>
      </c>
      <c r="D281" s="2" t="str">
        <f t="shared" si="3"/>
        <v>Error?</v>
      </c>
    </row>
    <row r="282" spans="1:4" x14ac:dyDescent="0.2">
      <c r="A282" s="5">
        <v>221</v>
      </c>
      <c r="B282" s="138">
        <f>'Assets-Liab 5-6'!N21</f>
        <v>108252</v>
      </c>
      <c r="D282" s="2" t="str">
        <f t="shared" si="3"/>
        <v>Error?</v>
      </c>
    </row>
    <row r="283" spans="1:4" x14ac:dyDescent="0.2">
      <c r="A283" s="5">
        <v>222</v>
      </c>
      <c r="B283" s="138">
        <f>'Assets-Liab 5-6'!N22</f>
        <v>2381748</v>
      </c>
      <c r="D283" s="2" t="str">
        <f t="shared" si="3"/>
        <v>Error?</v>
      </c>
    </row>
    <row r="284" spans="1:4" x14ac:dyDescent="0.2">
      <c r="A284" s="5">
        <v>223</v>
      </c>
      <c r="B284" s="138">
        <f>'Assets-Liab 5-6'!N23</f>
        <v>2490000</v>
      </c>
      <c r="C284" s="2" t="s">
        <v>573</v>
      </c>
      <c r="D284" s="2" t="str">
        <f t="shared" si="3"/>
        <v>Error?</v>
      </c>
    </row>
    <row r="285" spans="1:4" x14ac:dyDescent="0.2">
      <c r="A285" s="5">
        <v>224</v>
      </c>
      <c r="B285" s="138">
        <f>'Assets-Liab 5-6'!N36</f>
        <v>2490000</v>
      </c>
      <c r="D285" s="2" t="str">
        <f t="shared" si="3"/>
        <v>Error?</v>
      </c>
    </row>
    <row r="286" spans="1:4" x14ac:dyDescent="0.2">
      <c r="A286" s="10">
        <v>225</v>
      </c>
      <c r="D286" s="2" t="str">
        <f t="shared" si="3"/>
        <v>OK</v>
      </c>
    </row>
    <row r="287" spans="1:4" x14ac:dyDescent="0.2">
      <c r="A287" s="5">
        <v>226</v>
      </c>
      <c r="B287" s="138">
        <f>'Assets-Liab 5-6'!N37</f>
        <v>2490000</v>
      </c>
      <c r="C287" s="2" t="s">
        <v>573</v>
      </c>
      <c r="D287" s="2" t="str">
        <f t="shared" si="3"/>
        <v>Error?</v>
      </c>
    </row>
    <row r="288" spans="1:4" x14ac:dyDescent="0.2">
      <c r="A288" s="5">
        <v>227</v>
      </c>
      <c r="B288" s="138">
        <f>'Assets-Liab 5-6'!N41</f>
        <v>2490000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1347601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969</v>
      </c>
      <c r="D717" s="2" t="str">
        <f t="shared" si="10"/>
        <v>Error?</v>
      </c>
    </row>
    <row r="718" spans="1:4" x14ac:dyDescent="0.2">
      <c r="A718" s="5">
        <v>657</v>
      </c>
      <c r="B718" s="138">
        <f>'Expenditures 15-22'!C14</f>
        <v>63013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1779523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53457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30165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83622</v>
      </c>
      <c r="C727" s="2" t="s">
        <v>573</v>
      </c>
      <c r="D727" s="2" t="str">
        <f t="shared" si="10"/>
        <v>Error?</v>
      </c>
    </row>
    <row r="728" spans="1:4" x14ac:dyDescent="0.2">
      <c r="A728" s="5">
        <v>667</v>
      </c>
      <c r="B728" s="138">
        <f>'Expenditures 15-22'!C44</f>
        <v>6208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6208</v>
      </c>
      <c r="C731" s="2" t="s">
        <v>573</v>
      </c>
      <c r="D731" s="2" t="str">
        <f t="shared" si="10"/>
        <v>Error?</v>
      </c>
    </row>
    <row r="732" spans="1:4" x14ac:dyDescent="0.2">
      <c r="A732" s="5">
        <v>671</v>
      </c>
      <c r="B732" s="138">
        <f>'Expenditures 15-22'!C49</f>
        <v>3676</v>
      </c>
      <c r="D732" s="2" t="str">
        <f t="shared" si="10"/>
        <v>Error?</v>
      </c>
    </row>
    <row r="733" spans="1:4" x14ac:dyDescent="0.2">
      <c r="A733" s="5">
        <v>672</v>
      </c>
      <c r="B733" s="138">
        <f>'Expenditures 15-22'!C50</f>
        <v>53439</v>
      </c>
      <c r="D733" s="2" t="str">
        <f t="shared" si="10"/>
        <v>Error?</v>
      </c>
    </row>
    <row r="734" spans="1:4" x14ac:dyDescent="0.2">
      <c r="A734" s="5">
        <v>673</v>
      </c>
      <c r="B734" s="138">
        <f>'Expenditures 15-22'!C53</f>
        <v>57115</v>
      </c>
      <c r="C734" s="2" t="s">
        <v>573</v>
      </c>
      <c r="D734" s="2" t="str">
        <f t="shared" si="10"/>
        <v>Error?</v>
      </c>
    </row>
    <row r="735" spans="1:4" x14ac:dyDescent="0.2">
      <c r="A735" s="5">
        <v>674</v>
      </c>
      <c r="B735" s="138">
        <f>'Expenditures 15-22'!C55</f>
        <v>205186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205186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46715</v>
      </c>
      <c r="D739" s="2" t="str">
        <f t="shared" si="10"/>
        <v>Error?</v>
      </c>
    </row>
    <row r="740" spans="1:4" x14ac:dyDescent="0.2">
      <c r="A740" s="5">
        <v>679</v>
      </c>
      <c r="B740" s="138">
        <f>'Expenditures 15-22'!C61</f>
        <v>143303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41974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231992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584123</v>
      </c>
      <c r="C755" s="2" t="s">
        <v>573</v>
      </c>
      <c r="D755" s="2" t="str">
        <f t="shared" si="10"/>
        <v>Error?</v>
      </c>
    </row>
    <row r="756" spans="1:4" x14ac:dyDescent="0.2">
      <c r="A756" s="5">
        <v>695</v>
      </c>
      <c r="B756" s="138">
        <f>'Expenditures 15-22'!C75</f>
        <v>5367</v>
      </c>
      <c r="D756" s="2" t="str">
        <f t="shared" si="10"/>
        <v>Error?</v>
      </c>
    </row>
    <row r="757" spans="1:4" x14ac:dyDescent="0.2">
      <c r="A757" s="5">
        <v>696</v>
      </c>
      <c r="B757" s="138">
        <f>'Expenditures 15-22'!C114</f>
        <v>2369013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260186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v>
      </c>
      <c r="D775" s="2" t="str">
        <f t="shared" si="11"/>
        <v>Error?</v>
      </c>
    </row>
    <row r="776" spans="1:4" x14ac:dyDescent="0.2">
      <c r="A776" s="5">
        <v>715</v>
      </c>
      <c r="B776" s="138">
        <f>'Expenditures 15-22'!D14</f>
        <v>584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309413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1203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1203</v>
      </c>
      <c r="C785" s="2" t="s">
        <v>573</v>
      </c>
      <c r="D785" s="2" t="str">
        <f t="shared" si="11"/>
        <v>Error?</v>
      </c>
    </row>
    <row r="786" spans="1:4" x14ac:dyDescent="0.2">
      <c r="A786" s="5">
        <v>725</v>
      </c>
      <c r="B786" s="138">
        <f>'Expenditures 15-22'!D44</f>
        <v>140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10927</v>
      </c>
      <c r="D791" s="2" t="str">
        <f t="shared" si="11"/>
        <v>Error?</v>
      </c>
    </row>
    <row r="792" spans="1:4" x14ac:dyDescent="0.2">
      <c r="A792" s="5">
        <v>731</v>
      </c>
      <c r="B792" s="138">
        <f>'Expenditures 15-22'!D53</f>
        <v>10927</v>
      </c>
      <c r="C792" s="2" t="s">
        <v>573</v>
      </c>
      <c r="D792" s="2" t="str">
        <f t="shared" si="11"/>
        <v>Error?</v>
      </c>
    </row>
    <row r="793" spans="1:4" x14ac:dyDescent="0.2">
      <c r="A793" s="5">
        <v>732</v>
      </c>
      <c r="B793" s="138">
        <f>'Expenditures 15-22'!D55</f>
        <v>13728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13728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28627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16678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45305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71303</v>
      </c>
      <c r="C813" s="2" t="s">
        <v>573</v>
      </c>
      <c r="D813" s="2" t="str">
        <f t="shared" si="11"/>
        <v>Error?</v>
      </c>
    </row>
    <row r="814" spans="1:4" x14ac:dyDescent="0.2">
      <c r="A814" s="5">
        <v>753</v>
      </c>
      <c r="B814" s="138">
        <f>'Expenditures 15-22'!D75</f>
        <v>567</v>
      </c>
      <c r="D814" s="2" t="str">
        <f t="shared" si="11"/>
        <v>Error?</v>
      </c>
    </row>
    <row r="815" spans="1:4" x14ac:dyDescent="0.2">
      <c r="A815" s="5">
        <v>754</v>
      </c>
      <c r="B815" s="138">
        <f>'Expenditures 15-22'!D114</f>
        <v>381283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26862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969</v>
      </c>
      <c r="D833" s="2" t="str">
        <f t="shared" si="12"/>
        <v>Error?</v>
      </c>
    </row>
    <row r="834" spans="1:4" x14ac:dyDescent="0.2">
      <c r="A834" s="5">
        <v>773</v>
      </c>
      <c r="B834" s="138">
        <f>'Expenditures 15-22'!E14</f>
        <v>18193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48647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31042</v>
      </c>
      <c r="D842" s="2" t="str">
        <f t="shared" si="12"/>
        <v>Error?</v>
      </c>
    </row>
    <row r="843" spans="1:4" x14ac:dyDescent="0.2">
      <c r="A843" s="5">
        <v>782</v>
      </c>
      <c r="B843" s="138">
        <f>'Expenditures 15-22'!E42</f>
        <v>31042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728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728</v>
      </c>
      <c r="C847" s="2" t="s">
        <v>573</v>
      </c>
      <c r="D847" s="2" t="str">
        <f t="shared" si="12"/>
        <v>Error?</v>
      </c>
    </row>
    <row r="848" spans="1:4" x14ac:dyDescent="0.2">
      <c r="A848" s="5">
        <v>787</v>
      </c>
      <c r="B848" s="138">
        <f>'Expenditures 15-22'!E49</f>
        <v>30437</v>
      </c>
      <c r="D848" s="2" t="str">
        <f t="shared" si="12"/>
        <v>Error?</v>
      </c>
    </row>
    <row r="849" spans="1:4" x14ac:dyDescent="0.2">
      <c r="A849" s="5">
        <v>788</v>
      </c>
      <c r="B849" s="138">
        <f>'Expenditures 15-22'!E50</f>
        <v>850</v>
      </c>
      <c r="D849" s="2" t="str">
        <f t="shared" si="12"/>
        <v>Error?</v>
      </c>
    </row>
    <row r="850" spans="1:4" x14ac:dyDescent="0.2">
      <c r="A850" s="5">
        <v>789</v>
      </c>
      <c r="B850" s="138">
        <f>'Expenditures 15-22'!E53</f>
        <v>31287</v>
      </c>
      <c r="C850" s="2" t="s">
        <v>573</v>
      </c>
      <c r="D850" s="2" t="str">
        <f t="shared" si="12"/>
        <v>Error?</v>
      </c>
    </row>
    <row r="851" spans="1:4" x14ac:dyDescent="0.2">
      <c r="A851" s="5">
        <v>790</v>
      </c>
      <c r="B851" s="138">
        <f>'Expenditures 15-22'!E55</f>
        <v>12358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1213</v>
      </c>
      <c r="D855" s="2" t="str">
        <f t="shared" si="12"/>
        <v>Error?</v>
      </c>
    </row>
    <row r="856" spans="1:4" x14ac:dyDescent="0.2">
      <c r="A856" s="5">
        <v>795</v>
      </c>
      <c r="B856" s="138">
        <f>'Expenditures 15-22'!E61</f>
        <v>3960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81629</v>
      </c>
      <c r="C871" s="2" t="s">
        <v>573</v>
      </c>
      <c r="D871" s="2" t="str">
        <f t="shared" si="12"/>
        <v>Error?</v>
      </c>
    </row>
    <row r="872" spans="1:4" x14ac:dyDescent="0.2">
      <c r="A872" s="5">
        <v>811</v>
      </c>
      <c r="B872" s="138">
        <f>'Expenditures 15-22'!E75</f>
        <v>1710</v>
      </c>
      <c r="D872" s="2" t="str">
        <f t="shared" si="12"/>
        <v>Error?</v>
      </c>
    </row>
    <row r="873" spans="1:4" x14ac:dyDescent="0.2">
      <c r="A873" s="5">
        <v>812</v>
      </c>
      <c r="B873" s="138">
        <f>'Expenditures 15-22'!E114</f>
        <v>131986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39045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4733</v>
      </c>
      <c r="D891" s="2" t="str">
        <f t="shared" si="12"/>
        <v>Error?</v>
      </c>
    </row>
    <row r="892" spans="1:4" x14ac:dyDescent="0.2">
      <c r="A892" s="5">
        <v>831</v>
      </c>
      <c r="B892" s="138">
        <f>'Expenditures 15-22'!F14</f>
        <v>17850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64379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264</v>
      </c>
      <c r="D899" s="2" t="str">
        <f t="shared" si="13"/>
        <v>Error?</v>
      </c>
    </row>
    <row r="900" spans="1:4" x14ac:dyDescent="0.2">
      <c r="A900" s="5">
        <v>839</v>
      </c>
      <c r="B900" s="138">
        <f>'Expenditures 15-22'!F41</f>
        <v>27341</v>
      </c>
      <c r="D900" s="2" t="str">
        <f t="shared" si="13"/>
        <v>Error?</v>
      </c>
    </row>
    <row r="901" spans="1:4" x14ac:dyDescent="0.2">
      <c r="A901" s="5">
        <v>840</v>
      </c>
      <c r="B901" s="138">
        <f>'Expenditures 15-22'!F42</f>
        <v>27605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3522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3522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8343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47620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55963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87212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151591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2549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3681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9979</v>
      </c>
      <c r="D958" s="2" t="str">
        <f t="shared" si="13"/>
        <v>Error?</v>
      </c>
    </row>
    <row r="959" spans="1:4" x14ac:dyDescent="0.2">
      <c r="A959" s="5">
        <v>898</v>
      </c>
      <c r="B959" s="138">
        <f>'Expenditures 15-22'!G42</f>
        <v>9979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9979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13660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1379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2055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2055</v>
      </c>
      <c r="C1021" s="2" t="s">
        <v>573</v>
      </c>
      <c r="D1021" s="2" t="str">
        <f t="shared" si="14"/>
        <v>Error?</v>
      </c>
    </row>
    <row r="1022" spans="1:4" x14ac:dyDescent="0.2">
      <c r="A1022" s="5">
        <v>961</v>
      </c>
      <c r="B1022" s="138">
        <f>'Expenditures 15-22'!H49</f>
        <v>5087</v>
      </c>
      <c r="D1022" s="2" t="str">
        <f t="shared" si="14"/>
        <v>Error?</v>
      </c>
    </row>
    <row r="1023" spans="1:4" x14ac:dyDescent="0.2">
      <c r="A1023" s="5">
        <v>962</v>
      </c>
      <c r="B1023" s="138">
        <f>'Expenditures 15-22'!H50</f>
        <v>825</v>
      </c>
      <c r="D1023" s="2" t="str">
        <f t="shared" ref="D1023:D1086" si="15">IF(ISBLANK(B1023),"OK",IF(A1023-B1023=0,"OK","Error?"))</f>
        <v>Error?</v>
      </c>
    </row>
    <row r="1024" spans="1:4" x14ac:dyDescent="0.2">
      <c r="A1024" s="5">
        <v>963</v>
      </c>
      <c r="B1024" s="138">
        <f>'Expenditures 15-22'!H53</f>
        <v>5912</v>
      </c>
      <c r="C1024" s="2" t="s">
        <v>573</v>
      </c>
      <c r="D1024" s="2" t="str">
        <f t="shared" si="15"/>
        <v>Error?</v>
      </c>
    </row>
    <row r="1025" spans="1:4" x14ac:dyDescent="0.2">
      <c r="A1025" s="5">
        <v>964</v>
      </c>
      <c r="B1025" s="138">
        <f>'Expenditures 15-22'!H55</f>
        <v>3420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3420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625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12012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245391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260176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1676220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9337</v>
      </c>
      <c r="C1105" s="2" t="s">
        <v>573</v>
      </c>
      <c r="D1105" s="2" t="str">
        <f t="shared" si="16"/>
        <v>Error?</v>
      </c>
    </row>
    <row r="1106" spans="1:4" x14ac:dyDescent="0.2">
      <c r="A1106" s="5">
        <v>1045</v>
      </c>
      <c r="B1106" s="138">
        <f>'Expenditures 15-22'!K14</f>
        <v>101019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2208416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54660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30429</v>
      </c>
      <c r="C1113" s="2" t="s">
        <v>573</v>
      </c>
      <c r="D1113" s="2" t="str">
        <f t="shared" si="16"/>
        <v>Error?</v>
      </c>
    </row>
    <row r="1114" spans="1:4" x14ac:dyDescent="0.2">
      <c r="A1114" s="5">
        <v>1053</v>
      </c>
      <c r="B1114" s="138">
        <f>'Expenditures 15-22'!K41</f>
        <v>68362</v>
      </c>
      <c r="C1114" s="2" t="s">
        <v>573</v>
      </c>
      <c r="D1114" s="2" t="str">
        <f t="shared" si="16"/>
        <v>Error?</v>
      </c>
    </row>
    <row r="1115" spans="1:4" x14ac:dyDescent="0.2">
      <c r="A1115" s="5">
        <v>1054</v>
      </c>
      <c r="B1115" s="138">
        <f>'Expenditures 15-22'!K42</f>
        <v>153451</v>
      </c>
      <c r="C1115" s="2" t="s">
        <v>573</v>
      </c>
      <c r="D1115" s="2" t="str">
        <f t="shared" si="16"/>
        <v>Error?</v>
      </c>
    </row>
    <row r="1116" spans="1:4" x14ac:dyDescent="0.2">
      <c r="A1116" s="5">
        <v>1055</v>
      </c>
      <c r="B1116" s="138">
        <f>'Expenditures 15-22'!K44</f>
        <v>8403</v>
      </c>
      <c r="C1116" s="2" t="s">
        <v>573</v>
      </c>
      <c r="D1116" s="2" t="str">
        <f t="shared" si="16"/>
        <v>Error?</v>
      </c>
    </row>
    <row r="1117" spans="1:4" x14ac:dyDescent="0.2">
      <c r="A1117" s="5">
        <v>1056</v>
      </c>
      <c r="B1117" s="138">
        <f>'Expenditures 15-22'!K45</f>
        <v>850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9253</v>
      </c>
      <c r="C1119" s="2" t="s">
        <v>573</v>
      </c>
      <c r="D1119" s="2" t="str">
        <f t="shared" si="16"/>
        <v>Error?</v>
      </c>
    </row>
    <row r="1120" spans="1:4" x14ac:dyDescent="0.2">
      <c r="A1120" s="5">
        <v>1059</v>
      </c>
      <c r="B1120" s="138">
        <f>'Expenditures 15-22'!K49</f>
        <v>39200</v>
      </c>
      <c r="C1120" s="2" t="s">
        <v>573</v>
      </c>
      <c r="D1120" s="2" t="str">
        <f t="shared" si="16"/>
        <v>Error?</v>
      </c>
    </row>
    <row r="1121" spans="1:4" x14ac:dyDescent="0.2">
      <c r="A1121" s="5">
        <v>1060</v>
      </c>
      <c r="B1121" s="138">
        <f>'Expenditures 15-22'!K50</f>
        <v>66041</v>
      </c>
      <c r="C1121" s="2" t="s">
        <v>573</v>
      </c>
      <c r="D1121" s="2" t="str">
        <f t="shared" si="16"/>
        <v>Error?</v>
      </c>
    </row>
    <row r="1122" spans="1:4" x14ac:dyDescent="0.2">
      <c r="A1122" s="5">
        <v>1061</v>
      </c>
      <c r="B1122" s="138">
        <f>'Expenditures 15-22'!K53</f>
        <v>105241</v>
      </c>
      <c r="C1122" s="2" t="s">
        <v>573</v>
      </c>
      <c r="D1122" s="2" t="str">
        <f t="shared" si="16"/>
        <v>Error?</v>
      </c>
    </row>
    <row r="1123" spans="1:4" x14ac:dyDescent="0.2">
      <c r="A1123" s="5">
        <v>1062</v>
      </c>
      <c r="B1123" s="138">
        <f>'Expenditures 15-22'!K55</f>
        <v>238214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238214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47928</v>
      </c>
      <c r="C1127" s="2" t="s">
        <v>573</v>
      </c>
      <c r="D1127" s="2" t="str">
        <f t="shared" si="16"/>
        <v>Error?</v>
      </c>
    </row>
    <row r="1128" spans="1:4" x14ac:dyDescent="0.2">
      <c r="A1128" s="5">
        <v>1067</v>
      </c>
      <c r="B1128" s="138">
        <f>'Expenditures 15-22'!K61</f>
        <v>184233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107938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340099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846258</v>
      </c>
      <c r="C1143" s="2" t="s">
        <v>573</v>
      </c>
      <c r="D1143" s="2" t="str">
        <f t="shared" si="16"/>
        <v>Error?</v>
      </c>
    </row>
    <row r="1144" spans="1:4" x14ac:dyDescent="0.2">
      <c r="A1144" s="5">
        <v>1083</v>
      </c>
      <c r="B1144" s="138">
        <f>'Expenditures 15-22'!K75</f>
        <v>7644</v>
      </c>
      <c r="C1144" s="2" t="s">
        <v>573</v>
      </c>
      <c r="D1144" s="2" t="str">
        <f t="shared" si="16"/>
        <v>Error?</v>
      </c>
    </row>
    <row r="1145" spans="1:4" x14ac:dyDescent="0.2">
      <c r="A1145" s="5">
        <v>1084</v>
      </c>
      <c r="B1145" s="138">
        <f>'Expenditures 15-22'!K102</f>
        <v>245391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3307709</v>
      </c>
      <c r="C1152" s="2" t="s">
        <v>573</v>
      </c>
      <c r="D1152" s="2" t="str">
        <f t="shared" si="17"/>
        <v>Error?</v>
      </c>
    </row>
    <row r="1153" spans="1:4" x14ac:dyDescent="0.2">
      <c r="A1153" s="5">
        <v>1092</v>
      </c>
      <c r="B1153" s="138">
        <f>'Expenditures 15-22'!K115</f>
        <v>178196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72015</v>
      </c>
      <c r="D1237" s="2" t="str">
        <f t="shared" si="18"/>
        <v>Error?</v>
      </c>
    </row>
    <row r="1238" spans="1:4" x14ac:dyDescent="0.2">
      <c r="A1238" s="10">
        <v>1177</v>
      </c>
      <c r="D1238" s="2" t="str">
        <f t="shared" si="18"/>
        <v>OK</v>
      </c>
    </row>
    <row r="1239" spans="1:4" x14ac:dyDescent="0.2">
      <c r="A1239" s="5">
        <v>1178</v>
      </c>
      <c r="B1239" s="138">
        <f>'Expenditures 15-22'!E127</f>
        <v>72015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72015</v>
      </c>
      <c r="C1241" s="2" t="s">
        <v>573</v>
      </c>
      <c r="D1241" s="2" t="str">
        <f t="shared" si="18"/>
        <v>Error?</v>
      </c>
    </row>
    <row r="1242" spans="1:4" x14ac:dyDescent="0.2">
      <c r="A1242" s="5">
        <v>1181</v>
      </c>
      <c r="B1242" s="138">
        <f>'Expenditures 15-22'!E151</f>
        <v>72015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94639</v>
      </c>
      <c r="D1245" s="2" t="str">
        <f t="shared" si="18"/>
        <v>Error?</v>
      </c>
    </row>
    <row r="1246" spans="1:4" x14ac:dyDescent="0.2">
      <c r="A1246" s="10">
        <v>1185</v>
      </c>
      <c r="D1246" s="2" t="str">
        <f t="shared" si="18"/>
        <v>OK</v>
      </c>
    </row>
    <row r="1247" spans="1:4" x14ac:dyDescent="0.2">
      <c r="A1247" s="5">
        <v>1186</v>
      </c>
      <c r="B1247" s="138">
        <f>'Expenditures 15-22'!F127</f>
        <v>94639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94639</v>
      </c>
      <c r="C1249" s="2" t="s">
        <v>573</v>
      </c>
      <c r="D1249" s="2" t="str">
        <f t="shared" si="18"/>
        <v>Error?</v>
      </c>
    </row>
    <row r="1250" spans="1:4" x14ac:dyDescent="0.2">
      <c r="A1250" s="5">
        <v>1189</v>
      </c>
      <c r="B1250" s="138">
        <f>'Expenditures 15-22'!F151</f>
        <v>94639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2613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2613</v>
      </c>
      <c r="C1258" s="2" t="s">
        <v>573</v>
      </c>
      <c r="D1258" s="2" t="str">
        <f t="shared" si="18"/>
        <v>Error?</v>
      </c>
    </row>
    <row r="1259" spans="1:4" x14ac:dyDescent="0.2">
      <c r="A1259" s="5">
        <v>1198</v>
      </c>
      <c r="B1259" s="138">
        <f>'Expenditures 15-22'!G151</f>
        <v>2613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169267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169267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169267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169267</v>
      </c>
      <c r="C1288" s="2" t="s">
        <v>573</v>
      </c>
      <c r="D1288" s="2" t="str">
        <f t="shared" si="19"/>
        <v>Error?</v>
      </c>
    </row>
    <row r="1289" spans="1:4" x14ac:dyDescent="0.2">
      <c r="A1289" s="5">
        <v>1228</v>
      </c>
      <c r="B1289" s="138">
        <f>'Expenditures 15-22'!K152</f>
        <v>33447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103073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850</v>
      </c>
      <c r="D1316" s="2" t="str">
        <f t="shared" si="19"/>
        <v>Error?</v>
      </c>
    </row>
    <row r="1317" spans="1:4" x14ac:dyDescent="0.2">
      <c r="A1317" s="5">
        <v>1256</v>
      </c>
      <c r="B1317" s="138">
        <f>'Expenditures 15-22'!H172</f>
        <v>383923</v>
      </c>
      <c r="C1317" s="2" t="s">
        <v>573</v>
      </c>
      <c r="D1317" s="2" t="str">
        <f t="shared" si="19"/>
        <v>Error?</v>
      </c>
    </row>
    <row r="1318" spans="1:4" x14ac:dyDescent="0.2">
      <c r="A1318" s="5">
        <v>1257</v>
      </c>
      <c r="B1318" s="138">
        <f>'Expenditures 15-22'!H174</f>
        <v>383923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103073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280000</v>
      </c>
      <c r="C1329" s="2" t="s">
        <v>573</v>
      </c>
      <c r="D1329" s="2" t="str">
        <f t="shared" si="19"/>
        <v>Error?</v>
      </c>
    </row>
    <row r="1330" spans="1:4" x14ac:dyDescent="0.2">
      <c r="A1330" s="5">
        <v>1269</v>
      </c>
      <c r="B1330" s="138">
        <f>'Expenditures 15-22'!K171</f>
        <v>850</v>
      </c>
      <c r="C1330" s="2" t="s">
        <v>573</v>
      </c>
      <c r="D1330" s="2" t="str">
        <f t="shared" si="19"/>
        <v>Error?</v>
      </c>
    </row>
    <row r="1331" spans="1:4" x14ac:dyDescent="0.2">
      <c r="A1331" s="5">
        <v>1270</v>
      </c>
      <c r="B1331" s="138">
        <f>'Expenditures 15-22'!K172</f>
        <v>383923</v>
      </c>
      <c r="C1331" s="2" t="s">
        <v>573</v>
      </c>
      <c r="D1331" s="2" t="str">
        <f t="shared" si="19"/>
        <v>Error?</v>
      </c>
    </row>
    <row r="1332" spans="1:4" x14ac:dyDescent="0.2">
      <c r="A1332" s="5">
        <v>1271</v>
      </c>
      <c r="B1332" s="138">
        <f>'Expenditures 15-22'!K174</f>
        <v>383923</v>
      </c>
      <c r="C1332" s="2" t="s">
        <v>573</v>
      </c>
      <c r="D1332" s="2" t="str">
        <f t="shared" si="19"/>
        <v>Error?</v>
      </c>
    </row>
    <row r="1333" spans="1:4" x14ac:dyDescent="0.2">
      <c r="A1333" s="5">
        <v>1272</v>
      </c>
      <c r="B1333" s="138">
        <f>'Expenditures 15-22'!K175</f>
        <v>11965</v>
      </c>
      <c r="C1333" s="2" t="s">
        <v>573</v>
      </c>
      <c r="D1333" s="2" t="str">
        <f t="shared" si="19"/>
        <v>Error?</v>
      </c>
    </row>
    <row r="1334" spans="1:4" x14ac:dyDescent="0.2">
      <c r="A1334" s="10">
        <v>1273</v>
      </c>
      <c r="D1334" s="2" t="str">
        <f t="shared" si="19"/>
        <v>OK</v>
      </c>
    </row>
    <row r="1335" spans="1:4" x14ac:dyDescent="0.2">
      <c r="A1335" s="5">
        <v>1274</v>
      </c>
      <c r="B1335" s="138">
        <f>'Expenditures 15-22'!C182</f>
        <v>12892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12892</v>
      </c>
      <c r="C1339" s="2" t="s">
        <v>573</v>
      </c>
      <c r="D1339" s="2" t="str">
        <f t="shared" si="19"/>
        <v>Error?</v>
      </c>
    </row>
    <row r="1340" spans="1:4" x14ac:dyDescent="0.2">
      <c r="A1340" s="5">
        <v>1279</v>
      </c>
      <c r="B1340" s="138">
        <f>'Expenditures 15-22'!C210</f>
        <v>12892</v>
      </c>
      <c r="C1340" s="2" t="s">
        <v>573</v>
      </c>
      <c r="D1340" s="2" t="str">
        <f t="shared" si="19"/>
        <v>Error?</v>
      </c>
    </row>
    <row r="1341" spans="1:4" x14ac:dyDescent="0.2">
      <c r="A1341" s="5">
        <v>1280</v>
      </c>
      <c r="B1341" s="138">
        <f>'Expenditures 15-22'!D182</f>
        <v>167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167</v>
      </c>
      <c r="C1345" s="2" t="s">
        <v>573</v>
      </c>
      <c r="D1345" s="2" t="str">
        <f t="shared" si="20"/>
        <v>Error?</v>
      </c>
    </row>
    <row r="1346" spans="1:4" x14ac:dyDescent="0.2">
      <c r="A1346" s="5">
        <v>1285</v>
      </c>
      <c r="B1346" s="138">
        <f>'Expenditures 15-22'!D210</f>
        <v>167</v>
      </c>
      <c r="C1346" s="2" t="s">
        <v>573</v>
      </c>
      <c r="D1346" s="2" t="str">
        <f t="shared" si="20"/>
        <v>Error?</v>
      </c>
    </row>
    <row r="1347" spans="1:4" x14ac:dyDescent="0.2">
      <c r="A1347" s="5">
        <v>1286</v>
      </c>
      <c r="B1347" s="138">
        <f>'Expenditures 15-22'!E182</f>
        <v>182961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182961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182961</v>
      </c>
      <c r="C1353" s="2" t="s">
        <v>573</v>
      </c>
      <c r="D1353" s="2" t="str">
        <f t="shared" si="20"/>
        <v>Error?</v>
      </c>
    </row>
    <row r="1354" spans="1:4" x14ac:dyDescent="0.2">
      <c r="A1354" s="5">
        <v>1293</v>
      </c>
      <c r="B1354" s="138">
        <f>'Expenditures 15-22'!F182</f>
        <v>3640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3640</v>
      </c>
      <c r="C1358" s="2" t="s">
        <v>573</v>
      </c>
      <c r="D1358" s="2" t="str">
        <f t="shared" si="20"/>
        <v>Error?</v>
      </c>
    </row>
    <row r="1359" spans="1:4" x14ac:dyDescent="0.2">
      <c r="A1359" s="5">
        <v>1298</v>
      </c>
      <c r="B1359" s="138">
        <f>'Expenditures 15-22'!F210</f>
        <v>3640</v>
      </c>
      <c r="C1359" s="2" t="s">
        <v>573</v>
      </c>
      <c r="D1359" s="2" t="str">
        <f t="shared" si="20"/>
        <v>Error?</v>
      </c>
    </row>
    <row r="1360" spans="1:4" x14ac:dyDescent="0.2">
      <c r="A1360" s="5">
        <v>1299</v>
      </c>
      <c r="B1360" s="138">
        <f>'Expenditures 15-22'!G182</f>
        <v>27004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27004</v>
      </c>
      <c r="C1364" s="2" t="s">
        <v>573</v>
      </c>
      <c r="D1364" s="2" t="str">
        <f t="shared" si="20"/>
        <v>Error?</v>
      </c>
    </row>
    <row r="1365" spans="1:4" x14ac:dyDescent="0.2">
      <c r="A1365" s="5">
        <v>1304</v>
      </c>
      <c r="B1365" s="138">
        <f>'Expenditures 15-22'!G210</f>
        <v>27004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226664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226664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226664</v>
      </c>
      <c r="C1388" s="2" t="s">
        <v>573</v>
      </c>
      <c r="D1388" s="2" t="str">
        <f t="shared" si="20"/>
        <v>Error?</v>
      </c>
    </row>
    <row r="1389" spans="1:4" x14ac:dyDescent="0.2">
      <c r="A1389" s="5">
        <v>1328</v>
      </c>
      <c r="B1389" s="138">
        <f>'Expenditures 15-22'!K211</f>
        <v>-11001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v>
      </c>
      <c r="D1407" s="2" t="str">
        <f t="shared" ref="D1407:D1470" si="21">IF(ISBLANK(B1407),"OK",IF(A1407-B1407=0,"OK","Error?"))</f>
        <v>Error?</v>
      </c>
    </row>
    <row r="1408" spans="1:4" x14ac:dyDescent="0.2">
      <c r="A1408" s="5">
        <v>1347</v>
      </c>
      <c r="B1408" s="138">
        <f>'Expenditures 15-22'!D223</f>
        <v>3125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48071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566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437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1003</v>
      </c>
      <c r="C1417" s="2" t="s">
        <v>573</v>
      </c>
      <c r="D1417" s="2" t="str">
        <f t="shared" si="21"/>
        <v>Error?</v>
      </c>
    </row>
    <row r="1418" spans="1:4" x14ac:dyDescent="0.2">
      <c r="A1418" s="5">
        <v>1357</v>
      </c>
      <c r="B1418" s="138">
        <f>'Expenditures 15-22'!D240</f>
        <v>90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v>
      </c>
      <c r="C1421" s="2" t="s">
        <v>573</v>
      </c>
      <c r="D1421" s="2" t="str">
        <f t="shared" si="21"/>
        <v>Error?</v>
      </c>
    </row>
    <row r="1422" spans="1:4" x14ac:dyDescent="0.2">
      <c r="A1422" s="5">
        <v>1361</v>
      </c>
      <c r="B1422" s="138">
        <f>'Expenditures 15-22'!D245</f>
        <v>281</v>
      </c>
      <c r="D1422" s="2" t="str">
        <f t="shared" si="21"/>
        <v>Error?</v>
      </c>
    </row>
    <row r="1423" spans="1:4" x14ac:dyDescent="0.2">
      <c r="A1423" s="5">
        <v>1362</v>
      </c>
      <c r="B1423" s="138">
        <f>'Expenditures 15-22'!D246</f>
        <v>759</v>
      </c>
      <c r="D1423" s="2" t="str">
        <f t="shared" si="21"/>
        <v>Error?</v>
      </c>
    </row>
    <row r="1424" spans="1:4" x14ac:dyDescent="0.2">
      <c r="A1424" s="5">
        <v>1363</v>
      </c>
      <c r="B1424" s="138">
        <f>'Expenditures 15-22'!D257</f>
        <v>1040</v>
      </c>
      <c r="C1424" s="2" t="s">
        <v>573</v>
      </c>
      <c r="D1424" s="2" t="str">
        <f t="shared" si="21"/>
        <v>Error?</v>
      </c>
    </row>
    <row r="1425" spans="1:4" x14ac:dyDescent="0.2">
      <c r="A1425" s="5">
        <v>1364</v>
      </c>
      <c r="B1425" s="138">
        <f>'Expenditures 15-22'!D259</f>
        <v>10645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10645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7174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22567</v>
      </c>
      <c r="D1431" s="2" t="str">
        <f t="shared" si="21"/>
        <v>Error?</v>
      </c>
    </row>
    <row r="1432" spans="1:4" x14ac:dyDescent="0.2">
      <c r="A1432" s="5">
        <v>1371</v>
      </c>
      <c r="B1432" s="138">
        <f>'Expenditures 15-22'!D267</f>
        <v>1257</v>
      </c>
      <c r="D1432" s="2" t="str">
        <f t="shared" si="21"/>
        <v>Error?</v>
      </c>
    </row>
    <row r="1433" spans="1:4" x14ac:dyDescent="0.2">
      <c r="A1433" s="5">
        <v>1372</v>
      </c>
      <c r="B1433" s="138">
        <f>'Expenditures 15-22'!D268</f>
        <v>6272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37270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50048</v>
      </c>
      <c r="C1446" s="2" t="s">
        <v>573</v>
      </c>
      <c r="D1446" s="2" t="str">
        <f t="shared" si="21"/>
        <v>Error?</v>
      </c>
    </row>
    <row r="1447" spans="1:4" x14ac:dyDescent="0.2">
      <c r="A1447" s="5">
        <v>1386</v>
      </c>
      <c r="B1447" s="138">
        <f>'Expenditures 15-22'!D280</f>
        <v>78</v>
      </c>
      <c r="D1447" s="2" t="str">
        <f t="shared" si="21"/>
        <v>Error?</v>
      </c>
    </row>
    <row r="1448" spans="1:4" x14ac:dyDescent="0.2">
      <c r="A1448" s="5">
        <v>1387</v>
      </c>
      <c r="B1448" s="138">
        <f>'Expenditures 15-22'!D295</f>
        <v>98197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14</v>
      </c>
      <c r="C1471" s="2" t="s">
        <v>573</v>
      </c>
      <c r="D1471" s="2" t="str">
        <f t="shared" ref="D1471:D1534" si="22">IF(ISBLANK(B1471),"OK",IF(A1471-B1471=0,"OK","Error?"))</f>
        <v>Error?</v>
      </c>
    </row>
    <row r="1472" spans="1:4" x14ac:dyDescent="0.2">
      <c r="A1472" s="5">
        <v>1411</v>
      </c>
      <c r="B1472" s="138">
        <f>'Expenditures 15-22'!K223</f>
        <v>3125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48071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566</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437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1003</v>
      </c>
      <c r="C1481" s="2" t="s">
        <v>573</v>
      </c>
      <c r="D1481" s="2" t="str">
        <f t="shared" si="22"/>
        <v>Error?</v>
      </c>
    </row>
    <row r="1482" spans="1:4" x14ac:dyDescent="0.2">
      <c r="A1482" s="5">
        <v>1421</v>
      </c>
      <c r="B1482" s="138">
        <f>'Expenditures 15-22'!K240</f>
        <v>90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90</v>
      </c>
      <c r="C1485" s="2" t="s">
        <v>573</v>
      </c>
      <c r="D1485" s="2" t="str">
        <f t="shared" si="22"/>
        <v>Error?</v>
      </c>
    </row>
    <row r="1486" spans="1:4" x14ac:dyDescent="0.2">
      <c r="A1486" s="5">
        <v>1425</v>
      </c>
      <c r="B1486" s="138">
        <f>'Expenditures 15-22'!K245</f>
        <v>281</v>
      </c>
      <c r="C1486" s="2" t="s">
        <v>573</v>
      </c>
      <c r="D1486" s="2" t="str">
        <f t="shared" si="22"/>
        <v>Error?</v>
      </c>
    </row>
    <row r="1487" spans="1:4" x14ac:dyDescent="0.2">
      <c r="A1487" s="5">
        <v>1426</v>
      </c>
      <c r="B1487" s="138">
        <f>'Expenditures 15-22'!K246</f>
        <v>759</v>
      </c>
      <c r="C1487" s="2" t="s">
        <v>573</v>
      </c>
      <c r="D1487" s="2" t="str">
        <f t="shared" si="22"/>
        <v>Error?</v>
      </c>
    </row>
    <row r="1488" spans="1:4" x14ac:dyDescent="0.2">
      <c r="A1488" s="5">
        <v>1427</v>
      </c>
      <c r="B1488" s="138">
        <f>'Expenditures 15-22'!K257</f>
        <v>1040</v>
      </c>
      <c r="C1488" s="2" t="s">
        <v>573</v>
      </c>
      <c r="D1488" s="2" t="str">
        <f t="shared" si="22"/>
        <v>Error?</v>
      </c>
    </row>
    <row r="1489" spans="1:4" x14ac:dyDescent="0.2">
      <c r="A1489" s="5">
        <v>1428</v>
      </c>
      <c r="B1489" s="138">
        <f>'Expenditures 15-22'!K259</f>
        <v>10645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10645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7174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22567</v>
      </c>
      <c r="C1495" s="2" t="s">
        <v>573</v>
      </c>
      <c r="D1495" s="2" t="str">
        <f t="shared" si="22"/>
        <v>Error?</v>
      </c>
    </row>
    <row r="1496" spans="1:4" x14ac:dyDescent="0.2">
      <c r="A1496" s="5">
        <v>1435</v>
      </c>
      <c r="B1496" s="138">
        <f>'Expenditures 15-22'!K267</f>
        <v>1257</v>
      </c>
      <c r="C1496" s="2" t="s">
        <v>573</v>
      </c>
      <c r="D1496" s="2" t="str">
        <f t="shared" si="22"/>
        <v>Error?</v>
      </c>
    </row>
    <row r="1497" spans="1:4" x14ac:dyDescent="0.2">
      <c r="A1497" s="5">
        <v>1436</v>
      </c>
      <c r="B1497" s="138">
        <f>'Expenditures 15-22'!K268</f>
        <v>6272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37270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50048</v>
      </c>
      <c r="C1510" s="2" t="s">
        <v>573</v>
      </c>
      <c r="D1510" s="2" t="str">
        <f t="shared" si="22"/>
        <v>Error?</v>
      </c>
    </row>
    <row r="1511" spans="1:4" x14ac:dyDescent="0.2">
      <c r="A1511" s="5">
        <v>1450</v>
      </c>
      <c r="B1511" s="138">
        <f>'Expenditures 15-22'!K280</f>
        <v>78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98197</v>
      </c>
      <c r="C1517" s="2" t="s">
        <v>573</v>
      </c>
      <c r="D1517" s="2" t="str">
        <f t="shared" si="22"/>
        <v>Error?</v>
      </c>
    </row>
    <row r="1518" spans="1:4" x14ac:dyDescent="0.2">
      <c r="A1518" s="5">
        <v>1457</v>
      </c>
      <c r="B1518" s="138">
        <f>'Expenditures 15-22'!K296</f>
        <v>39959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25235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25235</v>
      </c>
      <c r="C1535" s="2" t="s">
        <v>573</v>
      </c>
      <c r="D1535" s="2" t="str">
        <f t="shared" ref="D1535:D1598" si="23">IF(ISBLANK(B1535),"OK",IF(A1535-B1535=0,"OK","Error?"))</f>
        <v>Error?</v>
      </c>
    </row>
    <row r="1536" spans="1:4" x14ac:dyDescent="0.2">
      <c r="A1536" s="5">
        <v>1475</v>
      </c>
      <c r="B1536" s="138">
        <f>'Expenditures 15-22'!E312</f>
        <v>25235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788563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788563</v>
      </c>
      <c r="C1547" s="2" t="s">
        <v>573</v>
      </c>
      <c r="D1547" s="2" t="str">
        <f t="shared" si="23"/>
        <v>Error?</v>
      </c>
    </row>
    <row r="1548" spans="1:4" x14ac:dyDescent="0.2">
      <c r="A1548" s="5">
        <v>1487</v>
      </c>
      <c r="B1548" s="138">
        <f>'Expenditures 15-22'!G312</f>
        <v>788563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813798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813798</v>
      </c>
      <c r="C1559" s="2" t="s">
        <v>573</v>
      </c>
      <c r="D1559" s="2" t="str">
        <f t="shared" si="23"/>
        <v>Error?</v>
      </c>
    </row>
    <row r="1560" spans="1:4" x14ac:dyDescent="0.2">
      <c r="A1560" s="5">
        <v>1499</v>
      </c>
      <c r="B1560" s="138">
        <f>'Expenditures 15-22'!K312</f>
        <v>813798</v>
      </c>
      <c r="C1560" s="2" t="s">
        <v>573</v>
      </c>
      <c r="D1560" s="2" t="str">
        <f t="shared" si="23"/>
        <v>Error?</v>
      </c>
    </row>
    <row r="1561" spans="1:4" x14ac:dyDescent="0.2">
      <c r="A1561" s="5">
        <v>1500</v>
      </c>
      <c r="B1561" s="138">
        <f>'Expenditures 15-22'!K313</f>
        <v>-810054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215982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394178</v>
      </c>
      <c r="C1630" s="2" t="s">
        <v>573</v>
      </c>
      <c r="D1630" s="2" t="str">
        <f t="shared" si="24"/>
        <v>Error?</v>
      </c>
    </row>
    <row r="1631" spans="1:4" x14ac:dyDescent="0.2">
      <c r="A1631" s="5">
        <v>1570</v>
      </c>
      <c r="B1631" s="138">
        <f>'Acct Summary 7-8'!D79</f>
        <v>301087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334534</v>
      </c>
      <c r="C1644" s="2" t="s">
        <v>573</v>
      </c>
      <c r="D1644" s="2" t="str">
        <f t="shared" si="24"/>
        <v>Error?</v>
      </c>
    </row>
    <row r="1645" spans="1:4" x14ac:dyDescent="0.2">
      <c r="A1645" s="5">
        <v>1584</v>
      </c>
      <c r="B1645" s="138">
        <f>'Acct Summary 7-8'!E79</f>
        <v>96287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108252</v>
      </c>
      <c r="C1658" s="2" t="s">
        <v>573</v>
      </c>
      <c r="D1658" s="2" t="str">
        <f t="shared" si="24"/>
        <v>Error?</v>
      </c>
    </row>
    <row r="1659" spans="1:4" x14ac:dyDescent="0.2">
      <c r="A1659" s="5">
        <v>1598</v>
      </c>
      <c r="B1659" s="138">
        <f>'Acct Summary 7-8'!F79</f>
        <v>315896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304895</v>
      </c>
      <c r="C1672" s="2" t="s">
        <v>573</v>
      </c>
      <c r="D1672" s="2" t="str">
        <f t="shared" si="25"/>
        <v>Error?</v>
      </c>
    </row>
    <row r="1673" spans="1:4" x14ac:dyDescent="0.2">
      <c r="A1673" s="5">
        <v>1612</v>
      </c>
      <c r="B1673" s="138">
        <f>'Acct Summary 7-8'!G79</f>
        <v>60245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100204</v>
      </c>
      <c r="C1686" s="2" t="s">
        <v>573</v>
      </c>
      <c r="D1686" s="2" t="str">
        <f t="shared" si="25"/>
        <v>Error?</v>
      </c>
    </row>
    <row r="1687" spans="1:4" x14ac:dyDescent="0.2">
      <c r="A1687" s="5">
        <v>1626</v>
      </c>
      <c r="B1687" s="138">
        <f>'Acct Summary 7-8'!H79</f>
        <v>1040649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230595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1003847</v>
      </c>
      <c r="C1744" s="2" t="s">
        <v>573</v>
      </c>
      <c r="D1744" s="2" t="str">
        <f t="shared" si="26"/>
        <v>Error?</v>
      </c>
    </row>
    <row r="1745" spans="1:5" x14ac:dyDescent="0.2">
      <c r="A1745" s="5">
        <v>1684</v>
      </c>
      <c r="B1745" s="138">
        <f>'Tax Sched 23'!B5</f>
        <v>188260</v>
      </c>
      <c r="C1745" s="2" t="s">
        <v>573</v>
      </c>
      <c r="D1745" s="2" t="str">
        <f t="shared" si="26"/>
        <v>Error?</v>
      </c>
    </row>
    <row r="1746" spans="1:5" x14ac:dyDescent="0.2">
      <c r="A1746" s="5">
        <v>1685</v>
      </c>
      <c r="B1746" s="138">
        <f>'Tax Sched 23'!B6</f>
        <v>99567</v>
      </c>
      <c r="C1746" s="2" t="s">
        <v>573</v>
      </c>
      <c r="D1746" s="2" t="str">
        <f t="shared" si="26"/>
        <v>Error?</v>
      </c>
    </row>
    <row r="1747" spans="1:5" x14ac:dyDescent="0.2">
      <c r="A1747" s="5">
        <v>1686</v>
      </c>
      <c r="B1747" s="138">
        <f>'Tax Sched 23'!B7</f>
        <v>119513</v>
      </c>
      <c r="C1747" s="2" t="s">
        <v>573</v>
      </c>
      <c r="D1747" s="2" t="str">
        <f t="shared" si="26"/>
        <v>Error?</v>
      </c>
    </row>
    <row r="1748" spans="1:5" x14ac:dyDescent="0.2">
      <c r="A1748" s="5">
        <v>1687</v>
      </c>
      <c r="B1748" s="138">
        <f>'Tax Sched 23'!B8</f>
        <v>63539</v>
      </c>
      <c r="C1748" s="2" t="s">
        <v>573</v>
      </c>
      <c r="D1748" s="2" t="str">
        <f t="shared" si="26"/>
        <v>Error?</v>
      </c>
    </row>
    <row r="1749" spans="1:5" x14ac:dyDescent="0.2">
      <c r="A1749" s="5">
        <v>1688</v>
      </c>
      <c r="B1749" s="138">
        <f>'Tax Sched 23'!B10</f>
        <v>12944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23870</v>
      </c>
      <c r="C1752" s="2" t="s">
        <v>573</v>
      </c>
      <c r="D1752" s="2" t="str">
        <f t="shared" si="26"/>
        <v>Error?</v>
      </c>
    </row>
    <row r="1753" spans="1:5" x14ac:dyDescent="0.2">
      <c r="A1753" s="5">
        <v>1692</v>
      </c>
      <c r="B1753" s="138">
        <f>'Tax Sched 23'!B12</f>
        <v>10342</v>
      </c>
      <c r="C1753" s="2" t="s">
        <v>573</v>
      </c>
      <c r="D1753" s="2" t="str">
        <f t="shared" si="26"/>
        <v>Error?</v>
      </c>
    </row>
    <row r="1754" spans="1:5" x14ac:dyDescent="0.2">
      <c r="A1754" s="5">
        <v>1693</v>
      </c>
      <c r="B1754" s="138">
        <f>'Tax Sched 23'!B14</f>
        <v>23813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1594223</v>
      </c>
      <c r="C1759" s="2" t="s">
        <v>573</v>
      </c>
      <c r="D1759" s="2" t="str">
        <f t="shared" si="26"/>
        <v>Error?</v>
      </c>
    </row>
    <row r="1760" spans="1:5" x14ac:dyDescent="0.2">
      <c r="A1760" s="5">
        <v>1699</v>
      </c>
      <c r="B1760" s="138">
        <f>'Tax Sched 23'!D4</f>
        <v>1003847</v>
      </c>
      <c r="C1760" s="2" t="s">
        <v>573</v>
      </c>
      <c r="D1760" s="2" t="str">
        <f t="shared" si="26"/>
        <v>Error?</v>
      </c>
    </row>
    <row r="1761" spans="1:5" x14ac:dyDescent="0.2">
      <c r="A1761" s="5">
        <v>1700</v>
      </c>
      <c r="B1761" s="138">
        <f>'Tax Sched 23'!D5</f>
        <v>188260</v>
      </c>
      <c r="C1761" s="2" t="s">
        <v>573</v>
      </c>
      <c r="D1761" s="2" t="str">
        <f t="shared" si="26"/>
        <v>Error?</v>
      </c>
    </row>
    <row r="1762" spans="1:5" s="8" customFormat="1" x14ac:dyDescent="0.2">
      <c r="A1762" s="5">
        <v>1701</v>
      </c>
      <c r="B1762" s="138">
        <f>'Tax Sched 23'!D6</f>
        <v>99567</v>
      </c>
      <c r="C1762" s="2" t="s">
        <v>573</v>
      </c>
      <c r="D1762" s="2" t="str">
        <f t="shared" si="26"/>
        <v>Error?</v>
      </c>
      <c r="E1762" s="9"/>
    </row>
    <row r="1763" spans="1:5" x14ac:dyDescent="0.2">
      <c r="A1763" s="5">
        <v>1702</v>
      </c>
      <c r="B1763" s="138">
        <f>'Tax Sched 23'!D7</f>
        <v>119513</v>
      </c>
      <c r="C1763" s="2" t="s">
        <v>573</v>
      </c>
      <c r="D1763" s="2" t="str">
        <f t="shared" si="26"/>
        <v>Error?</v>
      </c>
    </row>
    <row r="1764" spans="1:5" x14ac:dyDescent="0.2">
      <c r="A1764" s="5">
        <v>1703</v>
      </c>
      <c r="B1764" s="138">
        <f>'Tax Sched 23'!D8</f>
        <v>63539</v>
      </c>
      <c r="C1764" s="2" t="s">
        <v>573</v>
      </c>
      <c r="D1764" s="2" t="str">
        <f t="shared" si="26"/>
        <v>Error?</v>
      </c>
    </row>
    <row r="1765" spans="1:5" x14ac:dyDescent="0.2">
      <c r="A1765" s="5">
        <v>1704</v>
      </c>
      <c r="B1765" s="138">
        <f>'Tax Sched 23'!D10</f>
        <v>12944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23870</v>
      </c>
      <c r="C1768" s="2" t="s">
        <v>573</v>
      </c>
      <c r="D1768" s="2" t="str">
        <f t="shared" si="26"/>
        <v>Error?</v>
      </c>
    </row>
    <row r="1769" spans="1:5" x14ac:dyDescent="0.2">
      <c r="A1769" s="5">
        <v>1708</v>
      </c>
      <c r="B1769" s="138">
        <f>'Tax Sched 23'!D12</f>
        <v>10342</v>
      </c>
      <c r="C1769" s="2" t="s">
        <v>573</v>
      </c>
      <c r="D1769" s="2" t="str">
        <f t="shared" si="26"/>
        <v>Error?</v>
      </c>
    </row>
    <row r="1770" spans="1:5" x14ac:dyDescent="0.2">
      <c r="A1770" s="5">
        <v>1709</v>
      </c>
      <c r="B1770" s="138">
        <f>'Tax Sched 23'!D14</f>
        <v>23813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1594223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1039087</v>
      </c>
      <c r="C1792" s="2" t="s">
        <v>573</v>
      </c>
      <c r="D1792" s="2" t="str">
        <f t="shared" si="27"/>
        <v>Error?</v>
      </c>
    </row>
    <row r="1793" spans="1:4" x14ac:dyDescent="0.2">
      <c r="A1793" s="5">
        <v>1732</v>
      </c>
      <c r="B1793" s="138">
        <f>'Tax Sched 23'!F5</f>
        <v>194873</v>
      </c>
      <c r="C1793" s="2" t="s">
        <v>573</v>
      </c>
      <c r="D1793" s="2" t="str">
        <f t="shared" si="27"/>
        <v>Error?</v>
      </c>
    </row>
    <row r="1794" spans="1:4" x14ac:dyDescent="0.2">
      <c r="A1794" s="5">
        <v>1733</v>
      </c>
      <c r="B1794" s="138">
        <f>'Tax Sched 23'!F6</f>
        <v>90996</v>
      </c>
      <c r="C1794" s="2" t="s">
        <v>573</v>
      </c>
      <c r="D1794" s="2" t="str">
        <f t="shared" si="27"/>
        <v>Error?</v>
      </c>
    </row>
    <row r="1795" spans="1:4" x14ac:dyDescent="0.2">
      <c r="A1795" s="5">
        <v>1734</v>
      </c>
      <c r="B1795" s="138">
        <f>'Tax Sched 23'!F7</f>
        <v>102508</v>
      </c>
      <c r="C1795" s="2" t="s">
        <v>573</v>
      </c>
      <c r="D1795" s="2" t="str">
        <f t="shared" si="27"/>
        <v>Error?</v>
      </c>
    </row>
    <row r="1796" spans="1:4" x14ac:dyDescent="0.2">
      <c r="A1796" s="5">
        <v>1735</v>
      </c>
      <c r="B1796" s="138">
        <f>'Tax Sched 23'!F8</f>
        <v>86979</v>
      </c>
      <c r="C1796" s="2" t="s">
        <v>573</v>
      </c>
      <c r="D1796" s="2" t="str">
        <f t="shared" si="27"/>
        <v>Error?</v>
      </c>
    </row>
    <row r="1797" spans="1:4" x14ac:dyDescent="0.2">
      <c r="A1797" s="5">
        <v>1736</v>
      </c>
      <c r="B1797" s="138">
        <f>'Tax Sched 23'!F10</f>
        <v>13402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24710</v>
      </c>
      <c r="C1800" s="2" t="s">
        <v>573</v>
      </c>
      <c r="D1800" s="2" t="str">
        <f t="shared" si="27"/>
        <v>Error?</v>
      </c>
    </row>
    <row r="1801" spans="1:4" x14ac:dyDescent="0.2">
      <c r="A1801" s="5">
        <v>1740</v>
      </c>
      <c r="B1801" s="138">
        <f>'Tax Sched 23'!F12</f>
        <v>10709</v>
      </c>
      <c r="C1801" s="2" t="s">
        <v>573</v>
      </c>
      <c r="D1801" s="2" t="str">
        <f t="shared" si="27"/>
        <v>Error?</v>
      </c>
    </row>
    <row r="1802" spans="1:4" x14ac:dyDescent="0.2">
      <c r="A1802" s="5">
        <v>1741</v>
      </c>
      <c r="B1802" s="138">
        <f>'Tax Sched 23'!F14</f>
        <v>24281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1637781</v>
      </c>
      <c r="C1807" s="2" t="s">
        <v>573</v>
      </c>
      <c r="D1807" s="2" t="str">
        <f t="shared" si="27"/>
        <v>Error?</v>
      </c>
    </row>
    <row r="1808" spans="1:4" x14ac:dyDescent="0.2">
      <c r="A1808" s="5">
        <v>1747</v>
      </c>
      <c r="B1808" s="138">
        <f>'Tax Sched 23'!E4</f>
        <v>1039087</v>
      </c>
      <c r="D1808" s="2" t="str">
        <f t="shared" si="27"/>
        <v>Error?</v>
      </c>
    </row>
    <row r="1809" spans="1:4" x14ac:dyDescent="0.2">
      <c r="A1809" s="5">
        <v>1748</v>
      </c>
      <c r="B1809" s="138">
        <f>'Tax Sched 23'!E5</f>
        <v>194873</v>
      </c>
      <c r="D1809" s="2" t="str">
        <f t="shared" si="27"/>
        <v>Error?</v>
      </c>
    </row>
    <row r="1810" spans="1:4" x14ac:dyDescent="0.2">
      <c r="A1810" s="5">
        <v>1749</v>
      </c>
      <c r="B1810" s="138">
        <f>'Tax Sched 23'!E6</f>
        <v>90996</v>
      </c>
      <c r="D1810" s="2" t="str">
        <f t="shared" si="27"/>
        <v>Error?</v>
      </c>
    </row>
    <row r="1811" spans="1:4" x14ac:dyDescent="0.2">
      <c r="A1811" s="5">
        <v>1750</v>
      </c>
      <c r="B1811" s="138">
        <f>'Tax Sched 23'!E7</f>
        <v>102508</v>
      </c>
      <c r="D1811" s="2" t="str">
        <f t="shared" si="27"/>
        <v>Error?</v>
      </c>
    </row>
    <row r="1812" spans="1:4" x14ac:dyDescent="0.2">
      <c r="A1812" s="5">
        <v>1751</v>
      </c>
      <c r="B1812" s="138">
        <f>'Tax Sched 23'!E8</f>
        <v>86979</v>
      </c>
      <c r="D1812" s="2" t="str">
        <f t="shared" si="27"/>
        <v>Error?</v>
      </c>
    </row>
    <row r="1813" spans="1:4" x14ac:dyDescent="0.2">
      <c r="A1813" s="5">
        <v>1752</v>
      </c>
      <c r="B1813" s="138">
        <f>'Tax Sched 23'!E10</f>
        <v>13402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24710</v>
      </c>
      <c r="D1816" s="2" t="str">
        <f t="shared" si="27"/>
        <v>Error?</v>
      </c>
    </row>
    <row r="1817" spans="1:4" x14ac:dyDescent="0.2">
      <c r="A1817" s="5">
        <v>1756</v>
      </c>
      <c r="B1817" s="138">
        <f>'Tax Sched 23'!E12</f>
        <v>10709</v>
      </c>
      <c r="D1817" s="2" t="str">
        <f t="shared" si="27"/>
        <v>Error?</v>
      </c>
    </row>
    <row r="1818" spans="1:4" x14ac:dyDescent="0.2">
      <c r="A1818" s="5">
        <v>1757</v>
      </c>
      <c r="B1818" s="138">
        <f>'Tax Sched 23'!E14</f>
        <v>24281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1637781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23813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61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23874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23874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24902</v>
      </c>
      <c r="D2008" s="2" t="str">
        <f t="shared" si="30"/>
        <v>Error?</v>
      </c>
    </row>
    <row r="2009" spans="1:4" x14ac:dyDescent="0.2">
      <c r="A2009" s="5">
        <v>1948</v>
      </c>
      <c r="B2009" s="138">
        <f>'Cap Outlay Deprec 26'!C8</f>
        <v>6815785</v>
      </c>
      <c r="D2009" s="2" t="str">
        <f t="shared" si="30"/>
        <v>Error?</v>
      </c>
    </row>
    <row r="2010" spans="1:4" x14ac:dyDescent="0.2">
      <c r="A2010" s="5">
        <v>1949</v>
      </c>
      <c r="B2010" s="138">
        <f>'Cap Outlay Deprec 26'!C10</f>
        <v>178390</v>
      </c>
      <c r="D2010" s="2" t="str">
        <f t="shared" si="30"/>
        <v>Error?</v>
      </c>
    </row>
    <row r="2011" spans="1:4" x14ac:dyDescent="0.2">
      <c r="A2011" s="5">
        <v>1950</v>
      </c>
      <c r="B2011" s="138">
        <f>'Cap Outlay Deprec 26'!C12</f>
        <v>1926764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9212963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1042486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41757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1879100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1042486</v>
      </c>
      <c r="C2025" s="2" t="s">
        <v>573</v>
      </c>
      <c r="D2025" s="2" t="str">
        <f t="shared" si="30"/>
        <v>Error?</v>
      </c>
    </row>
    <row r="2026" spans="1:4" x14ac:dyDescent="0.2">
      <c r="A2026" s="5">
        <v>1965</v>
      </c>
      <c r="B2026" s="138">
        <f>'Cap Outlay Deprec 26'!F5</f>
        <v>24902</v>
      </c>
      <c r="C2026" s="2" t="s">
        <v>573</v>
      </c>
      <c r="D2026" s="2" t="str">
        <f t="shared" si="30"/>
        <v>Error?</v>
      </c>
    </row>
    <row r="2027" spans="1:4" x14ac:dyDescent="0.2">
      <c r="A2027" s="5">
        <v>1966</v>
      </c>
      <c r="B2027" s="138">
        <f>'Cap Outlay Deprec 26'!F8</f>
        <v>7858271</v>
      </c>
      <c r="C2027" s="2" t="s">
        <v>573</v>
      </c>
      <c r="D2027" s="2" t="str">
        <f t="shared" si="30"/>
        <v>Error?</v>
      </c>
    </row>
    <row r="2028" spans="1:4" x14ac:dyDescent="0.2">
      <c r="A2028" s="5">
        <v>1967</v>
      </c>
      <c r="B2028" s="138">
        <f>'Cap Outlay Deprec 26'!F10</f>
        <v>178390</v>
      </c>
      <c r="C2028" s="2" t="s">
        <v>573</v>
      </c>
      <c r="D2028" s="2" t="str">
        <f t="shared" si="30"/>
        <v>Error?</v>
      </c>
    </row>
    <row r="2029" spans="1:4" x14ac:dyDescent="0.2">
      <c r="A2029" s="5">
        <v>1968</v>
      </c>
      <c r="B2029" s="138">
        <f>'Cap Outlay Deprec 26'!F12</f>
        <v>1968521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10049577</v>
      </c>
      <c r="C2031" s="2" t="s">
        <v>573</v>
      </c>
      <c r="D2031" s="2" t="str">
        <f t="shared" si="30"/>
        <v>Error?</v>
      </c>
    </row>
    <row r="2032" spans="1:4" x14ac:dyDescent="0.2">
      <c r="A2032" s="10">
        <v>1971</v>
      </c>
      <c r="D2032" s="2" t="str">
        <f t="shared" si="30"/>
        <v>OK</v>
      </c>
    </row>
    <row r="2033" spans="1:4" x14ac:dyDescent="0.2">
      <c r="A2033" s="5">
        <v>1972</v>
      </c>
      <c r="B2033" s="138">
        <f>'Cap Outlay Deprec 26'!H8</f>
        <v>2544704</v>
      </c>
      <c r="D2033" s="2" t="str">
        <f t="shared" si="30"/>
        <v>Error?</v>
      </c>
    </row>
    <row r="2034" spans="1:4" x14ac:dyDescent="0.2">
      <c r="A2034" s="5">
        <v>1973</v>
      </c>
      <c r="B2034" s="138">
        <f>'Cap Outlay Deprec 26'!H10</f>
        <v>120506</v>
      </c>
      <c r="D2034" s="2" t="str">
        <f t="shared" si="30"/>
        <v>Error?</v>
      </c>
    </row>
    <row r="2035" spans="1:4" x14ac:dyDescent="0.2">
      <c r="A2035" s="5">
        <v>1974</v>
      </c>
      <c r="B2035" s="138">
        <f>'Cap Outlay Deprec 26'!H12</f>
        <v>1691905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4357115</v>
      </c>
      <c r="C2037" s="2" t="s">
        <v>573</v>
      </c>
      <c r="D2037" s="2" t="str">
        <f t="shared" si="30"/>
        <v>Error?</v>
      </c>
    </row>
    <row r="2038" spans="1:4" x14ac:dyDescent="0.2">
      <c r="A2038" s="10">
        <v>1977</v>
      </c>
      <c r="D2038" s="2" t="str">
        <f t="shared" si="30"/>
        <v>OK</v>
      </c>
    </row>
    <row r="2039" spans="1:4" x14ac:dyDescent="0.2">
      <c r="A2039" s="5">
        <v>1978</v>
      </c>
      <c r="B2039" s="138">
        <f>'Cap Outlay Deprec 26'!I8</f>
        <v>171355</v>
      </c>
      <c r="D2039" s="2" t="str">
        <f t="shared" si="30"/>
        <v>Error?</v>
      </c>
    </row>
    <row r="2040" spans="1:4" x14ac:dyDescent="0.2">
      <c r="A2040" s="5">
        <v>1979</v>
      </c>
      <c r="B2040" s="138">
        <f>'Cap Outlay Deprec 26'!I10</f>
        <v>6049</v>
      </c>
      <c r="D2040" s="2" t="str">
        <f t="shared" si="30"/>
        <v>Error?</v>
      </c>
    </row>
    <row r="2041" spans="1:4" x14ac:dyDescent="0.2">
      <c r="A2041" s="5">
        <v>1980</v>
      </c>
      <c r="B2041" s="138">
        <f>'Cap Outlay Deprec 26'!I12</f>
        <v>49683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227087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2716059</v>
      </c>
      <c r="C2051" s="2" t="s">
        <v>573</v>
      </c>
      <c r="D2051" s="2" t="str">
        <f t="shared" si="31"/>
        <v>Error?</v>
      </c>
    </row>
    <row r="2052" spans="1:4" x14ac:dyDescent="0.2">
      <c r="A2052" s="5">
        <v>1991</v>
      </c>
      <c r="B2052" s="138">
        <f>'Cap Outlay Deprec 26'!K10</f>
        <v>126555</v>
      </c>
      <c r="C2052" s="2" t="s">
        <v>573</v>
      </c>
      <c r="D2052" s="2" t="str">
        <f t="shared" si="31"/>
        <v>Error?</v>
      </c>
    </row>
    <row r="2053" spans="1:4" x14ac:dyDescent="0.2">
      <c r="A2053" s="5">
        <v>1992</v>
      </c>
      <c r="B2053" s="138">
        <f>'Cap Outlay Deprec 26'!K12</f>
        <v>1741588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4584202</v>
      </c>
      <c r="C2055" s="2" t="s">
        <v>573</v>
      </c>
      <c r="D2055" s="2" t="str">
        <f t="shared" si="31"/>
        <v>Error?</v>
      </c>
    </row>
    <row r="2056" spans="1:4" x14ac:dyDescent="0.2">
      <c r="A2056" s="5">
        <v>1995</v>
      </c>
      <c r="B2056" s="138">
        <f>'Cap Outlay Deprec 26'!L5</f>
        <v>24902</v>
      </c>
      <c r="C2056" s="2" t="s">
        <v>573</v>
      </c>
      <c r="D2056" s="2" t="str">
        <f t="shared" si="31"/>
        <v>Error?</v>
      </c>
    </row>
    <row r="2057" spans="1:4" x14ac:dyDescent="0.2">
      <c r="A2057" s="5">
        <v>1996</v>
      </c>
      <c r="B2057" s="138">
        <f>'Cap Outlay Deprec 26'!L8</f>
        <v>5142212</v>
      </c>
      <c r="C2057" s="2" t="s">
        <v>573</v>
      </c>
      <c r="D2057" s="2" t="str">
        <f t="shared" si="31"/>
        <v>Error?</v>
      </c>
    </row>
    <row r="2058" spans="1:4" x14ac:dyDescent="0.2">
      <c r="A2058" s="5">
        <v>1997</v>
      </c>
      <c r="B2058" s="138">
        <f>'Cap Outlay Deprec 26'!L10</f>
        <v>51835</v>
      </c>
      <c r="C2058" s="2" t="s">
        <v>573</v>
      </c>
      <c r="D2058" s="2" t="str">
        <f t="shared" si="31"/>
        <v>Error?</v>
      </c>
    </row>
    <row r="2059" spans="1:4" x14ac:dyDescent="0.2">
      <c r="A2059" s="5">
        <v>1998</v>
      </c>
      <c r="B2059" s="138">
        <f>'Cap Outlay Deprec 26'!L12</f>
        <v>226933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5465375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142840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142840</v>
      </c>
      <c r="C2088" s="2" t="s">
        <v>573</v>
      </c>
      <c r="D2088" s="2" t="str">
        <f t="shared" si="31"/>
        <v>Error?</v>
      </c>
    </row>
    <row r="2089" spans="1:4" x14ac:dyDescent="0.2">
      <c r="A2089" s="5">
        <v>2028</v>
      </c>
      <c r="B2089" s="138">
        <f>'Expenditures 15-22'!K92</f>
        <v>102551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8855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44553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244475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1250259</v>
      </c>
      <c r="C2551" s="2" t="s">
        <v>573</v>
      </c>
      <c r="D2551" s="2" t="str">
        <f t="shared" si="38"/>
        <v>Error?</v>
      </c>
    </row>
    <row r="2552" spans="1:4" x14ac:dyDescent="0.2">
      <c r="A2552" s="10">
        <v>2491</v>
      </c>
      <c r="D2552" s="2" t="str">
        <f t="shared" si="38"/>
        <v>OK</v>
      </c>
    </row>
    <row r="2553" spans="1:4" x14ac:dyDescent="0.2">
      <c r="A2553" s="5">
        <v>2492</v>
      </c>
      <c r="B2553" s="138">
        <f>'Acct Summary 7-8'!C6</f>
        <v>1952884</v>
      </c>
      <c r="C2553" s="2" t="s">
        <v>573</v>
      </c>
      <c r="D2553" s="2" t="str">
        <f t="shared" si="38"/>
        <v>Error?</v>
      </c>
    </row>
    <row r="2554" spans="1:4" x14ac:dyDescent="0.2">
      <c r="A2554" s="5">
        <v>2493</v>
      </c>
      <c r="B2554" s="138">
        <f>'Acct Summary 7-8'!C7</f>
        <v>282762</v>
      </c>
      <c r="C2554" s="2" t="s">
        <v>573</v>
      </c>
      <c r="D2554" s="2" t="str">
        <f t="shared" si="38"/>
        <v>Error?</v>
      </c>
    </row>
    <row r="2555" spans="1:4" x14ac:dyDescent="0.2">
      <c r="A2555" s="5">
        <v>2494</v>
      </c>
      <c r="B2555" s="138">
        <f>'Acct Summary 7-8'!C8</f>
        <v>3485905</v>
      </c>
      <c r="C2555" s="2" t="s">
        <v>573</v>
      </c>
      <c r="D2555" s="2" t="str">
        <f t="shared" si="38"/>
        <v>Error?</v>
      </c>
    </row>
    <row r="2556" spans="1:4" x14ac:dyDescent="0.2">
      <c r="A2556" s="5">
        <v>2495</v>
      </c>
      <c r="B2556" s="138">
        <f>'Acct Summary 7-8'!C12</f>
        <v>2208416</v>
      </c>
      <c r="C2556" s="2" t="s">
        <v>573</v>
      </c>
      <c r="D2556" s="2" t="str">
        <f t="shared" si="38"/>
        <v>Error?</v>
      </c>
    </row>
    <row r="2557" spans="1:4" x14ac:dyDescent="0.2">
      <c r="A2557" s="5">
        <v>2496</v>
      </c>
      <c r="B2557" s="138">
        <f>'Acct Summary 7-8'!C13</f>
        <v>846258</v>
      </c>
      <c r="C2557" s="2" t="s">
        <v>573</v>
      </c>
      <c r="D2557" s="2" t="str">
        <f t="shared" si="38"/>
        <v>Error?</v>
      </c>
    </row>
    <row r="2558" spans="1:4" x14ac:dyDescent="0.2">
      <c r="A2558" s="5">
        <v>2497</v>
      </c>
      <c r="B2558" s="138">
        <f>'Acct Summary 7-8'!C14</f>
        <v>7644</v>
      </c>
      <c r="C2558" s="2" t="s">
        <v>573</v>
      </c>
      <c r="D2558" s="2" t="str">
        <f t="shared" si="38"/>
        <v>Error?</v>
      </c>
    </row>
    <row r="2559" spans="1:4" x14ac:dyDescent="0.2">
      <c r="A2559" s="5">
        <v>2498</v>
      </c>
      <c r="B2559" s="138">
        <f>'Acct Summary 7-8'!C15</f>
        <v>245391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3307709</v>
      </c>
      <c r="C2561" s="2" t="s">
        <v>573</v>
      </c>
      <c r="D2561" s="2" t="str">
        <f t="shared" si="39"/>
        <v>Error?</v>
      </c>
    </row>
    <row r="2562" spans="1:4" x14ac:dyDescent="0.2">
      <c r="A2562" s="5">
        <v>2501</v>
      </c>
      <c r="B2562" s="138">
        <f>'Acct Summary 7-8'!C20</f>
        <v>178196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202714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202714</v>
      </c>
      <c r="C2568" s="2" t="s">
        <v>573</v>
      </c>
      <c r="D2568" s="2" t="str">
        <f t="shared" si="39"/>
        <v>Error?</v>
      </c>
    </row>
    <row r="2569" spans="1:4" x14ac:dyDescent="0.2">
      <c r="A2569" s="5">
        <v>2508</v>
      </c>
      <c r="B2569" s="138">
        <f>'Acct Summary 7-8'!D13</f>
        <v>169267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169267</v>
      </c>
      <c r="C2573" s="2" t="s">
        <v>573</v>
      </c>
      <c r="D2573" s="2" t="str">
        <f t="shared" si="39"/>
        <v>Error?</v>
      </c>
    </row>
    <row r="2574" spans="1:4" x14ac:dyDescent="0.2">
      <c r="A2574" s="5">
        <v>2513</v>
      </c>
      <c r="B2574" s="138">
        <f>'Acct Summary 7-8'!D20</f>
        <v>33447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124704</v>
      </c>
      <c r="C2591" s="2" t="s">
        <v>573</v>
      </c>
      <c r="D2591" s="2" t="str">
        <f t="shared" si="39"/>
        <v>Error?</v>
      </c>
    </row>
    <row r="2592" spans="1:4" x14ac:dyDescent="0.2">
      <c r="A2592" s="10">
        <v>2531</v>
      </c>
      <c r="D2592" s="2" t="str">
        <f t="shared" si="39"/>
        <v>OK</v>
      </c>
    </row>
    <row r="2593" spans="1:4" x14ac:dyDescent="0.2">
      <c r="A2593" s="5">
        <v>2532</v>
      </c>
      <c r="B2593" s="138">
        <f>'Acct Summary 7-8'!F6</f>
        <v>90959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215663</v>
      </c>
      <c r="C2595" s="2" t="s">
        <v>573</v>
      </c>
      <c r="D2595" s="2" t="str">
        <f t="shared" si="39"/>
        <v>Error?</v>
      </c>
    </row>
    <row r="2596" spans="1:4" x14ac:dyDescent="0.2">
      <c r="A2596" s="5">
        <v>2535</v>
      </c>
      <c r="B2596" s="138">
        <f>'Acct Summary 7-8'!F13</f>
        <v>226664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226664</v>
      </c>
      <c r="C2600" s="2" t="s">
        <v>573</v>
      </c>
      <c r="D2600" s="2" t="str">
        <f t="shared" si="39"/>
        <v>Error?</v>
      </c>
    </row>
    <row r="2601" spans="1:4" x14ac:dyDescent="0.2">
      <c r="A2601" s="5">
        <v>2540</v>
      </c>
      <c r="B2601" s="138">
        <f>'Acct Summary 7-8'!F20</f>
        <v>-11001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120156</v>
      </c>
      <c r="C2603" s="2" t="s">
        <v>573</v>
      </c>
      <c r="D2603" s="2" t="str">
        <f t="shared" si="39"/>
        <v>Error?</v>
      </c>
    </row>
    <row r="2604" spans="1:4" x14ac:dyDescent="0.2">
      <c r="A2604" s="5">
        <v>2543</v>
      </c>
      <c r="B2604" s="138">
        <f>'Acct Summary 7-8'!G6</f>
        <v>18000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138156</v>
      </c>
      <c r="C2606" s="2" t="s">
        <v>573</v>
      </c>
      <c r="D2606" s="2" t="str">
        <f t="shared" si="39"/>
        <v>Error?</v>
      </c>
    </row>
    <row r="2607" spans="1:4" x14ac:dyDescent="0.2">
      <c r="A2607" s="5">
        <v>2546</v>
      </c>
      <c r="B2607" s="138">
        <f>'Acct Summary 7-8'!G12</f>
        <v>48071</v>
      </c>
      <c r="C2607" s="2" t="s">
        <v>573</v>
      </c>
      <c r="D2607" s="2" t="str">
        <f t="shared" si="39"/>
        <v>Error?</v>
      </c>
    </row>
    <row r="2608" spans="1:4" x14ac:dyDescent="0.2">
      <c r="A2608" s="5">
        <v>2547</v>
      </c>
      <c r="B2608" s="138">
        <f>'Acct Summary 7-8'!G13</f>
        <v>50048</v>
      </c>
      <c r="C2608" s="2" t="s">
        <v>573</v>
      </c>
      <c r="D2608" s="2" t="str">
        <f t="shared" si="39"/>
        <v>Error?</v>
      </c>
    </row>
    <row r="2609" spans="1:4" x14ac:dyDescent="0.2">
      <c r="A2609" s="5">
        <v>2548</v>
      </c>
      <c r="B2609" s="138">
        <f>'Acct Summary 7-8'!G14</f>
        <v>78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98197</v>
      </c>
      <c r="C2612" s="2" t="s">
        <v>573</v>
      </c>
      <c r="D2612" s="2" t="str">
        <f t="shared" si="39"/>
        <v>Error?</v>
      </c>
    </row>
    <row r="2613" spans="1:4" x14ac:dyDescent="0.2">
      <c r="A2613" s="5">
        <v>2552</v>
      </c>
      <c r="B2613" s="138">
        <f>'Acct Summary 7-8'!G20</f>
        <v>39959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395888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395888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383923</v>
      </c>
      <c r="C2634" s="2" t="s">
        <v>573</v>
      </c>
      <c r="D2634" s="2" t="str">
        <f t="shared" si="40"/>
        <v>Error?</v>
      </c>
    </row>
    <row r="2635" spans="1:4" x14ac:dyDescent="0.2">
      <c r="A2635" s="5">
        <v>2574</v>
      </c>
      <c r="B2635" s="138">
        <f>'Acct Summary 7-8'!E17</f>
        <v>383923</v>
      </c>
      <c r="C2635" s="2" t="s">
        <v>573</v>
      </c>
      <c r="D2635" s="2" t="str">
        <f t="shared" si="40"/>
        <v>Error?</v>
      </c>
    </row>
    <row r="2636" spans="1:4" x14ac:dyDescent="0.2">
      <c r="A2636" s="5">
        <v>2575</v>
      </c>
      <c r="B2636" s="138">
        <f>'Acct Summary 7-8'!E20</f>
        <v>11965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3744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3744</v>
      </c>
      <c r="C2658" s="2" t="s">
        <v>573</v>
      </c>
      <c r="D2658" s="2" t="str">
        <f t="shared" si="40"/>
        <v>Error?</v>
      </c>
    </row>
    <row r="2659" spans="1:4" x14ac:dyDescent="0.2">
      <c r="A2659" s="5">
        <v>2598</v>
      </c>
      <c r="B2659" s="138">
        <f>'Acct Summary 7-8'!H13</f>
        <v>813798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813798</v>
      </c>
      <c r="C2661" s="2" t="s">
        <v>573</v>
      </c>
      <c r="D2661" s="2" t="str">
        <f t="shared" si="40"/>
        <v>Error?</v>
      </c>
    </row>
    <row r="2662" spans="1:4" x14ac:dyDescent="0.2">
      <c r="A2662" s="5">
        <v>2601</v>
      </c>
      <c r="B2662" s="138">
        <f>'Acct Summary 7-8'!H20</f>
        <v>-810054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19493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384240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110717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384240</v>
      </c>
      <c r="D2912" s="2" t="str">
        <f t="shared" si="44"/>
        <v>Error?</v>
      </c>
    </row>
    <row r="2913" spans="1:4" x14ac:dyDescent="0.2">
      <c r="A2913" s="5">
        <v>2852</v>
      </c>
      <c r="B2913" s="138">
        <f>'Assets-Liab 5-6'!I41</f>
        <v>384240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110717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142840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142840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59077</v>
      </c>
      <c r="D3055" s="2" t="str">
        <f t="shared" si="46"/>
        <v>Error?</v>
      </c>
    </row>
    <row r="3056" spans="1:4" x14ac:dyDescent="0.2">
      <c r="A3056" s="5">
        <v>2995</v>
      </c>
      <c r="B3056" s="138">
        <f>'Expenditures 15-22'!D10</f>
        <v>16709</v>
      </c>
      <c r="D3056" s="2" t="str">
        <f t="shared" si="46"/>
        <v>Error?</v>
      </c>
    </row>
    <row r="3057" spans="1:4" x14ac:dyDescent="0.2">
      <c r="A3057" s="5">
        <v>2996</v>
      </c>
      <c r="B3057" s="138">
        <f>'Expenditures 15-22'!E10</f>
        <v>1200</v>
      </c>
      <c r="D3057" s="2" t="str">
        <f t="shared" si="46"/>
        <v>Error?</v>
      </c>
    </row>
    <row r="3058" spans="1:4" x14ac:dyDescent="0.2">
      <c r="A3058" s="5">
        <v>2997</v>
      </c>
      <c r="B3058" s="138">
        <f>'Expenditures 15-22'!F10</f>
        <v>235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77221</v>
      </c>
      <c r="C3062" s="2" t="s">
        <v>573</v>
      </c>
      <c r="D3062" s="2" t="str">
        <f t="shared" si="46"/>
        <v>Error?</v>
      </c>
    </row>
    <row r="3063" spans="1:4" x14ac:dyDescent="0.2">
      <c r="A3063" s="10">
        <v>3002</v>
      </c>
      <c r="D3063" s="2" t="str">
        <f t="shared" si="46"/>
        <v>OK</v>
      </c>
    </row>
    <row r="3064" spans="1:4" x14ac:dyDescent="0.2">
      <c r="A3064" s="5">
        <v>3003</v>
      </c>
      <c r="B3064" s="138">
        <f>'Expenditures 15-22'!D219</f>
        <v>857</v>
      </c>
      <c r="D3064" s="2" t="str">
        <f t="shared" si="46"/>
        <v>Error?</v>
      </c>
    </row>
    <row r="3065" spans="1:4" x14ac:dyDescent="0.2">
      <c r="A3065" s="5">
        <v>3004</v>
      </c>
      <c r="B3065" s="138">
        <f>'Expenditures 15-22'!K219</f>
        <v>857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110717</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13703</v>
      </c>
      <c r="C3225" s="2" t="s">
        <v>573</v>
      </c>
      <c r="D3225" s="2" t="str">
        <f t="shared" si="49"/>
        <v>Error?</v>
      </c>
    </row>
    <row r="3226" spans="1:4" x14ac:dyDescent="0.2">
      <c r="A3226" s="5">
        <v>3165</v>
      </c>
      <c r="B3226" s="138">
        <f>'Acct Summary 7-8'!I8</f>
        <v>13703</v>
      </c>
      <c r="C3226" s="2" t="s">
        <v>573</v>
      </c>
      <c r="D3226" s="2" t="str">
        <f t="shared" si="49"/>
        <v>Error?</v>
      </c>
    </row>
    <row r="3227" spans="1:4" x14ac:dyDescent="0.2">
      <c r="A3227" s="5">
        <v>3166</v>
      </c>
      <c r="B3227" s="138">
        <f>'Acct Summary 7-8'!I20</f>
        <v>13703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178196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33447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-11001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39959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11965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-810054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13703</v>
      </c>
      <c r="C3320" s="2" t="s">
        <v>573</v>
      </c>
      <c r="D3320" s="2" t="str">
        <f t="shared" si="50"/>
        <v>Error?</v>
      </c>
    </row>
    <row r="3321" spans="1:4" x14ac:dyDescent="0.2">
      <c r="A3321" s="5">
        <v>3260</v>
      </c>
      <c r="B3321" s="138">
        <f>'Acct Summary 7-8'!I79</f>
        <v>370537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384240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222177</v>
      </c>
      <c r="D3366" s="2" t="str">
        <f t="shared" si="51"/>
        <v>Error?</v>
      </c>
    </row>
    <row r="3367" spans="1:4" x14ac:dyDescent="0.2">
      <c r="A3367" s="5">
        <v>3306</v>
      </c>
      <c r="B3367" s="138">
        <f>'Expenditures 15-22'!C19</f>
        <v>1776</v>
      </c>
      <c r="D3367" s="2" t="str">
        <f t="shared" si="51"/>
        <v>Error?</v>
      </c>
    </row>
    <row r="3368" spans="1:4" x14ac:dyDescent="0.2">
      <c r="A3368" s="5">
        <v>3307</v>
      </c>
      <c r="B3368" s="138">
        <f>'Expenditures 15-22'!D8</f>
        <v>29867</v>
      </c>
      <c r="D3368" s="2" t="str">
        <f t="shared" si="51"/>
        <v>Error?</v>
      </c>
    </row>
    <row r="3369" spans="1:4" x14ac:dyDescent="0.2">
      <c r="A3369" s="5">
        <v>3308</v>
      </c>
      <c r="B3369" s="138">
        <f>'Expenditures 15-22'!D19</f>
        <v>40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253506</v>
      </c>
      <c r="C3380" s="2" t="s">
        <v>573</v>
      </c>
      <c r="D3380" s="2" t="str">
        <f t="shared" si="51"/>
        <v>Error?</v>
      </c>
    </row>
    <row r="3381" spans="1:4" x14ac:dyDescent="0.2">
      <c r="A3381" s="5">
        <v>3320</v>
      </c>
      <c r="B3381" s="138">
        <f>'Expenditures 15-22'!K19</f>
        <v>1816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30373</v>
      </c>
      <c r="D3387" s="2" t="str">
        <f t="shared" si="51"/>
        <v>Error?</v>
      </c>
    </row>
    <row r="3388" spans="1:4" x14ac:dyDescent="0.2">
      <c r="A3388" s="5">
        <v>3327</v>
      </c>
      <c r="B3388" s="138">
        <f>'Expenditures 15-22'!D217</f>
        <v>12460</v>
      </c>
      <c r="D3388" s="2" t="str">
        <f t="shared" si="51"/>
        <v>Error?</v>
      </c>
    </row>
    <row r="3389" spans="1:4" x14ac:dyDescent="0.2">
      <c r="A3389" s="5">
        <v>3328</v>
      </c>
      <c r="B3389" s="138">
        <f>'Expenditures 15-22'!D228</f>
        <v>26</v>
      </c>
      <c r="D3389" s="2" t="str">
        <f t="shared" si="51"/>
        <v>Error?</v>
      </c>
    </row>
    <row r="3390" spans="1:4" x14ac:dyDescent="0.2">
      <c r="A3390" s="5">
        <v>3329</v>
      </c>
      <c r="B3390" s="138">
        <f>'Expenditures 15-22'!K215</f>
        <v>30373</v>
      </c>
      <c r="C3390" s="2" t="s">
        <v>573</v>
      </c>
      <c r="D3390" s="2" t="str">
        <f t="shared" si="51"/>
        <v>Error?</v>
      </c>
    </row>
    <row r="3391" spans="1:4" x14ac:dyDescent="0.2">
      <c r="A3391" s="5">
        <v>3330</v>
      </c>
      <c r="B3391" s="138">
        <f>'Expenditures 15-22'!K217</f>
        <v>12460</v>
      </c>
      <c r="C3391" s="2" t="s">
        <v>573</v>
      </c>
      <c r="D3391" s="2" t="str">
        <f t="shared" ref="D3391:D3454" si="52">IF(ISBLANK(B3391),"OK",IF(A3391-B3391=0,"OK","Error?"))</f>
        <v>Error?</v>
      </c>
    </row>
    <row r="3392" spans="1:4" x14ac:dyDescent="0.2">
      <c r="A3392" s="5">
        <v>3331</v>
      </c>
      <c r="B3392" s="138">
        <f>'Expenditures 15-22'!K228</f>
        <v>26</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398512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334534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108252</v>
      </c>
      <c r="D3417" s="2" t="str">
        <f t="shared" si="52"/>
        <v>Error?</v>
      </c>
    </row>
    <row r="3418" spans="1:4" x14ac:dyDescent="0.2">
      <c r="A3418" s="10">
        <v>3357</v>
      </c>
      <c r="D3418" s="2" t="str">
        <f t="shared" si="52"/>
        <v>OK</v>
      </c>
    </row>
    <row r="3419" spans="1:4" x14ac:dyDescent="0.2">
      <c r="A3419" s="5">
        <v>3358</v>
      </c>
      <c r="B3419" s="138">
        <f>'Assets-Liab 5-6'!F4</f>
        <v>304895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100204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230595</v>
      </c>
      <c r="D3425" s="2" t="str">
        <f t="shared" si="52"/>
        <v>Error?</v>
      </c>
    </row>
    <row r="3426" spans="1:4" x14ac:dyDescent="0.2">
      <c r="A3426" s="10">
        <v>3365</v>
      </c>
      <c r="D3426" s="2" t="str">
        <f t="shared" si="52"/>
        <v>OK</v>
      </c>
    </row>
    <row r="3427" spans="1:4" x14ac:dyDescent="0.2">
      <c r="A3427" s="5">
        <v>3366</v>
      </c>
      <c r="B3427" s="138">
        <f>'Assets-Liab 5-6'!I4</f>
        <v>384240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110717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48528</v>
      </c>
      <c r="C3446" s="2" t="s">
        <v>573</v>
      </c>
      <c r="D3446" s="2" t="str">
        <f t="shared" si="52"/>
        <v>Error?</v>
      </c>
    </row>
    <row r="3447" spans="1:4" x14ac:dyDescent="0.2">
      <c r="A3447" s="5">
        <v>3386</v>
      </c>
      <c r="B3447" s="138">
        <f>'Tax Sched 23'!D16</f>
        <v>48528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50236</v>
      </c>
      <c r="C3449" s="2" t="s">
        <v>573</v>
      </c>
      <c r="D3449" s="2" t="str">
        <f t="shared" si="52"/>
        <v>Error?</v>
      </c>
    </row>
    <row r="3450" spans="1:4" x14ac:dyDescent="0.2">
      <c r="A3450" s="5">
        <v>3389</v>
      </c>
      <c r="B3450" s="138">
        <f>'Tax Sched 23'!E16</f>
        <v>50236</v>
      </c>
      <c r="D3450" s="2" t="str">
        <f t="shared" si="52"/>
        <v>Error?</v>
      </c>
    </row>
    <row r="3451" spans="1:4" x14ac:dyDescent="0.2">
      <c r="A3451" s="5">
        <v>3390</v>
      </c>
      <c r="B3451" s="138">
        <f>'Cap Outlay Deprec 26'!C15</f>
        <v>267122</v>
      </c>
      <c r="D3451" s="2" t="str">
        <f t="shared" si="52"/>
        <v>Error?</v>
      </c>
    </row>
    <row r="3452" spans="1:4" x14ac:dyDescent="0.2">
      <c r="A3452" s="5">
        <v>3391</v>
      </c>
      <c r="B3452" s="138">
        <f>'Cap Outlay Deprec 26'!D15</f>
        <v>794857</v>
      </c>
      <c r="D3452" s="2" t="str">
        <f t="shared" si="52"/>
        <v>Error?</v>
      </c>
    </row>
    <row r="3453" spans="1:4" x14ac:dyDescent="0.2">
      <c r="A3453" s="5">
        <v>3392</v>
      </c>
      <c r="B3453" s="138">
        <f>'Cap Outlay Deprec 26'!E15</f>
        <v>1042486</v>
      </c>
      <c r="D3453" s="2" t="str">
        <f t="shared" si="52"/>
        <v>Error?</v>
      </c>
    </row>
    <row r="3454" spans="1:4" x14ac:dyDescent="0.2">
      <c r="A3454" s="5">
        <v>3393</v>
      </c>
      <c r="B3454" s="138">
        <f>'Cap Outlay Deprec 26'!F15</f>
        <v>19493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19493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77142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77142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77142</v>
      </c>
      <c r="D3567" s="2" t="str">
        <f t="shared" si="54"/>
        <v>Error?</v>
      </c>
    </row>
    <row r="3568" spans="1:4" x14ac:dyDescent="0.2">
      <c r="A3568" s="5">
        <v>3507</v>
      </c>
      <c r="B3568" s="138">
        <f>'Assets-Liab 5-6'!K41</f>
        <v>77142</v>
      </c>
      <c r="C3568" s="2" t="s">
        <v>573</v>
      </c>
      <c r="D3568" s="2" t="str">
        <f t="shared" si="54"/>
        <v>Error?</v>
      </c>
    </row>
    <row r="3569" spans="1:4" x14ac:dyDescent="0.2">
      <c r="A3569" s="5">
        <v>3508</v>
      </c>
      <c r="B3569" s="138">
        <f>'Acct Summary 7-8'!K4</f>
        <v>10495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10495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10495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10495</v>
      </c>
      <c r="C3588" s="2" t="s">
        <v>573</v>
      </c>
      <c r="D3588" s="2" t="str">
        <f t="shared" si="55"/>
        <v>Error?</v>
      </c>
    </row>
    <row r="3589" spans="1:4" x14ac:dyDescent="0.2">
      <c r="A3589" s="5">
        <v>3528</v>
      </c>
      <c r="B3589" s="138">
        <f>'Acct Summary 7-8'!K79</f>
        <v>66647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77142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10495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48660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1295659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4781564</v>
      </c>
      <c r="C4122" s="2" t="s">
        <v>573</v>
      </c>
      <c r="D4122" s="2" t="str">
        <f t="shared" si="63"/>
        <v>Error?</v>
      </c>
    </row>
    <row r="4123" spans="1:4" x14ac:dyDescent="0.2">
      <c r="A4123" s="5">
        <v>4062</v>
      </c>
      <c r="B4123" s="138">
        <f>'Acct Summary 7-8'!D10</f>
        <v>202714</v>
      </c>
      <c r="C4123" s="2" t="s">
        <v>573</v>
      </c>
      <c r="D4123" s="2" t="str">
        <f t="shared" si="63"/>
        <v>Error?</v>
      </c>
    </row>
    <row r="4124" spans="1:4" x14ac:dyDescent="0.2">
      <c r="A4124" s="5">
        <v>4063</v>
      </c>
      <c r="B4124" s="138">
        <f>'Acct Summary 7-8'!E10</f>
        <v>395888</v>
      </c>
      <c r="C4124" s="2" t="s">
        <v>573</v>
      </c>
      <c r="D4124" s="2" t="str">
        <f t="shared" si="63"/>
        <v>Error?</v>
      </c>
    </row>
    <row r="4125" spans="1:4" x14ac:dyDescent="0.2">
      <c r="A4125" s="5">
        <v>4064</v>
      </c>
      <c r="B4125" s="138">
        <f>'Acct Summary 7-8'!F10</f>
        <v>215663</v>
      </c>
      <c r="C4125" s="2" t="s">
        <v>573</v>
      </c>
      <c r="D4125" s="2" t="str">
        <f t="shared" si="63"/>
        <v>Error?</v>
      </c>
    </row>
    <row r="4126" spans="1:4" x14ac:dyDescent="0.2">
      <c r="A4126" s="5">
        <v>4065</v>
      </c>
      <c r="B4126" s="138">
        <f>'Acct Summary 7-8'!G10</f>
        <v>138156</v>
      </c>
      <c r="C4126" s="2" t="s">
        <v>573</v>
      </c>
      <c r="D4126" s="2" t="str">
        <f t="shared" si="63"/>
        <v>Error?</v>
      </c>
    </row>
    <row r="4127" spans="1:4" x14ac:dyDescent="0.2">
      <c r="A4127" s="5">
        <v>4066</v>
      </c>
      <c r="B4127" s="138">
        <f>'Acct Summary 7-8'!H10</f>
        <v>3744</v>
      </c>
      <c r="C4127" s="2" t="s">
        <v>573</v>
      </c>
      <c r="D4127" s="2" t="str">
        <f t="shared" si="63"/>
        <v>Error?</v>
      </c>
    </row>
    <row r="4128" spans="1:4" x14ac:dyDescent="0.2">
      <c r="A4128" s="5">
        <v>4067</v>
      </c>
      <c r="B4128" s="138">
        <f>'Acct Summary 7-8'!I10</f>
        <v>13703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10495</v>
      </c>
      <c r="C4130" s="2" t="s">
        <v>573</v>
      </c>
      <c r="D4130" s="2" t="str">
        <f t="shared" si="63"/>
        <v>Error?</v>
      </c>
    </row>
    <row r="4131" spans="1:4" x14ac:dyDescent="0.2">
      <c r="A4131" s="5">
        <v>4070</v>
      </c>
      <c r="B4131" s="138">
        <f>'Acct Summary 7-8'!C18</f>
        <v>1295659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4603368</v>
      </c>
      <c r="C4136" s="2" t="s">
        <v>573</v>
      </c>
      <c r="D4136" s="2" t="str">
        <f t="shared" si="63"/>
        <v>Error?</v>
      </c>
    </row>
    <row r="4137" spans="1:4" x14ac:dyDescent="0.2">
      <c r="A4137" s="5">
        <v>4076</v>
      </c>
      <c r="B4137" s="138">
        <f>'Acct Summary 7-8'!D19</f>
        <v>169267</v>
      </c>
      <c r="C4137" s="2" t="s">
        <v>573</v>
      </c>
      <c r="D4137" s="2" t="str">
        <f t="shared" si="63"/>
        <v>Error?</v>
      </c>
    </row>
    <row r="4138" spans="1:4" x14ac:dyDescent="0.2">
      <c r="A4138" s="5">
        <v>4077</v>
      </c>
      <c r="B4138" s="138">
        <f>'Acct Summary 7-8'!E19</f>
        <v>383923</v>
      </c>
      <c r="C4138" s="2" t="s">
        <v>573</v>
      </c>
      <c r="D4138" s="2" t="str">
        <f t="shared" si="63"/>
        <v>Error?</v>
      </c>
    </row>
    <row r="4139" spans="1:4" x14ac:dyDescent="0.2">
      <c r="A4139" s="5">
        <v>4078</v>
      </c>
      <c r="B4139" s="138">
        <f>'Acct Summary 7-8'!F19</f>
        <v>226664</v>
      </c>
      <c r="C4139" s="2" t="s">
        <v>573</v>
      </c>
      <c r="D4139" s="2" t="str">
        <f t="shared" si="63"/>
        <v>Error?</v>
      </c>
    </row>
    <row r="4140" spans="1:4" x14ac:dyDescent="0.2">
      <c r="A4140" s="5">
        <v>4079</v>
      </c>
      <c r="B4140" s="138">
        <f>'Acct Summary 7-8'!G19</f>
        <v>98197</v>
      </c>
      <c r="C4140" s="2" t="s">
        <v>573</v>
      </c>
      <c r="D4140" s="2" t="str">
        <f t="shared" si="63"/>
        <v>Error?</v>
      </c>
    </row>
    <row r="4141" spans="1:4" x14ac:dyDescent="0.2">
      <c r="A4141" s="5">
        <v>4080</v>
      </c>
      <c r="B4141" s="138">
        <f>'Acct Summary 7-8'!H19</f>
        <v>813798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2490000</v>
      </c>
      <c r="C4171" s="2" t="s">
        <v>573</v>
      </c>
      <c r="D4171" s="2" t="str">
        <f t="shared" si="64"/>
        <v>Error?</v>
      </c>
    </row>
    <row r="4172" spans="1:4" x14ac:dyDescent="0.2">
      <c r="A4172" s="5">
        <v>4111</v>
      </c>
      <c r="B4172" s="138">
        <f>'Short-Term Long-Term Debt 24'!J49</f>
        <v>2381748</v>
      </c>
      <c r="C4172" s="2" t="s">
        <v>573</v>
      </c>
      <c r="D4172" s="2" t="str">
        <f t="shared" si="64"/>
        <v>Error?</v>
      </c>
    </row>
    <row r="4173" spans="1:4" x14ac:dyDescent="0.2">
      <c r="A4173" s="5">
        <v>4112</v>
      </c>
      <c r="B4173" s="138">
        <f>'Short-Term Long-Term Debt 24'!H49</f>
        <v>280000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2532</v>
      </c>
      <c r="C4265" s="2" t="s">
        <v>573</v>
      </c>
      <c r="D4265" s="2" t="str">
        <f t="shared" si="65"/>
        <v>Error?</v>
      </c>
      <c r="E4265" s="128"/>
    </row>
    <row r="4266" spans="1:5" x14ac:dyDescent="0.2">
      <c r="A4266" s="12">
        <v>4205</v>
      </c>
      <c r="B4266" s="138">
        <f>('FP Info 3'!F10)*100000</f>
        <v>474.9</v>
      </c>
      <c r="C4266" s="2" t="s">
        <v>573</v>
      </c>
      <c r="D4266" s="2" t="str">
        <f t="shared" si="65"/>
        <v>Error?</v>
      </c>
      <c r="E4266" s="128"/>
    </row>
    <row r="4267" spans="1:5" x14ac:dyDescent="0.2">
      <c r="A4267" s="12">
        <v>4206</v>
      </c>
      <c r="B4267" s="138">
        <f>('FP Info 3'!H10)*100000</f>
        <v>249.79999999999998</v>
      </c>
      <c r="C4267" s="2" t="s">
        <v>573</v>
      </c>
      <c r="D4267" s="2" t="str">
        <f t="shared" si="65"/>
        <v>Error?</v>
      </c>
      <c r="E4267" s="128"/>
    </row>
    <row r="4268" spans="1:5" x14ac:dyDescent="0.2">
      <c r="A4268" s="12">
        <v>4207</v>
      </c>
      <c r="B4268" s="138">
        <f>('FP Info 3'!J10)*100000</f>
        <v>3257</v>
      </c>
      <c r="C4268" s="2" t="s">
        <v>573</v>
      </c>
      <c r="D4268" s="2" t="str">
        <f t="shared" si="65"/>
        <v>Error?</v>
      </c>
    </row>
    <row r="4269" spans="1:5" x14ac:dyDescent="0.2">
      <c r="A4269" s="12">
        <v>4208</v>
      </c>
      <c r="B4269" s="138">
        <f>'FP Info 3'!J16</f>
        <v>1417847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4368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26131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12104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32.699999999999996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14489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45648479</v>
      </c>
      <c r="D4995" s="2" t="str">
        <f t="shared" si="77"/>
        <v>Error?</v>
      </c>
    </row>
    <row r="4996" spans="1:4" x14ac:dyDescent="0.2">
      <c r="A4996" s="12">
        <v>4935</v>
      </c>
      <c r="B4996" s="138">
        <f>'FP Info 3'!H31</f>
        <v>6299490.1020000009</v>
      </c>
      <c r="D4996" s="2" t="str">
        <f t="shared" si="77"/>
        <v>Error?</v>
      </c>
    </row>
    <row r="4997" spans="1:4" x14ac:dyDescent="0.2">
      <c r="A4997" s="12">
        <v>4936</v>
      </c>
      <c r="B4997" s="138">
        <f>'FP Info 3'!H37</f>
        <v>2490000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1003847</v>
      </c>
      <c r="D5061" s="2" t="str">
        <f t="shared" si="78"/>
        <v>Error?</v>
      </c>
    </row>
    <row r="5062" spans="1:4" x14ac:dyDescent="0.2">
      <c r="A5062" s="10">
        <v>5001</v>
      </c>
      <c r="D5062" s="2" t="str">
        <f t="shared" si="78"/>
        <v>OK</v>
      </c>
    </row>
    <row r="5063" spans="1:4" x14ac:dyDescent="0.2">
      <c r="A5063" s="5">
        <v>5002</v>
      </c>
      <c r="B5063" s="138">
        <f>'Revenues 9-14'!C7</f>
        <v>23813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1027660</v>
      </c>
      <c r="C5066" s="2" t="s">
        <v>573</v>
      </c>
      <c r="D5066" s="2" t="str">
        <f t="shared" si="78"/>
        <v>Error?</v>
      </c>
    </row>
    <row r="5067" spans="1:4" x14ac:dyDescent="0.2">
      <c r="A5067" s="5">
        <v>5006</v>
      </c>
      <c r="B5067" s="138">
        <f>'Revenues 9-14'!C14</f>
        <v>2616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45732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48348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54471</v>
      </c>
      <c r="C5096" s="2" t="s">
        <v>573</v>
      </c>
      <c r="D5096" s="2" t="str">
        <f t="shared" si="78"/>
        <v>Error?</v>
      </c>
    </row>
    <row r="5097" spans="1:4" x14ac:dyDescent="0.2">
      <c r="A5097" s="5">
        <v>5036</v>
      </c>
      <c r="B5097" s="138">
        <f>'Revenues 9-14'!C77</f>
        <v>14454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16630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4238</v>
      </c>
      <c r="D5101" s="2" t="str">
        <f t="shared" si="78"/>
        <v>Error?</v>
      </c>
    </row>
    <row r="5102" spans="1:4" x14ac:dyDescent="0.2">
      <c r="A5102" s="5">
        <v>5041</v>
      </c>
      <c r="B5102" s="138">
        <f>'Revenues 9-14'!C82</f>
        <v>35322</v>
      </c>
      <c r="C5102" s="2" t="s">
        <v>573</v>
      </c>
      <c r="D5102" s="2" t="str">
        <f t="shared" si="78"/>
        <v>Error?</v>
      </c>
    </row>
    <row r="5103" spans="1:4" x14ac:dyDescent="0.2">
      <c r="A5103" s="5">
        <v>5042</v>
      </c>
      <c r="B5103" s="138">
        <f>'Revenues 9-14'!C84</f>
        <v>14560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25433</v>
      </c>
      <c r="D5115" s="2" t="str">
        <f t="shared" si="78"/>
        <v>Error?</v>
      </c>
    </row>
    <row r="5116" spans="1:4" x14ac:dyDescent="0.2">
      <c r="A5116" s="5">
        <v>5055</v>
      </c>
      <c r="B5116" s="138">
        <f>'Revenues 9-14'!C99</f>
        <v>1642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19774</v>
      </c>
      <c r="D5118" s="2" t="str">
        <f t="shared" si="78"/>
        <v>Error?</v>
      </c>
    </row>
    <row r="5119" spans="1:4" x14ac:dyDescent="0.2">
      <c r="A5119" s="5">
        <v>5058</v>
      </c>
      <c r="B5119" s="138">
        <f>'Revenues 9-14'!C107</f>
        <v>16034</v>
      </c>
      <c r="D5119" s="2" t="str">
        <f t="shared" ref="D5119:D5182" si="79">IF(ISBLANK(B5119),"OK",IF(A5119-B5119=0,"OK","Error?"))</f>
        <v>Error?</v>
      </c>
    </row>
    <row r="5120" spans="1:4" x14ac:dyDescent="0.2">
      <c r="A5120" s="5">
        <v>5059</v>
      </c>
      <c r="B5120" s="138">
        <f>'Revenues 9-14'!C108</f>
        <v>69243</v>
      </c>
      <c r="C5120" s="2" t="s">
        <v>573</v>
      </c>
      <c r="D5120" s="2" t="str">
        <f t="shared" si="79"/>
        <v>Error?</v>
      </c>
    </row>
    <row r="5121" spans="1:4" x14ac:dyDescent="0.2">
      <c r="A5121" s="5">
        <v>5060</v>
      </c>
      <c r="B5121" s="138">
        <f>'Revenues 9-14'!C109</f>
        <v>1250259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1833640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1833640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83949</v>
      </c>
      <c r="D5137" s="2" t="str">
        <f t="shared" si="79"/>
        <v>Error?</v>
      </c>
    </row>
    <row r="5138" spans="1:4" x14ac:dyDescent="0.2">
      <c r="A5138" s="10">
        <v>5077</v>
      </c>
      <c r="D5138" s="2" t="str">
        <f t="shared" si="79"/>
        <v>OK</v>
      </c>
    </row>
    <row r="5139" spans="1:4" x14ac:dyDescent="0.2">
      <c r="A5139" s="5">
        <v>5078</v>
      </c>
      <c r="B5139" s="138">
        <f>'Revenues 9-14'!C129</f>
        <v>6810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90759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1737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18874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1256</v>
      </c>
      <c r="D5167" s="2" t="str">
        <f t="shared" si="79"/>
        <v>Error?</v>
      </c>
    </row>
    <row r="5168" spans="1:4" x14ac:dyDescent="0.2">
      <c r="A5168" s="5">
        <v>5107</v>
      </c>
      <c r="B5168" s="138">
        <f>'Revenues 9-14'!C148</f>
        <v>6855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1500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119244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1952884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14489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53548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13149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66697</v>
      </c>
      <c r="C5246" s="2" t="s">
        <v>573</v>
      </c>
      <c r="D5246" s="2" t="str">
        <f t="shared" si="80"/>
        <v>Error?</v>
      </c>
    </row>
    <row r="5247" spans="1:4" x14ac:dyDescent="0.2">
      <c r="A5247" s="5">
        <v>5186</v>
      </c>
      <c r="B5247" s="138">
        <f>'Revenues 9-14'!C200</f>
        <v>64634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64634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87608</v>
      </c>
      <c r="D5278" s="2" t="str">
        <f t="shared" si="81"/>
        <v>Error?</v>
      </c>
    </row>
    <row r="5279" spans="1:4" x14ac:dyDescent="0.2">
      <c r="A5279" s="5">
        <v>5218</v>
      </c>
      <c r="B5279" s="138">
        <f>'Revenues 9-14'!C214</f>
        <v>4525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92133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2206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2206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268273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282762</v>
      </c>
      <c r="C5326" s="2" t="s">
        <v>573</v>
      </c>
      <c r="D5326" s="2" t="str">
        <f t="shared" si="82"/>
        <v>Error?</v>
      </c>
    </row>
    <row r="5327" spans="1:5" x14ac:dyDescent="0.2">
      <c r="A5327" s="5">
        <v>5266</v>
      </c>
      <c r="B5327" s="138">
        <f>'Revenues 9-14'!C268</f>
        <v>3485905</v>
      </c>
      <c r="C5327" s="2" t="s">
        <v>573</v>
      </c>
      <c r="D5327" s="2" t="str">
        <f t="shared" si="82"/>
        <v>Error?</v>
      </c>
    </row>
    <row r="5328" spans="1:5" x14ac:dyDescent="0.2">
      <c r="A5328" s="5">
        <v>5267</v>
      </c>
      <c r="B5328" s="138">
        <f>'Revenues 9-14'!D5</f>
        <v>188260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188260</v>
      </c>
      <c r="C5334" s="2" t="s">
        <v>573</v>
      </c>
      <c r="D5334" s="2" t="str">
        <f t="shared" si="82"/>
        <v>Error?</v>
      </c>
    </row>
    <row r="5335" spans="1:4" x14ac:dyDescent="0.2">
      <c r="A5335" s="5">
        <v>5274</v>
      </c>
      <c r="B5335" s="138">
        <f>'Revenues 9-14'!D14</f>
        <v>479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10976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11455</v>
      </c>
      <c r="C5339" s="2" t="s">
        <v>573</v>
      </c>
      <c r="D5339" s="2" t="str">
        <f t="shared" si="82"/>
        <v>Error?</v>
      </c>
    </row>
    <row r="5340" spans="1:4" x14ac:dyDescent="0.2">
      <c r="A5340" s="5">
        <v>5279</v>
      </c>
      <c r="B5340" s="138">
        <f>'Revenues 9-14'!D65</f>
        <v>582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2417</v>
      </c>
      <c r="D5354" s="2" t="str">
        <f t="shared" si="82"/>
        <v>Error?</v>
      </c>
    </row>
    <row r="5355" spans="1:4" x14ac:dyDescent="0.2">
      <c r="A5355" s="5">
        <v>5294</v>
      </c>
      <c r="B5355" s="138">
        <f>'Revenues 9-14'!D108</f>
        <v>2417</v>
      </c>
      <c r="C5355" s="2" t="s">
        <v>573</v>
      </c>
      <c r="D5355" s="2" t="str">
        <f t="shared" si="82"/>
        <v>Error?</v>
      </c>
    </row>
    <row r="5356" spans="1:4" x14ac:dyDescent="0.2">
      <c r="A5356" s="5">
        <v>5295</v>
      </c>
      <c r="B5356" s="138">
        <f>'Revenues 9-14'!D109</f>
        <v>202714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202714</v>
      </c>
      <c r="C5508" s="2" t="s">
        <v>573</v>
      </c>
      <c r="D5508" s="2" t="str">
        <f t="shared" si="85"/>
        <v>Error?</v>
      </c>
    </row>
    <row r="5509" spans="1:4" x14ac:dyDescent="0.2">
      <c r="A5509" s="5">
        <v>5448</v>
      </c>
      <c r="B5509" s="138">
        <f>'Revenues 9-14'!E5</f>
        <v>99567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99567</v>
      </c>
      <c r="C5513" s="2" t="s">
        <v>573</v>
      </c>
      <c r="D5513" s="2" t="str">
        <f t="shared" si="85"/>
        <v>Error?</v>
      </c>
    </row>
    <row r="5514" spans="1:4" x14ac:dyDescent="0.2">
      <c r="A5514" s="5">
        <v>5453</v>
      </c>
      <c r="B5514" s="138">
        <f>'Revenues 9-14'!E14</f>
        <v>253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253</v>
      </c>
      <c r="C5518" s="2" t="s">
        <v>573</v>
      </c>
      <c r="D5518" s="2" t="str">
        <f t="shared" si="85"/>
        <v>Error?</v>
      </c>
    </row>
    <row r="5519" spans="1:4" x14ac:dyDescent="0.2">
      <c r="A5519" s="5">
        <v>5458</v>
      </c>
      <c r="B5519" s="138">
        <f>'Revenues 9-14'!E65</f>
        <v>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296011</v>
      </c>
      <c r="C5526" s="2" t="s">
        <v>573</v>
      </c>
      <c r="D5526" s="2" t="str">
        <f t="shared" si="85"/>
        <v>Error?</v>
      </c>
    </row>
    <row r="5527" spans="1:4" x14ac:dyDescent="0.2">
      <c r="A5527" s="5">
        <v>5466</v>
      </c>
      <c r="B5527" s="138">
        <f>'Revenues 9-14'!E109</f>
        <v>395888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395888</v>
      </c>
      <c r="C5552" s="2" t="s">
        <v>573</v>
      </c>
      <c r="D5552" s="2" t="str">
        <f t="shared" si="85"/>
        <v>Error?</v>
      </c>
    </row>
    <row r="5553" spans="1:4" x14ac:dyDescent="0.2">
      <c r="A5553" s="5">
        <v>5492</v>
      </c>
      <c r="B5553" s="138">
        <f>'Revenues 9-14'!F5</f>
        <v>119513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119513</v>
      </c>
      <c r="C5557" s="2" t="s">
        <v>573</v>
      </c>
      <c r="D5557" s="2" t="str">
        <f t="shared" si="85"/>
        <v>Error?</v>
      </c>
    </row>
    <row r="5558" spans="1:4" x14ac:dyDescent="0.2">
      <c r="A5558" s="5">
        <v>5497</v>
      </c>
      <c r="B5558" s="138">
        <f>'Revenues 9-14'!F14</f>
        <v>304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4268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4572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124704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39478</v>
      </c>
      <c r="D5615" s="2" t="str">
        <f t="shared" si="86"/>
        <v>Error?</v>
      </c>
    </row>
    <row r="5616" spans="1:4" x14ac:dyDescent="0.2">
      <c r="A5616" s="10">
        <v>5555</v>
      </c>
      <c r="D5616" s="2" t="str">
        <f t="shared" si="86"/>
        <v>OK</v>
      </c>
    </row>
    <row r="5617" spans="1:5" x14ac:dyDescent="0.2">
      <c r="A5617" s="5">
        <v>5556</v>
      </c>
      <c r="B5617" s="138">
        <f>'Revenues 9-14'!F153</f>
        <v>51481</v>
      </c>
      <c r="D5617" s="2" t="str">
        <f t="shared" si="86"/>
        <v>Error?</v>
      </c>
    </row>
    <row r="5618" spans="1:5" x14ac:dyDescent="0.2">
      <c r="A5618" s="5">
        <v>5557</v>
      </c>
      <c r="B5618" s="138">
        <f>'Revenues 9-14'!F155</f>
        <v>90959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90959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90959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215663</v>
      </c>
      <c r="C5720" s="2" t="s">
        <v>573</v>
      </c>
      <c r="D5720" s="2" t="str">
        <f t="shared" si="88"/>
        <v>Error?</v>
      </c>
    </row>
    <row r="5721" spans="1:4" x14ac:dyDescent="0.2">
      <c r="A5721" s="5">
        <v>5660</v>
      </c>
      <c r="B5721" s="138">
        <f>'Revenues 9-14'!G5</f>
        <v>63539</v>
      </c>
      <c r="D5721" s="2" t="str">
        <f t="shared" si="88"/>
        <v>Error?</v>
      </c>
    </row>
    <row r="5722" spans="1:4" x14ac:dyDescent="0.2">
      <c r="A5722" s="5">
        <v>5661</v>
      </c>
      <c r="B5722" s="138">
        <f>'Revenues 9-14'!G7</f>
        <v>0</v>
      </c>
      <c r="D5722" s="2" t="str">
        <f t="shared" si="88"/>
        <v>Error?</v>
      </c>
    </row>
    <row r="5723" spans="1:4" x14ac:dyDescent="0.2">
      <c r="A5723" s="5">
        <v>5662</v>
      </c>
      <c r="B5723" s="138">
        <f>'Revenues 9-14'!G8</f>
        <v>48528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112067</v>
      </c>
      <c r="C5725" s="2" t="s">
        <v>573</v>
      </c>
      <c r="D5725" s="2" t="str">
        <f t="shared" si="88"/>
        <v>Error?</v>
      </c>
    </row>
    <row r="5726" spans="1:4" x14ac:dyDescent="0.2">
      <c r="A5726" s="5">
        <v>5665</v>
      </c>
      <c r="B5726" s="138">
        <f>'Revenues 9-14'!G14</f>
        <v>285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7945</v>
      </c>
      <c r="C5730" s="2" t="s">
        <v>573</v>
      </c>
      <c r="D5730" s="2" t="str">
        <f t="shared" si="88"/>
        <v>Error?</v>
      </c>
    </row>
    <row r="5731" spans="1:4" x14ac:dyDescent="0.2">
      <c r="A5731" s="5">
        <v>5670</v>
      </c>
      <c r="B5731" s="138">
        <f>'Revenues 9-14'!G65</f>
        <v>144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18000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18000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18000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138156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744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3744</v>
      </c>
      <c r="C5915" s="2" t="s">
        <v>573</v>
      </c>
      <c r="D5915" s="2" t="str">
        <f t="shared" si="91"/>
        <v>Error?</v>
      </c>
    </row>
    <row r="5916" spans="1:4" x14ac:dyDescent="0.2">
      <c r="A5916" s="5">
        <v>5855</v>
      </c>
      <c r="B5916" s="138">
        <f>'Revenues 9-14'!I5</f>
        <v>12944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12944</v>
      </c>
      <c r="C5918" s="2" t="s">
        <v>573</v>
      </c>
      <c r="D5918" s="2" t="str">
        <f t="shared" si="91"/>
        <v>Error?</v>
      </c>
    </row>
    <row r="5919" spans="1:4" x14ac:dyDescent="0.2">
      <c r="A5919" s="5">
        <v>5858</v>
      </c>
      <c r="B5919" s="138">
        <f>'Revenues 9-14'!I14</f>
        <v>33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33</v>
      </c>
      <c r="C5923" s="2" t="s">
        <v>573</v>
      </c>
      <c r="D5923" s="2" t="str">
        <f t="shared" si="91"/>
        <v>Error?</v>
      </c>
    </row>
    <row r="5924" spans="1:4" x14ac:dyDescent="0.2">
      <c r="A5924" s="5">
        <v>5863</v>
      </c>
      <c r="B5924" s="138">
        <f>'Revenues 9-14'!I65</f>
        <v>726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13703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10342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10342</v>
      </c>
      <c r="C5987" s="2" t="s">
        <v>573</v>
      </c>
      <c r="D5987" s="2" t="str">
        <f t="shared" si="92"/>
        <v>Error?</v>
      </c>
    </row>
    <row r="5988" spans="1:4" x14ac:dyDescent="0.2">
      <c r="A5988" s="5">
        <v>5927</v>
      </c>
      <c r="B5988" s="138">
        <f>'Revenues 9-14'!K14</f>
        <v>27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27</v>
      </c>
      <c r="C5992" s="2" t="s">
        <v>573</v>
      </c>
      <c r="D5992" s="2" t="str">
        <f t="shared" si="92"/>
        <v>Error?</v>
      </c>
    </row>
    <row r="5993" spans="1:4" x14ac:dyDescent="0.2">
      <c r="A5993" s="5">
        <v>5932</v>
      </c>
      <c r="B5993" s="138">
        <f>'Revenues 9-14'!K65</f>
        <v>126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10495</v>
      </c>
      <c r="C6023" s="2" t="s">
        <v>573</v>
      </c>
      <c r="D6023" s="2" t="str">
        <f t="shared" si="93"/>
        <v>Error?</v>
      </c>
    </row>
    <row r="6024" spans="1:5" x14ac:dyDescent="0.2">
      <c r="A6024" s="5">
        <v>5963</v>
      </c>
      <c r="B6024" s="138">
        <f>'Revenues 9-14'!G109</f>
        <v>120156</v>
      </c>
      <c r="C6024" s="2" t="s">
        <v>573</v>
      </c>
      <c r="D6024" s="2" t="str">
        <f t="shared" si="93"/>
        <v>Error?</v>
      </c>
    </row>
    <row r="6025" spans="1:5" x14ac:dyDescent="0.2">
      <c r="A6025" s="5">
        <v>5964</v>
      </c>
      <c r="B6025" s="138">
        <f>'Revenues 9-14'!H109</f>
        <v>3744</v>
      </c>
      <c r="C6025" s="2" t="s">
        <v>573</v>
      </c>
      <c r="D6025" s="2" t="str">
        <f t="shared" si="93"/>
        <v>Error?</v>
      </c>
    </row>
    <row r="6026" spans="1:5" x14ac:dyDescent="0.2">
      <c r="A6026" s="5">
        <v>5965</v>
      </c>
      <c r="B6026" s="138">
        <f>'Revenues 9-14'!I109</f>
        <v>13703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10495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50122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12360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383.2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23931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23931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23931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23931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23931</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178196</v>
      </c>
      <c r="D6267" s="2" t="str">
        <f t="shared" si="96"/>
        <v>Error?</v>
      </c>
      <c r="E6267" s="2" t="s">
        <v>190</v>
      </c>
    </row>
    <row r="6268" spans="1:5" x14ac:dyDescent="0.2">
      <c r="A6268">
        <v>6207</v>
      </c>
      <c r="B6268" s="138">
        <f>'Acct Summary 7-8'!D82</f>
        <v>33447</v>
      </c>
      <c r="D6268" s="2" t="str">
        <f t="shared" si="96"/>
        <v>Error?</v>
      </c>
      <c r="E6268" s="2" t="s">
        <v>190</v>
      </c>
    </row>
    <row r="6269" spans="1:5" x14ac:dyDescent="0.2">
      <c r="A6269">
        <v>6208</v>
      </c>
      <c r="B6269" s="138">
        <f>'Acct Summary 7-8'!E82</f>
        <v>11965</v>
      </c>
      <c r="D6269" s="2" t="str">
        <f t="shared" si="96"/>
        <v>Error?</v>
      </c>
      <c r="E6269" s="2" t="s">
        <v>190</v>
      </c>
    </row>
    <row r="6270" spans="1:5" x14ac:dyDescent="0.2">
      <c r="A6270">
        <v>6209</v>
      </c>
      <c r="B6270" s="138">
        <f>'Acct Summary 7-8'!F82</f>
        <v>-11001</v>
      </c>
      <c r="D6270" s="2" t="str">
        <f t="shared" si="96"/>
        <v>Error?</v>
      </c>
      <c r="E6270" s="2" t="s">
        <v>190</v>
      </c>
    </row>
    <row r="6271" spans="1:5" x14ac:dyDescent="0.2">
      <c r="A6271">
        <v>6210</v>
      </c>
      <c r="B6271" s="138">
        <f>'Acct Summary 7-8'!G82</f>
        <v>39959</v>
      </c>
      <c r="D6271" s="2" t="str">
        <f t="shared" ref="D6271:D6334" si="97">IF(ISBLANK(B6271),"OK",IF(A6271-B6271=0,"OK","Error?"))</f>
        <v>Error?</v>
      </c>
      <c r="E6271" s="2" t="s">
        <v>190</v>
      </c>
    </row>
    <row r="6272" spans="1:5" x14ac:dyDescent="0.2">
      <c r="A6272">
        <v>6211</v>
      </c>
      <c r="B6272" s="138">
        <f>'Acct Summary 7-8'!H82</f>
        <v>-810054</v>
      </c>
      <c r="D6272" s="2" t="str">
        <f t="shared" si="97"/>
        <v>Error?</v>
      </c>
      <c r="E6272" s="2" t="s">
        <v>190</v>
      </c>
    </row>
    <row r="6273" spans="1:5" x14ac:dyDescent="0.2">
      <c r="A6273">
        <v>6212</v>
      </c>
      <c r="B6273" s="138">
        <f>'Acct Summary 7-8'!I82</f>
        <v>13703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10495</v>
      </c>
      <c r="D6275" s="2" t="str">
        <f t="shared" si="97"/>
        <v>Error?</v>
      </c>
      <c r="E6275" s="2" t="s">
        <v>190</v>
      </c>
    </row>
    <row r="6276" spans="1:5" x14ac:dyDescent="0.2">
      <c r="A6276">
        <v>6215</v>
      </c>
      <c r="B6276" s="138">
        <f>'Acct Summary 7-8'!C83</f>
        <v>0.4520698770606173</v>
      </c>
      <c r="D6276" s="2" t="str">
        <f t="shared" si="97"/>
        <v>Error?</v>
      </c>
      <c r="E6276" s="2" t="s">
        <v>190</v>
      </c>
    </row>
    <row r="6277" spans="1:5" x14ac:dyDescent="0.2">
      <c r="A6277">
        <v>6216</v>
      </c>
      <c r="B6277" s="138">
        <f>'Acct Summary 7-8'!D83</f>
        <v>9.9980868910185511E-2</v>
      </c>
      <c r="D6277" s="2" t="str">
        <f t="shared" si="97"/>
        <v>Error?</v>
      </c>
      <c r="E6277" s="2" t="s">
        <v>190</v>
      </c>
    </row>
    <row r="6278" spans="1:5" x14ac:dyDescent="0.2">
      <c r="A6278">
        <v>6217</v>
      </c>
      <c r="B6278" s="138">
        <f>'Acct Summary 7-8'!E83</f>
        <v>0.11052913572035621</v>
      </c>
      <c r="D6278" s="2" t="str">
        <f t="shared" si="97"/>
        <v>Error?</v>
      </c>
      <c r="E6278" s="2" t="s">
        <v>190</v>
      </c>
    </row>
    <row r="6279" spans="1:5" x14ac:dyDescent="0.2">
      <c r="A6279">
        <v>6218</v>
      </c>
      <c r="B6279" s="138">
        <f>'Acct Summary 7-8'!F83</f>
        <v>-3.6081273881172209E-2</v>
      </c>
      <c r="D6279" s="2" t="str">
        <f t="shared" si="97"/>
        <v>Error?</v>
      </c>
      <c r="E6279" s="2" t="s">
        <v>190</v>
      </c>
    </row>
    <row r="6280" spans="1:5" x14ac:dyDescent="0.2">
      <c r="A6280">
        <v>6219</v>
      </c>
      <c r="B6280" s="138">
        <f>'Acct Summary 7-8'!G83</f>
        <v>0.39877649594826553</v>
      </c>
      <c r="D6280" s="2" t="str">
        <f t="shared" si="97"/>
        <v>Error?</v>
      </c>
      <c r="E6280" s="2" t="s">
        <v>190</v>
      </c>
    </row>
    <row r="6281" spans="1:5" x14ac:dyDescent="0.2">
      <c r="A6281">
        <v>6220</v>
      </c>
      <c r="B6281" s="138">
        <f>'Acct Summary 7-8'!H83</f>
        <v>-3.5128862291029725</v>
      </c>
      <c r="D6281" s="2" t="str">
        <f t="shared" si="97"/>
        <v>Error?</v>
      </c>
      <c r="E6281" s="2" t="s">
        <v>190</v>
      </c>
    </row>
    <row r="6282" spans="1:5" x14ac:dyDescent="0.2">
      <c r="A6282">
        <v>6221</v>
      </c>
      <c r="B6282" s="138">
        <f>'Acct Summary 7-8'!I83</f>
        <v>3.5662606704143243E-2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0.13604780793860671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23870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23870</v>
      </c>
      <c r="D6301" s="2" t="str">
        <f t="shared" si="97"/>
        <v>Error?</v>
      </c>
      <c r="E6301" s="2" t="s">
        <v>190</v>
      </c>
    </row>
    <row r="6302" spans="1:5" x14ac:dyDescent="0.2">
      <c r="A6302">
        <v>6241</v>
      </c>
      <c r="B6302" s="138">
        <f>'Revenues 9-14'!J14</f>
        <v>61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3000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6360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23931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17137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56432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32865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102551</v>
      </c>
      <c r="D6983" s="2" t="str">
        <f t="shared" si="108"/>
        <v>Error?</v>
      </c>
    </row>
    <row r="6984" spans="1:4" x14ac:dyDescent="0.2">
      <c r="A6984">
        <v>6923</v>
      </c>
      <c r="B6984" s="138">
        <f>'Expenditures 15-22'!K86</f>
        <v>102551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102551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23931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23931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783</v>
      </c>
      <c r="D7075" s="2" t="str">
        <f t="shared" si="109"/>
        <v>Error?</v>
      </c>
    </row>
    <row r="7076" spans="1:4" x14ac:dyDescent="0.2">
      <c r="A7076">
        <v>7015</v>
      </c>
      <c r="B7076" s="138">
        <f>'Expenditures 15-22'!K218</f>
        <v>783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433</v>
      </c>
      <c r="D7079" s="2" t="str">
        <f t="shared" si="109"/>
        <v>Error?</v>
      </c>
    </row>
    <row r="7080" spans="1:4" x14ac:dyDescent="0.2">
      <c r="A7080">
        <v>7019</v>
      </c>
      <c r="B7080" s="138">
        <f>'Expenditures 15-22'!K226</f>
        <v>433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18811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18811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23931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23931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23931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23931</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55033</v>
      </c>
      <c r="D7251" s="2" t="str">
        <f t="shared" si="112"/>
        <v>Error?</v>
      </c>
    </row>
    <row r="7252" spans="1:4" x14ac:dyDescent="0.2">
      <c r="A7252">
        <f t="shared" si="113"/>
        <v>7191</v>
      </c>
      <c r="B7252" s="138">
        <f>'Expenditures 15-22'!D9</f>
        <v>1238</v>
      </c>
      <c r="D7252" s="2" t="str">
        <f t="shared" si="112"/>
        <v>Error?</v>
      </c>
    </row>
    <row r="7253" spans="1:4" x14ac:dyDescent="0.2">
      <c r="A7253">
        <f t="shared" si="113"/>
        <v>7192</v>
      </c>
      <c r="B7253" s="138">
        <f>'Expenditures 15-22'!E9</f>
        <v>161</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29877</v>
      </c>
      <c r="D7263" s="2" t="str">
        <f t="shared" si="112"/>
        <v>Error?</v>
      </c>
    </row>
    <row r="7264" spans="1:4" x14ac:dyDescent="0.2">
      <c r="A7264">
        <f t="shared" si="113"/>
        <v>7203</v>
      </c>
      <c r="B7264" s="138">
        <f>'Expenditures 15-22'!D17</f>
        <v>672</v>
      </c>
      <c r="D7264" s="2" t="str">
        <f t="shared" si="112"/>
        <v>Error?</v>
      </c>
    </row>
    <row r="7265" spans="1:5" x14ac:dyDescent="0.2">
      <c r="A7265">
        <f t="shared" si="113"/>
        <v>7204</v>
      </c>
      <c r="B7265" s="138">
        <f>'Expenditures 15-22'!E17</f>
        <v>1262</v>
      </c>
      <c r="D7265" s="2" t="str">
        <f t="shared" si="112"/>
        <v>Error?</v>
      </c>
    </row>
    <row r="7266" spans="1:5" x14ac:dyDescent="0.2">
      <c r="A7266">
        <f t="shared" si="113"/>
        <v>7205</v>
      </c>
      <c r="B7266" s="138">
        <f>'Expenditures 15-22'!F17</f>
        <v>1054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227087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433836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6360</v>
      </c>
      <c r="D7712" s="2" t="str">
        <f t="shared" si="126"/>
        <v>Error?</v>
      </c>
      <c r="E7712" s="2" t="s">
        <v>827</v>
      </c>
    </row>
    <row r="7713" spans="1:6" x14ac:dyDescent="0.2">
      <c r="A7713">
        <v>7652</v>
      </c>
      <c r="B7713" s="138">
        <f>'Rest Tax Levies-Tort Im 25'!J8</f>
        <v>296011</v>
      </c>
      <c r="D7713" s="2" t="str">
        <f t="shared" si="126"/>
        <v>Error?</v>
      </c>
      <c r="E7713" s="2" t="s">
        <v>827</v>
      </c>
    </row>
    <row r="7714" spans="1:6" x14ac:dyDescent="0.2">
      <c r="A7714">
        <v>7653</v>
      </c>
      <c r="B7714" s="138">
        <f>'Rest Tax Levies-Tort Im 25'!K9</f>
        <v>6855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296016</v>
      </c>
      <c r="D7718" s="2" t="str">
        <f t="shared" si="126"/>
        <v>Error?</v>
      </c>
      <c r="E7718" s="2" t="s">
        <v>827</v>
      </c>
    </row>
    <row r="7719" spans="1:6" x14ac:dyDescent="0.2">
      <c r="A7719">
        <v>7658</v>
      </c>
      <c r="B7719" s="138">
        <f>'Rest Tax Levies-Tort Im 25'!K12</f>
        <v>13215</v>
      </c>
      <c r="D7719" s="2" t="str">
        <f t="shared" si="126"/>
        <v>Error?</v>
      </c>
      <c r="E7719" s="2" t="s">
        <v>827</v>
      </c>
    </row>
    <row r="7720" spans="1:6" x14ac:dyDescent="0.2">
      <c r="A7720">
        <v>7659</v>
      </c>
      <c r="B7720" s="138">
        <f>'Rest Tax Levies-Tort Im 25'!H14</f>
        <v>23874</v>
      </c>
      <c r="D7720" s="2" t="str">
        <f t="shared" si="126"/>
        <v>Error?</v>
      </c>
      <c r="E7720" s="2" t="s">
        <v>827</v>
      </c>
    </row>
    <row r="7721" spans="1:6" x14ac:dyDescent="0.2">
      <c r="A7721">
        <v>7660</v>
      </c>
      <c r="B7721" s="138">
        <f>'Rest Tax Levies-Tort Im 25'!K14</f>
        <v>13215</v>
      </c>
      <c r="D7721" s="2" t="str">
        <f t="shared" si="126"/>
        <v>Error?</v>
      </c>
      <c r="E7721" s="2" t="s">
        <v>827</v>
      </c>
    </row>
    <row r="7722" spans="1:6" x14ac:dyDescent="0.2">
      <c r="A7722">
        <v>7661</v>
      </c>
      <c r="B7722" s="138">
        <f>'Rest Tax Levies-Tort Im 25'!J15</f>
        <v>152335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98138</v>
      </c>
      <c r="D7724" s="2" t="str">
        <f t="shared" si="126"/>
        <v>Error?</v>
      </c>
      <c r="E7724" s="2" t="s">
        <v>827</v>
      </c>
      <c r="F7724" s="2"/>
    </row>
    <row r="7725" spans="1:6" x14ac:dyDescent="0.2">
      <c r="A7725">
        <v>7664</v>
      </c>
      <c r="B7725" s="138">
        <f>'Rest Tax Levies-Tort Im 25'!J19</f>
        <v>190000</v>
      </c>
      <c r="D7725" s="2" t="str">
        <f t="shared" si="126"/>
        <v>Error?</v>
      </c>
      <c r="E7725" s="2" t="s">
        <v>827</v>
      </c>
    </row>
    <row r="7726" spans="1:6" x14ac:dyDescent="0.2">
      <c r="A7726">
        <v>7665</v>
      </c>
      <c r="B7726" s="138">
        <f>'Rest Tax Levies-Tort Im 25'!J20</f>
        <v>350</v>
      </c>
      <c r="D7726" s="2" t="str">
        <f t="shared" si="126"/>
        <v>Error?</v>
      </c>
      <c r="E7726" s="2" t="s">
        <v>827</v>
      </c>
    </row>
    <row r="7727" spans="1:6" x14ac:dyDescent="0.2">
      <c r="A7727">
        <v>7666</v>
      </c>
      <c r="B7727" s="138">
        <f>'Rest Tax Levies-Tort Im 25'!J21</f>
        <v>288488</v>
      </c>
      <c r="D7727" s="2" t="str">
        <f t="shared" si="126"/>
        <v>Error?</v>
      </c>
      <c r="E7727" s="2" t="s">
        <v>827</v>
      </c>
    </row>
    <row r="7728" spans="1:6" x14ac:dyDescent="0.2">
      <c r="A7728">
        <v>7667</v>
      </c>
      <c r="B7728" s="138">
        <f>'Revenues 9-14'!E103</f>
        <v>296011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440823</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289029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289029</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289076</v>
      </c>
      <c r="D7797" s="2" t="str">
        <f t="shared" si="127"/>
        <v>Error?</v>
      </c>
      <c r="E7797" s="4" t="s">
        <v>1904</v>
      </c>
    </row>
    <row r="7798" spans="1:5" x14ac:dyDescent="0.2">
      <c r="A7798">
        <v>7737</v>
      </c>
      <c r="B7798" s="138">
        <f>'Contracts Paid in CY 29'!F141</f>
        <v>89069</v>
      </c>
      <c r="D7798" s="2" t="str">
        <f t="shared" si="127"/>
        <v>Error?</v>
      </c>
      <c r="E7798" s="4" t="s">
        <v>1904</v>
      </c>
    </row>
    <row r="7799" spans="1:5" x14ac:dyDescent="0.2">
      <c r="A7799">
        <v>7738</v>
      </c>
      <c r="B7799" s="138">
        <f>'Contracts Paid in CY 29'!G141</f>
        <v>200007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7" t="str">
        <f>COVER!A17</f>
        <v>STEELEVILLE CUSD 138</v>
      </c>
      <c r="B7" s="2418"/>
      <c r="C7" s="2418"/>
      <c r="D7" s="2419"/>
      <c r="E7" s="2420">
        <f>COVER!A13</f>
        <v>45079138026</v>
      </c>
      <c r="F7" s="2421"/>
      <c r="G7" s="2427" t="str">
        <f>COVER!T23</f>
        <v>065-014460</v>
      </c>
      <c r="H7" s="2428"/>
      <c r="I7" s="2428"/>
      <c r="J7" s="2428"/>
      <c r="K7" s="2428"/>
      <c r="L7" s="242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30"/>
      <c r="B9" s="2431"/>
      <c r="C9" s="2431"/>
      <c r="D9" s="2431"/>
      <c r="E9" s="2431"/>
      <c r="F9" s="2432"/>
      <c r="G9" s="2401" t="str">
        <f>COVER!T13</f>
        <v>SCHEFFEL BOYLE</v>
      </c>
      <c r="H9" s="2433"/>
      <c r="I9" s="2433"/>
      <c r="J9" s="2433"/>
      <c r="K9" s="2433"/>
      <c r="L9" s="2434"/>
    </row>
    <row r="10" spans="1:29" ht="13.5" customHeight="1" x14ac:dyDescent="0.2">
      <c r="A10" s="2407" t="str">
        <f>COVER!A38</f>
        <v>DR. STEPHANIE L. MULHOLLAND</v>
      </c>
      <c r="B10" s="2408"/>
      <c r="C10" s="2408"/>
      <c r="D10" s="2408"/>
      <c r="E10" s="2408"/>
      <c r="F10" s="2409"/>
      <c r="G10" s="2401" t="str">
        <f>COVER!T17</f>
        <v>7 HILL CASTLE LANE</v>
      </c>
      <c r="H10" s="2402"/>
      <c r="I10" s="2402"/>
      <c r="J10" s="2402"/>
      <c r="K10" s="2402"/>
      <c r="L10" s="2403"/>
    </row>
    <row r="11" spans="1:29" ht="13.5" customHeight="1" x14ac:dyDescent="0.2">
      <c r="A11" s="1183" t="s">
        <v>1519</v>
      </c>
      <c r="B11" s="1184"/>
      <c r="C11" s="1185"/>
      <c r="D11" s="1190"/>
      <c r="E11" s="1185"/>
      <c r="F11" s="1189"/>
      <c r="G11" s="2401" t="str">
        <f>COVER!T19</f>
        <v>COLUMBIA</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keith.brinkmann@scheffelboyle.com</v>
      </c>
      <c r="J13" s="2414"/>
      <c r="K13" s="2414"/>
      <c r="L13" s="2415"/>
    </row>
    <row r="14" spans="1:29" ht="13.5" customHeight="1" x14ac:dyDescent="0.2">
      <c r="A14" s="2401" t="str">
        <f>COVER!A19</f>
        <v>701 SOUTH SPARTA STREET</v>
      </c>
      <c r="B14" s="2402"/>
      <c r="C14" s="2402"/>
      <c r="D14" s="2402"/>
      <c r="E14" s="2402"/>
      <c r="F14" s="2403"/>
      <c r="G14" s="1194" t="s">
        <v>1185</v>
      </c>
      <c r="H14" s="1192"/>
      <c r="I14" s="1192"/>
      <c r="J14" s="1192"/>
      <c r="K14" s="1192"/>
      <c r="L14" s="1193"/>
    </row>
    <row r="15" spans="1:29" ht="13.5" customHeight="1" x14ac:dyDescent="0.2">
      <c r="A15" s="2401" t="str">
        <f>COVER!A21</f>
        <v>STEELEVILLE</v>
      </c>
      <c r="B15" s="2402"/>
      <c r="C15" s="2402"/>
      <c r="D15" s="2402"/>
      <c r="E15" s="2402"/>
      <c r="F15" s="2403"/>
      <c r="G15" s="2398" t="str">
        <f>COVER!T15</f>
        <v>KEITH G. BRINKMANN, CPA</v>
      </c>
      <c r="H15" s="2399"/>
      <c r="I15" s="2399"/>
      <c r="J15" s="2399"/>
      <c r="K15" s="2399"/>
      <c r="L15" s="2400"/>
    </row>
    <row r="16" spans="1:29" ht="12.2" customHeight="1" x14ac:dyDescent="0.2">
      <c r="A16" s="2423">
        <f>COVER!A25</f>
        <v>62288</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1184</v>
      </c>
      <c r="H17" s="1192"/>
      <c r="I17" s="1192"/>
      <c r="J17" s="1192"/>
      <c r="K17" s="1196" t="s">
        <v>1183</v>
      </c>
      <c r="L17" s="1189"/>
      <c r="M17" s="1182"/>
    </row>
    <row r="18" spans="1:13" ht="12.2" customHeight="1" x14ac:dyDescent="0.2">
      <c r="A18" s="2407"/>
      <c r="B18" s="2408"/>
      <c r="C18" s="2408"/>
      <c r="D18" s="2408"/>
      <c r="E18" s="2408"/>
      <c r="F18" s="2409"/>
      <c r="G18" s="2417" t="str">
        <f>COVER!T21</f>
        <v>618-281-7605</v>
      </c>
      <c r="H18" s="2418"/>
      <c r="I18" s="2418"/>
      <c r="J18" s="2418"/>
      <c r="K18" s="2417" t="str">
        <f>COVER!X21</f>
        <v>618-281-6630</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9" t="str">
        <f>'Single Audit Cover'!A7</f>
        <v>STEELEVILLE CUSD 138</v>
      </c>
      <c r="B1" s="2416"/>
      <c r="C1" s="2416"/>
      <c r="D1" s="2416"/>
    </row>
    <row r="2" spans="1:11" s="1211" customFormat="1" ht="12.75" x14ac:dyDescent="0.2">
      <c r="A2" s="2440">
        <f>'Single Audit Cover'!E7</f>
        <v>45079138026</v>
      </c>
      <c r="B2" s="2441"/>
      <c r="C2" s="2441"/>
      <c r="D2" s="2441"/>
    </row>
    <row r="3" spans="1:11" s="1211" customFormat="1" ht="12.75" x14ac:dyDescent="0.2">
      <c r="A3" s="2439" t="s">
        <v>1513</v>
      </c>
      <c r="B3" s="2416"/>
      <c r="C3" s="2416"/>
      <c r="D3" s="2416"/>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3" t="str">
        <f>'Single Audit Cover'!A7</f>
        <v>STEELEVILLE CUSD 138</v>
      </c>
      <c r="B1" s="2443"/>
      <c r="C1" s="2443"/>
      <c r="D1" s="2443"/>
      <c r="E1" s="2443"/>
    </row>
    <row r="2" spans="1:5" x14ac:dyDescent="0.2">
      <c r="A2" s="2444">
        <f>'Single Audit Cover'!E7</f>
        <v>45079138026</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6" t="s">
        <v>1243</v>
      </c>
    </row>
    <row r="10" spans="1:5" x14ac:dyDescent="0.2">
      <c r="A10" s="1257" t="s">
        <v>1242</v>
      </c>
      <c r="B10" s="1258" t="s">
        <v>1241</v>
      </c>
      <c r="C10" s="1258"/>
      <c r="D10" s="1259">
        <f>SUM('Acct Summary 7-8'!C7:K7)</f>
        <v>282762</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12360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-26131</v>
      </c>
    </row>
    <row r="19" spans="1:4" ht="13.5" thickBot="1" x14ac:dyDescent="0.25">
      <c r="A19" s="1261" t="s">
        <v>1235</v>
      </c>
      <c r="D19" s="1262">
        <f>SUM(D10:D17)</f>
        <v>268991</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5"/>
      <c r="B24" s="2445"/>
      <c r="D24" s="1264"/>
    </row>
    <row r="25" spans="1:4" x14ac:dyDescent="0.2">
      <c r="A25" s="2442"/>
      <c r="B25" s="2442"/>
      <c r="D25" s="1264"/>
    </row>
    <row r="26" spans="1:4" x14ac:dyDescent="0.2">
      <c r="A26" s="2442"/>
      <c r="B26" s="2442"/>
      <c r="D26" s="1264"/>
    </row>
    <row r="27" spans="1:4" x14ac:dyDescent="0.2">
      <c r="A27" s="2442"/>
      <c r="B27" s="2442"/>
      <c r="D27" s="1264"/>
    </row>
    <row r="28" spans="1:4" x14ac:dyDescent="0.2">
      <c r="A28" s="2442"/>
      <c r="B28" s="2442"/>
      <c r="D28" s="1264"/>
    </row>
    <row r="29" spans="1:4" x14ac:dyDescent="0.2">
      <c r="A29" s="2442"/>
      <c r="B29" s="2442"/>
      <c r="D29" s="1264"/>
    </row>
    <row r="30" spans="1:4" x14ac:dyDescent="0.2">
      <c r="A30" s="2442"/>
      <c r="B30" s="2442"/>
      <c r="D30" s="1264"/>
    </row>
    <row r="32" spans="1:4" x14ac:dyDescent="0.2">
      <c r="A32" s="1256" t="s">
        <v>1233</v>
      </c>
      <c r="D32" s="1259">
        <f>SUM(D19:D30)</f>
        <v>268991</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42"/>
      <c r="B40" s="2442"/>
      <c r="D40" s="1264"/>
    </row>
    <row r="41" spans="1:4" x14ac:dyDescent="0.2">
      <c r="A41" s="2442"/>
      <c r="B41" s="2442"/>
      <c r="D41" s="1267"/>
    </row>
    <row r="42" spans="1:4" x14ac:dyDescent="0.2">
      <c r="A42" s="2442"/>
      <c r="B42" s="2442"/>
      <c r="D42" s="1267"/>
    </row>
    <row r="43" spans="1:4" x14ac:dyDescent="0.2">
      <c r="A43" s="2442"/>
      <c r="B43" s="2442"/>
      <c r="D43" s="1267"/>
    </row>
    <row r="44" spans="1:4" x14ac:dyDescent="0.2">
      <c r="A44" s="2442"/>
      <c r="B44" s="2442"/>
      <c r="D44" s="1267"/>
    </row>
    <row r="45" spans="1:4" x14ac:dyDescent="0.2">
      <c r="A45" s="2442"/>
      <c r="B45" s="2442"/>
      <c r="D45" s="1267"/>
    </row>
    <row r="47" spans="1:4" x14ac:dyDescent="0.2">
      <c r="B47" s="1268" t="s">
        <v>1227</v>
      </c>
      <c r="C47" s="1268"/>
      <c r="D47" s="1269">
        <f>SUM(D35:D45)</f>
        <v>0</v>
      </c>
    </row>
    <row r="49" spans="2:4" x14ac:dyDescent="0.2">
      <c r="B49" s="1268" t="s">
        <v>1226</v>
      </c>
      <c r="C49" s="1268"/>
      <c r="D49" s="1269">
        <f>D32-D47</f>
        <v>268991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6" t="str">
        <f>'Single Audit Cover'!A7</f>
        <v>STEELEVILLE CUSD 138</v>
      </c>
      <c r="C1" s="2447"/>
      <c r="D1" s="2447"/>
      <c r="E1" s="2447"/>
      <c r="F1" s="2447"/>
      <c r="G1" s="2447"/>
      <c r="H1" s="2447"/>
      <c r="I1" s="2447"/>
      <c r="J1" s="2447"/>
      <c r="K1" s="2447"/>
      <c r="L1" s="2447"/>
      <c r="M1" s="2447"/>
    </row>
    <row r="2" spans="2:14" ht="15" x14ac:dyDescent="0.2">
      <c r="B2" s="2448">
        <f>'Single Audit Cover'!E7</f>
        <v>45079138026</v>
      </c>
      <c r="C2" s="2448"/>
      <c r="D2" s="2448"/>
      <c r="E2" s="2448"/>
      <c r="F2" s="2448"/>
      <c r="G2" s="2448"/>
      <c r="H2" s="2448"/>
      <c r="I2" s="2448"/>
      <c r="J2" s="2448"/>
      <c r="K2" s="2448"/>
      <c r="L2" s="2448"/>
      <c r="M2" s="2448"/>
      <c r="N2" s="1298"/>
    </row>
    <row r="3" spans="2:14" ht="15" x14ac:dyDescent="0.2">
      <c r="B3" s="2449" t="s">
        <v>1219</v>
      </c>
      <c r="C3" s="2449"/>
      <c r="D3" s="2449"/>
      <c r="E3" s="2449"/>
      <c r="F3" s="2449"/>
      <c r="G3" s="2449"/>
      <c r="H3" s="2449"/>
      <c r="I3" s="2449"/>
      <c r="J3" s="2449"/>
      <c r="K3" s="2449"/>
      <c r="L3" s="2449"/>
      <c r="M3" s="2449"/>
      <c r="N3" s="1298"/>
    </row>
    <row r="4" spans="2:14" ht="15" x14ac:dyDescent="0.2">
      <c r="B4" s="2450" t="str">
        <f>'Single Audit Cover'!A4</f>
        <v>Year Ending June 30, 2019</v>
      </c>
      <c r="C4" s="2450"/>
      <c r="D4" s="2450"/>
      <c r="E4" s="2450"/>
      <c r="F4" s="2450"/>
      <c r="G4" s="2450"/>
      <c r="H4" s="2450"/>
      <c r="I4" s="2450"/>
      <c r="J4" s="2450"/>
      <c r="K4" s="2450"/>
      <c r="L4" s="2450"/>
      <c r="M4" s="2450"/>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STEELEVILLE CUSD 138</v>
      </c>
      <c r="B1" s="2460"/>
      <c r="C1" s="2460"/>
      <c r="D1" s="2460"/>
      <c r="E1" s="2460"/>
      <c r="F1" s="2460"/>
    </row>
    <row r="2" spans="1:7" ht="13.5" customHeight="1" x14ac:dyDescent="0.2">
      <c r="A2" s="2448">
        <f>'Single Audit Cover'!E7</f>
        <v>45079138026</v>
      </c>
      <c r="B2" s="2448"/>
      <c r="C2" s="2448"/>
      <c r="D2" s="2448"/>
      <c r="E2" s="2448"/>
      <c r="F2" s="2448"/>
      <c r="G2" s="1271"/>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2" t="s">
        <v>1728</v>
      </c>
      <c r="C6" s="317"/>
      <c r="D6" s="317"/>
    </row>
    <row r="7" spans="1:7" ht="60.95" customHeight="1" x14ac:dyDescent="0.2">
      <c r="A7" s="2459" t="s">
        <v>1729</v>
      </c>
      <c r="B7" s="2459"/>
      <c r="C7" s="2459"/>
      <c r="D7" s="2459"/>
      <c r="E7" s="2459"/>
      <c r="F7" s="2459"/>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9" t="s">
        <v>1731</v>
      </c>
      <c r="B13" s="2459"/>
      <c r="C13" s="2459"/>
      <c r="D13" s="2459"/>
      <c r="E13" s="2459"/>
      <c r="F13" s="2459"/>
    </row>
    <row r="14" spans="1:7" ht="9.75" customHeight="1" x14ac:dyDescent="0.2">
      <c r="C14" s="1256"/>
      <c r="D14" s="1256"/>
    </row>
    <row r="15" spans="1:7" ht="13.5" customHeight="1" x14ac:dyDescent="0.2">
      <c r="C15" s="1845" t="s">
        <v>1270</v>
      </c>
      <c r="D15" s="2457" t="s">
        <v>1269</v>
      </c>
      <c r="E15" s="2457"/>
      <c r="F15" s="2457"/>
    </row>
    <row r="16" spans="1:7" ht="13.5" customHeight="1" x14ac:dyDescent="0.2">
      <c r="A16" s="1278"/>
      <c r="B16" s="1272" t="s">
        <v>1268</v>
      </c>
      <c r="C16" s="1845" t="s">
        <v>1267</v>
      </c>
      <c r="D16" s="2458" t="s">
        <v>1588</v>
      </c>
      <c r="E16" s="2458"/>
      <c r="F16" s="2458"/>
    </row>
    <row r="17" spans="1:6" ht="20.45" customHeight="1" x14ac:dyDescent="0.2">
      <c r="A17" s="1279"/>
      <c r="B17" s="1280"/>
      <c r="C17" s="1281"/>
      <c r="D17" s="2452"/>
      <c r="E17" s="2452"/>
      <c r="F17" s="2452"/>
    </row>
    <row r="18" spans="1:6" ht="20.65" customHeight="1" x14ac:dyDescent="0.2">
      <c r="A18" s="1279"/>
      <c r="B18" s="1280"/>
      <c r="C18" s="1281"/>
      <c r="D18" s="2452"/>
      <c r="E18" s="2452"/>
      <c r="F18" s="2452"/>
    </row>
    <row r="19" spans="1:6" ht="20.65" customHeight="1" x14ac:dyDescent="0.2">
      <c r="A19" s="1279"/>
      <c r="B19" s="1280"/>
      <c r="C19" s="1281"/>
      <c r="D19" s="2452"/>
      <c r="E19" s="2452"/>
      <c r="F19" s="2452"/>
    </row>
    <row r="20" spans="1:6" ht="20.65" customHeight="1" x14ac:dyDescent="0.2">
      <c r="A20" s="1279"/>
      <c r="B20" s="1280"/>
      <c r="C20" s="1281"/>
      <c r="D20" s="2452"/>
      <c r="E20" s="2452"/>
      <c r="F20" s="2452"/>
    </row>
    <row r="21" spans="1:6" ht="20.65" customHeight="1" x14ac:dyDescent="0.2">
      <c r="A21" s="1279"/>
      <c r="B21" s="1280"/>
      <c r="C21" s="1281"/>
      <c r="D21" s="2452"/>
      <c r="E21" s="2452"/>
      <c r="F21" s="2452"/>
    </row>
    <row r="22" spans="1:6" ht="20.65" customHeight="1" x14ac:dyDescent="0.2">
      <c r="A22" s="1279"/>
      <c r="B22" s="1280"/>
      <c r="C22" s="1281"/>
      <c r="D22" s="2452"/>
      <c r="E22" s="2452"/>
      <c r="F22" s="2452"/>
    </row>
    <row r="23" spans="1:6" ht="20.65" customHeight="1" x14ac:dyDescent="0.2">
      <c r="A23" s="1279"/>
      <c r="B23" s="1280"/>
      <c r="C23" s="1281"/>
      <c r="D23" s="2452"/>
      <c r="E23" s="2452"/>
      <c r="F23" s="2452"/>
    </row>
    <row r="24" spans="1:6" ht="20.65" customHeight="1" x14ac:dyDescent="0.2">
      <c r="A24" s="1279"/>
      <c r="B24" s="1280"/>
      <c r="C24" s="1281"/>
      <c r="D24" s="2452"/>
      <c r="E24" s="2452"/>
      <c r="F24" s="2452"/>
    </row>
    <row r="25" spans="1:6" ht="20.65" customHeight="1" x14ac:dyDescent="0.2">
      <c r="A25" s="1279"/>
      <c r="B25" s="1280"/>
      <c r="C25" s="1281"/>
      <c r="D25" s="2452"/>
      <c r="E25" s="2452"/>
      <c r="F25" s="2452"/>
    </row>
    <row r="26" spans="1:6" ht="20.65" customHeight="1" x14ac:dyDescent="0.2">
      <c r="A26" s="1279"/>
      <c r="B26" s="1280"/>
      <c r="C26" s="1281"/>
      <c r="D26" s="2452"/>
      <c r="E26" s="2452"/>
      <c r="F26" s="2452"/>
    </row>
    <row r="27" spans="1:6" ht="20.65" customHeight="1" x14ac:dyDescent="0.2">
      <c r="A27" s="1279"/>
      <c r="B27" s="1280"/>
      <c r="C27" s="1281"/>
      <c r="D27" s="2452"/>
      <c r="E27" s="2452"/>
      <c r="F27" s="2452"/>
    </row>
    <row r="28" spans="1:6" ht="20.65" customHeight="1" x14ac:dyDescent="0.2">
      <c r="A28" s="1279"/>
      <c r="B28" s="1280"/>
      <c r="C28" s="1281"/>
      <c r="D28" s="2452"/>
      <c r="E28" s="2452"/>
      <c r="F28" s="2452"/>
    </row>
    <row r="29" spans="1:6" ht="20.65" customHeight="1" x14ac:dyDescent="0.2">
      <c r="A29" s="1279"/>
      <c r="B29" s="1280"/>
      <c r="C29" s="1281"/>
      <c r="D29" s="2452"/>
      <c r="E29" s="2452"/>
      <c r="F29" s="245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3" t="s">
        <v>1732</v>
      </c>
      <c r="B32" s="2453"/>
      <c r="C32" s="2453"/>
      <c r="D32" s="2453"/>
      <c r="E32" s="2453"/>
      <c r="F32" s="2453"/>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54">
        <f>+C33+C34</f>
        <v>0</v>
      </c>
      <c r="F34" s="2455"/>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6" t="s">
        <v>1590</v>
      </c>
      <c r="C49" s="2456"/>
      <c r="D49" s="2456"/>
      <c r="E49" s="1395"/>
    </row>
    <row r="50" spans="1:5" s="1296" customFormat="1" ht="3.75" customHeight="1" x14ac:dyDescent="0.2">
      <c r="A50" s="1295"/>
      <c r="B50" s="1844"/>
      <c r="C50" s="1844"/>
      <c r="D50" s="1844"/>
      <c r="E50" s="1395"/>
    </row>
    <row r="51" spans="1:5" s="1296" customFormat="1" ht="20.25" customHeight="1" x14ac:dyDescent="0.2">
      <c r="A51" s="1297">
        <v>6</v>
      </c>
      <c r="B51" s="2451" t="s">
        <v>1551</v>
      </c>
      <c r="C51" s="2451"/>
      <c r="D51" s="2451"/>
    </row>
    <row r="52" spans="1:5" ht="14.25" customHeight="1" x14ac:dyDescent="0.2">
      <c r="A52" s="1297"/>
      <c r="B52" s="2451"/>
      <c r="C52" s="2451"/>
      <c r="D52" s="245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51" sqref="D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35065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2072</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STEELEVILLE CUSD 138</v>
      </c>
      <c r="C1" s="2475"/>
      <c r="D1" s="2475"/>
      <c r="E1" s="2475"/>
      <c r="F1" s="2475"/>
      <c r="G1" s="2475"/>
      <c r="H1" s="2475"/>
      <c r="I1" s="2475"/>
      <c r="J1" s="1405"/>
    </row>
    <row r="2" spans="2:10" s="317" customFormat="1" ht="12.75" customHeight="1" x14ac:dyDescent="0.2">
      <c r="B2" s="2476">
        <f>'Single Audit Cover'!E7</f>
        <v>45079138026</v>
      </c>
      <c r="C2" s="2477"/>
      <c r="D2" s="2477"/>
      <c r="E2" s="2477"/>
      <c r="F2" s="2477"/>
      <c r="G2" s="2477"/>
      <c r="H2" s="2477"/>
      <c r="I2" s="2477"/>
      <c r="J2" s="1405"/>
    </row>
    <row r="3" spans="2:10" s="317" customFormat="1" ht="12.75" customHeight="1" x14ac:dyDescent="0.2">
      <c r="B3" s="2478" t="s">
        <v>1285</v>
      </c>
      <c r="C3" s="2479"/>
      <c r="D3" s="2479"/>
      <c r="E3" s="2479"/>
      <c r="F3" s="2479"/>
      <c r="G3" s="2479"/>
      <c r="H3" s="2479"/>
      <c r="I3" s="2479"/>
      <c r="J3" s="1406"/>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8" t="s">
        <v>1284</v>
      </c>
      <c r="C7" s="2479"/>
      <c r="D7" s="2479"/>
      <c r="E7" s="2479"/>
      <c r="F7" s="2479"/>
      <c r="G7" s="2479"/>
      <c r="H7" s="2479"/>
      <c r="I7" s="247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0"/>
      <c r="D11" s="248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1"/>
      <c r="E29" s="2481"/>
      <c r="F29" s="2481"/>
      <c r="G29" s="2481"/>
      <c r="H29" s="2481"/>
      <c r="I29" s="248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82" t="s">
        <v>1751</v>
      </c>
      <c r="D37" s="2483"/>
      <c r="E37" s="2483"/>
      <c r="F37" s="2484"/>
      <c r="G37" s="2482" t="s">
        <v>1592</v>
      </c>
      <c r="H37" s="2483"/>
      <c r="I37" s="2484"/>
    </row>
    <row r="38" spans="2:9" ht="16.5" customHeight="1" x14ac:dyDescent="0.2">
      <c r="B38" s="1427"/>
      <c r="C38" s="2470"/>
      <c r="D38" s="2471"/>
      <c r="E38" s="2471"/>
      <c r="F38" s="2472"/>
      <c r="G38" s="2485"/>
      <c r="H38" s="2486"/>
      <c r="I38" s="2487"/>
    </row>
    <row r="39" spans="2:9" ht="16.5" customHeight="1" x14ac:dyDescent="0.2">
      <c r="B39" s="1427"/>
      <c r="C39" s="2470"/>
      <c r="D39" s="2471"/>
      <c r="E39" s="2471"/>
      <c r="F39" s="2472"/>
      <c r="G39" s="2473"/>
      <c r="H39" s="2473"/>
      <c r="I39" s="2473"/>
    </row>
    <row r="40" spans="2:9" ht="16.5" customHeight="1" x14ac:dyDescent="0.2">
      <c r="B40" s="1427"/>
      <c r="C40" s="2470"/>
      <c r="D40" s="2471"/>
      <c r="E40" s="2471"/>
      <c r="F40" s="2472"/>
      <c r="G40" s="2473"/>
      <c r="H40" s="2473"/>
      <c r="I40" s="2473"/>
    </row>
    <row r="41" spans="2:9" ht="16.5" customHeight="1" x14ac:dyDescent="0.2">
      <c r="B41" s="1427"/>
      <c r="C41" s="2470"/>
      <c r="D41" s="2471"/>
      <c r="E41" s="2471"/>
      <c r="F41" s="2472"/>
      <c r="G41" s="2473"/>
      <c r="H41" s="2473"/>
      <c r="I41" s="2473"/>
    </row>
    <row r="42" spans="2:9" ht="16.5" customHeight="1" x14ac:dyDescent="0.2">
      <c r="B42" s="1427"/>
      <c r="C42" s="2470"/>
      <c r="D42" s="2471"/>
      <c r="E42" s="2471"/>
      <c r="F42" s="2472"/>
      <c r="G42" s="2473"/>
      <c r="H42" s="2473"/>
      <c r="I42" s="2473"/>
    </row>
    <row r="43" spans="2:9" ht="16.5" customHeight="1" x14ac:dyDescent="0.2">
      <c r="B43" s="1427"/>
      <c r="C43" s="2463" t="s">
        <v>1593</v>
      </c>
      <c r="D43" s="2464"/>
      <c r="E43" s="2464"/>
      <c r="F43" s="2465"/>
      <c r="G43" s="2466">
        <f>SUM(G38:I42)</f>
        <v>0</v>
      </c>
      <c r="H43" s="2466"/>
      <c r="I43" s="2466"/>
    </row>
    <row r="44" spans="2:9" ht="12.75" customHeight="1" x14ac:dyDescent="0.2"/>
    <row r="45" spans="2:9" ht="12.75" customHeight="1" x14ac:dyDescent="0.2">
      <c r="B45" s="1418" t="s">
        <v>1841</v>
      </c>
      <c r="D45" s="2467">
        <v>0</v>
      </c>
      <c r="E45" s="2468"/>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9"/>
      <c r="F49" s="2469"/>
      <c r="G49" s="2469"/>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STEELEVILLE CUSD 138</v>
      </c>
      <c r="C1" s="2474"/>
      <c r="D1" s="2474"/>
      <c r="E1" s="2474"/>
      <c r="F1" s="2474"/>
      <c r="G1" s="2474"/>
      <c r="H1" s="2474"/>
      <c r="I1" s="2474"/>
      <c r="J1" s="2474"/>
      <c r="K1" s="2474"/>
      <c r="L1" s="1370"/>
      <c r="M1" s="1370"/>
    </row>
    <row r="2" spans="1:13" ht="12" customHeight="1" x14ac:dyDescent="0.2">
      <c r="B2" s="2476">
        <f>'Single Audit Cover'!E7</f>
        <v>45079138026</v>
      </c>
      <c r="C2" s="2476"/>
      <c r="D2" s="2476"/>
      <c r="E2" s="2476"/>
      <c r="F2" s="2476"/>
      <c r="G2" s="2476"/>
      <c r="H2" s="2476"/>
      <c r="I2" s="2476"/>
      <c r="J2" s="2476"/>
      <c r="K2" s="2476"/>
      <c r="L2" s="1371"/>
      <c r="M2" s="1372"/>
    </row>
    <row r="3" spans="1:13" ht="10.35" customHeight="1" x14ac:dyDescent="0.2">
      <c r="B3" s="2490" t="s">
        <v>1285</v>
      </c>
      <c r="C3" s="2490"/>
      <c r="D3" s="2490"/>
      <c r="E3" s="2490"/>
      <c r="F3" s="2490"/>
      <c r="G3" s="2490"/>
      <c r="H3" s="2490"/>
      <c r="I3" s="2490"/>
      <c r="J3" s="2490"/>
      <c r="K3" s="2490"/>
      <c r="L3" s="1373"/>
      <c r="M3" s="1373"/>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1" t="s">
        <v>1296</v>
      </c>
      <c r="C7" s="2491"/>
      <c r="D7" s="2492"/>
      <c r="E7" s="2492"/>
      <c r="F7" s="2492"/>
      <c r="G7" s="2492"/>
      <c r="H7" s="2492"/>
      <c r="I7" s="2492"/>
      <c r="J7" s="2492"/>
      <c r="K7" s="249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9"/>
      <c r="C14" s="2489"/>
      <c r="D14" s="2489"/>
      <c r="E14" s="2489"/>
      <c r="F14" s="2489"/>
      <c r="G14" s="2489"/>
      <c r="H14" s="2489"/>
      <c r="I14" s="2489"/>
      <c r="J14" s="2489"/>
      <c r="K14" s="248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9"/>
      <c r="C17" s="2489"/>
      <c r="D17" s="2489"/>
      <c r="E17" s="2489"/>
      <c r="F17" s="2489"/>
      <c r="G17" s="2489"/>
      <c r="H17" s="2489"/>
      <c r="I17" s="2489"/>
      <c r="J17" s="2489"/>
      <c r="K17" s="2489"/>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3"/>
      <c r="C20" s="2493"/>
      <c r="D20" s="2489"/>
      <c r="E20" s="2489"/>
      <c r="F20" s="2489"/>
      <c r="G20" s="2489"/>
      <c r="H20" s="2489"/>
      <c r="I20" s="2489"/>
      <c r="J20" s="2489"/>
      <c r="K20" s="2489"/>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9"/>
      <c r="C23" s="2489"/>
      <c r="D23" s="2489"/>
      <c r="E23" s="2489"/>
      <c r="F23" s="2489"/>
      <c r="G23" s="2489"/>
      <c r="H23" s="2489"/>
      <c r="I23" s="2489"/>
      <c r="J23" s="2489"/>
      <c r="K23" s="2489"/>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9"/>
      <c r="C26" s="2489"/>
      <c r="D26" s="2489"/>
      <c r="E26" s="2489"/>
      <c r="F26" s="2489"/>
      <c r="G26" s="2489"/>
      <c r="H26" s="2489"/>
      <c r="I26" s="2489"/>
      <c r="J26" s="2489"/>
      <c r="K26" s="2489"/>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8"/>
      <c r="C29" s="2488"/>
      <c r="D29" s="2489"/>
      <c r="E29" s="2489"/>
      <c r="F29" s="2489"/>
      <c r="G29" s="2489"/>
      <c r="H29" s="2489"/>
      <c r="I29" s="2489"/>
      <c r="J29" s="2489"/>
      <c r="K29" s="248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8"/>
      <c r="C32" s="2488"/>
      <c r="D32" s="2489"/>
      <c r="E32" s="2489"/>
      <c r="F32" s="2489"/>
      <c r="G32" s="2489"/>
      <c r="H32" s="2489"/>
      <c r="I32" s="2489"/>
      <c r="J32" s="2489"/>
      <c r="K32" s="248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STEELEVILLE CUSD 138</v>
      </c>
      <c r="C1" s="2497"/>
      <c r="D1" s="2497"/>
      <c r="E1" s="2497"/>
      <c r="F1" s="2497"/>
      <c r="G1" s="2497"/>
      <c r="H1" s="2497"/>
      <c r="I1" s="2497"/>
      <c r="J1" s="2497"/>
      <c r="K1" s="2497"/>
      <c r="L1" s="1448"/>
    </row>
    <row r="2" spans="1:12" ht="12.75" customHeight="1" x14ac:dyDescent="0.2">
      <c r="B2" s="2498">
        <f>'Single Audit Cover'!E7</f>
        <v>45079138026</v>
      </c>
      <c r="C2" s="2498"/>
      <c r="D2" s="2498"/>
      <c r="E2" s="2498"/>
      <c r="F2" s="2498"/>
      <c r="G2" s="2498"/>
      <c r="H2" s="2498"/>
      <c r="I2" s="2498"/>
      <c r="J2" s="2498"/>
      <c r="K2" s="2498"/>
      <c r="L2" s="1449"/>
    </row>
    <row r="3" spans="1:12" ht="12.75" customHeight="1" x14ac:dyDescent="0.2">
      <c r="B3" s="2490" t="s">
        <v>1285</v>
      </c>
      <c r="C3" s="2490"/>
      <c r="D3" s="2490"/>
      <c r="E3" s="2490"/>
      <c r="F3" s="2490"/>
      <c r="G3" s="2490"/>
      <c r="H3" s="2490"/>
      <c r="I3" s="2490"/>
      <c r="J3" s="2490"/>
      <c r="K3" s="2490"/>
      <c r="L3" s="1373"/>
    </row>
    <row r="4" spans="1:12" ht="12.75" customHeight="1" x14ac:dyDescent="0.2">
      <c r="B4" s="2490" t="str">
        <f>'Single Audit Cover'!A4</f>
        <v>Year Ending June 30, 2019</v>
      </c>
      <c r="C4" s="2490"/>
      <c r="D4" s="2490"/>
      <c r="E4" s="2490"/>
      <c r="F4" s="2490"/>
      <c r="G4" s="2490"/>
      <c r="H4" s="2490"/>
      <c r="I4" s="2490"/>
      <c r="J4" s="2490"/>
      <c r="K4" s="2490"/>
      <c r="L4" s="1373"/>
    </row>
    <row r="5" spans="1:12" ht="5.25" customHeight="1" x14ac:dyDescent="0.2">
      <c r="B5" s="1256" t="s">
        <v>1169</v>
      </c>
      <c r="C5" s="1256"/>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1"/>
      <c r="G12" s="2481"/>
      <c r="H12" s="2481"/>
      <c r="I12" s="2481"/>
      <c r="J12" s="2481"/>
      <c r="K12" s="248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4"/>
      <c r="E14" s="2494"/>
      <c r="F14" s="2494"/>
      <c r="H14" s="1458" t="s">
        <v>1303</v>
      </c>
      <c r="I14" s="2495"/>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c r="E16" s="2495"/>
      <c r="F16" s="2495"/>
      <c r="G16" s="2495"/>
      <c r="H16" s="2495"/>
      <c r="I16" s="2495"/>
      <c r="J16" s="2495"/>
      <c r="K16" s="2495"/>
      <c r="L16" s="322"/>
    </row>
    <row r="17" spans="2:12" ht="13.5" customHeight="1" x14ac:dyDescent="0.2">
      <c r="B17" s="1383" t="s">
        <v>1301</v>
      </c>
      <c r="C17" s="1383"/>
      <c r="D17" s="2496"/>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9"/>
      <c r="C20" s="2489"/>
      <c r="D20" s="2489"/>
      <c r="E20" s="2489"/>
      <c r="F20" s="2489"/>
      <c r="G20" s="2489"/>
      <c r="H20" s="2489"/>
      <c r="I20" s="2489"/>
      <c r="J20" s="2489"/>
      <c r="K20" s="248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4" t="str">
        <f>'Single Audit Cover'!A7</f>
        <v>STEELEVILLE CUSD 138</v>
      </c>
      <c r="C1" s="2474"/>
      <c r="D1" s="2474"/>
      <c r="E1" s="1468"/>
    </row>
    <row r="2" spans="2:5" s="1278" customFormat="1" ht="12.75" customHeight="1" x14ac:dyDescent="0.2">
      <c r="B2" s="2476">
        <f>'Single Audit Cover'!E7</f>
        <v>45079138026</v>
      </c>
      <c r="C2" s="2476"/>
      <c r="D2" s="2476"/>
      <c r="E2" s="1469"/>
    </row>
    <row r="3" spans="2:5" ht="12.75" customHeight="1" x14ac:dyDescent="0.2">
      <c r="B3" s="2490" t="s">
        <v>1766</v>
      </c>
      <c r="C3" s="2490"/>
      <c r="D3" s="2490"/>
      <c r="E3" s="1270"/>
    </row>
    <row r="4" spans="2:5" s="1278" customFormat="1" ht="12.75" customHeight="1" x14ac:dyDescent="0.2">
      <c r="B4" s="2500" t="str">
        <f>'Single Audit Cover'!A4</f>
        <v>Year Ending June 30, 2019</v>
      </c>
      <c r="C4" s="2500"/>
      <c r="D4" s="2500"/>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R8" sqref="R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45648479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2.5319999999999999E-2</v>
      </c>
      <c r="E10" s="356" t="s">
        <v>1005</v>
      </c>
      <c r="F10" s="355">
        <v>4.7489999999999997E-3</v>
      </c>
      <c r="G10" s="356" t="s">
        <v>1005</v>
      </c>
      <c r="H10" s="355">
        <v>2.4979999999999998E-3</v>
      </c>
      <c r="I10" s="356" t="s">
        <v>1006</v>
      </c>
      <c r="J10" s="1731">
        <f>ROUND(D10+F10+H10,5)</f>
        <v>3.2570000000000002E-2</v>
      </c>
      <c r="K10" s="222"/>
      <c r="L10" s="355">
        <v>3.2699999999999998E-4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3917985</v>
      </c>
      <c r="E16" s="356"/>
      <c r="F16" s="1732">
        <f>SUM('Acct Summary 7-8'!C17,'Acct Summary 7-8'!D17,'Acct Summary 7-8'!F17)</f>
        <v>3703640</v>
      </c>
      <c r="G16" s="356"/>
      <c r="H16" s="1732">
        <f>SUM(D16-F16)</f>
        <v>214345</v>
      </c>
      <c r="I16" s="222"/>
      <c r="J16" s="1732">
        <f>SUM('Acct Summary 7-8'!C81,'Acct Summary 7-8'!D81,'Acct Summary 7-8'!F81,'Acct Summary 7-8'!I81)</f>
        <v>1417847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6299490.1020000009</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2490000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STEELEVILLE CUSD 138</v>
      </c>
      <c r="E7" s="391"/>
      <c r="G7" s="252"/>
      <c r="H7" s="387"/>
      <c r="I7" s="387"/>
      <c r="J7" s="387"/>
      <c r="K7" s="387"/>
      <c r="L7" s="329"/>
      <c r="M7" s="329"/>
      <c r="N7" s="329"/>
      <c r="O7" s="329"/>
      <c r="P7" s="329"/>
    </row>
    <row r="8" spans="1:18" ht="12.75" x14ac:dyDescent="0.2">
      <c r="A8" s="329"/>
      <c r="B8" s="329"/>
      <c r="C8" s="389" t="s">
        <v>1125</v>
      </c>
      <c r="D8" s="392">
        <f>COVER!A13</f>
        <v>45079138026</v>
      </c>
      <c r="E8" s="393"/>
      <c r="G8" s="329"/>
      <c r="H8" s="329"/>
      <c r="I8" s="329"/>
      <c r="J8" s="329"/>
      <c r="K8" s="329"/>
      <c r="L8" s="329"/>
      <c r="M8" s="329"/>
      <c r="N8" s="329"/>
      <c r="O8" s="329"/>
      <c r="P8" s="329"/>
    </row>
    <row r="9" spans="1:18" ht="12.75" x14ac:dyDescent="0.2">
      <c r="A9" s="329"/>
      <c r="B9" s="329"/>
      <c r="C9" s="389" t="s">
        <v>713</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1417847</v>
      </c>
      <c r="I12" s="404"/>
      <c r="J12" s="404"/>
      <c r="K12" s="405">
        <f>TRUNC((H12/H13*100000),5)/100000</f>
        <v>0.3618816815</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3917985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3703640</v>
      </c>
      <c r="I17" s="404"/>
      <c r="J17" s="416"/>
      <c r="K17" s="405">
        <f>TRUNC((H17/H18*100000),5)/100000</f>
        <v>0.94529203139999995</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3917985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1422181</v>
      </c>
      <c r="I24" s="422"/>
      <c r="J24" s="422"/>
      <c r="K24" s="423">
        <f>TRUNC(((H24/H25*100000)/100000),2)</f>
        <v>138.22999999999999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10287.88889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1263755.3168800001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2490000</v>
      </c>
      <c r="I32" s="420"/>
      <c r="J32" s="420"/>
      <c r="K32" s="423">
        <f>TRUNC(100-((((H32/H33*100))*100)/100),2)</f>
        <v>60.47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6299490.1020000009</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8" zoomScaleNormal="98" workbookViewId="0">
      <pane ySplit="2" topLeftCell="A11" activePane="bottomLeft" state="frozen"/>
      <selection activeCell="A4" sqref="A4:F4"/>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558"/>
      <c r="D3" s="1559"/>
      <c r="E3" s="1559"/>
      <c r="F3" s="1559"/>
      <c r="G3" s="1559"/>
      <c r="H3" s="1559"/>
      <c r="I3" s="1559"/>
      <c r="J3" s="1559"/>
      <c r="K3" s="1559"/>
      <c r="L3" s="1559"/>
      <c r="M3" s="1560"/>
      <c r="N3" s="1561"/>
    </row>
    <row r="4" spans="1:14" ht="13.5" customHeight="1" x14ac:dyDescent="0.2">
      <c r="A4" s="463" t="s">
        <v>1651</v>
      </c>
      <c r="B4" s="464"/>
      <c r="C4" s="465">
        <v>398512</v>
      </c>
      <c r="D4" s="466">
        <v>334534</v>
      </c>
      <c r="E4" s="466">
        <v>108252</v>
      </c>
      <c r="F4" s="466">
        <v>304895</v>
      </c>
      <c r="G4" s="466">
        <v>100204</v>
      </c>
      <c r="H4" s="466">
        <v>230595</v>
      </c>
      <c r="I4" s="466">
        <v>384240</v>
      </c>
      <c r="J4" s="467"/>
      <c r="K4" s="466">
        <v>77142</v>
      </c>
      <c r="L4" s="466">
        <v>110717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398512</v>
      </c>
      <c r="D13" s="1736">
        <f t="shared" ref="D13:L13" si="0">SUM(D4:D12)</f>
        <v>334534</v>
      </c>
      <c r="E13" s="1736">
        <f t="shared" si="0"/>
        <v>108252</v>
      </c>
      <c r="F13" s="1736">
        <f t="shared" si="0"/>
        <v>304895</v>
      </c>
      <c r="G13" s="1736">
        <f t="shared" si="0"/>
        <v>100204</v>
      </c>
      <c r="H13" s="1736">
        <f t="shared" si="0"/>
        <v>230595</v>
      </c>
      <c r="I13" s="1736">
        <f t="shared" si="0"/>
        <v>384240</v>
      </c>
      <c r="J13" s="1736">
        <f t="shared" si="0"/>
        <v>0</v>
      </c>
      <c r="K13" s="1736">
        <f t="shared" si="0"/>
        <v>77142</v>
      </c>
      <c r="L13" s="1736">
        <f t="shared" si="0"/>
        <v>110717</v>
      </c>
      <c r="M13" s="468"/>
      <c r="N13" s="469"/>
    </row>
    <row r="14" spans="1:14" ht="18" customHeight="1" thickTop="1" x14ac:dyDescent="0.2">
      <c r="A14" s="2124" t="s">
        <v>147</v>
      </c>
      <c r="B14" s="2125"/>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24902</v>
      </c>
      <c r="N16" s="484"/>
    </row>
    <row r="17" spans="1:14" s="485" customFormat="1" ht="12.75" customHeight="1" x14ac:dyDescent="0.2">
      <c r="A17" s="482" t="s">
        <v>1403</v>
      </c>
      <c r="B17" s="483">
        <v>230</v>
      </c>
      <c r="C17" s="477"/>
      <c r="D17" s="477"/>
      <c r="E17" s="477"/>
      <c r="F17" s="477"/>
      <c r="G17" s="477"/>
      <c r="H17" s="477"/>
      <c r="I17" s="477"/>
      <c r="J17" s="477"/>
      <c r="K17" s="477"/>
      <c r="L17" s="477"/>
      <c r="M17" s="467">
        <v>178390</v>
      </c>
      <c r="N17" s="484"/>
    </row>
    <row r="18" spans="1:14" s="485" customFormat="1" ht="12.75" customHeight="1" x14ac:dyDescent="0.2">
      <c r="A18" s="482" t="s">
        <v>1404</v>
      </c>
      <c r="B18" s="483">
        <v>240</v>
      </c>
      <c r="C18" s="477"/>
      <c r="D18" s="477"/>
      <c r="E18" s="477"/>
      <c r="F18" s="477"/>
      <c r="G18" s="477"/>
      <c r="H18" s="477"/>
      <c r="I18" s="477"/>
      <c r="J18" s="477"/>
      <c r="K18" s="477"/>
      <c r="L18" s="477"/>
      <c r="M18" s="467">
        <v>7858271</v>
      </c>
      <c r="N18" s="484"/>
    </row>
    <row r="19" spans="1:14" s="485" customFormat="1" ht="12.75" customHeight="1" x14ac:dyDescent="0.2">
      <c r="A19" s="482" t="s">
        <v>1405</v>
      </c>
      <c r="B19" s="483">
        <v>250</v>
      </c>
      <c r="C19" s="477"/>
      <c r="D19" s="477"/>
      <c r="E19" s="477"/>
      <c r="F19" s="477"/>
      <c r="G19" s="477"/>
      <c r="H19" s="477"/>
      <c r="I19" s="477"/>
      <c r="J19" s="477"/>
      <c r="K19" s="477"/>
      <c r="L19" s="477"/>
      <c r="M19" s="467">
        <v>1968521</v>
      </c>
      <c r="N19" s="484"/>
    </row>
    <row r="20" spans="1:14" s="485" customFormat="1" ht="12.75" customHeight="1" x14ac:dyDescent="0.2">
      <c r="A20" s="482" t="s">
        <v>1406</v>
      </c>
      <c r="B20" s="483">
        <v>260</v>
      </c>
      <c r="C20" s="477"/>
      <c r="D20" s="477"/>
      <c r="E20" s="477"/>
      <c r="F20" s="477"/>
      <c r="G20" s="477"/>
      <c r="H20" s="477"/>
      <c r="I20" s="477"/>
      <c r="J20" s="477"/>
      <c r="K20" s="477"/>
      <c r="L20" s="477"/>
      <c r="M20" s="467">
        <v>19493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108252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2381748</v>
      </c>
    </row>
    <row r="23" spans="1:14" ht="13.5" customHeight="1" thickBot="1" x14ac:dyDescent="0.25">
      <c r="A23" s="1735" t="s">
        <v>643</v>
      </c>
      <c r="B23" s="1740"/>
      <c r="C23" s="468"/>
      <c r="D23" s="468"/>
      <c r="E23" s="468"/>
      <c r="F23" s="468"/>
      <c r="G23" s="468"/>
      <c r="H23" s="468"/>
      <c r="I23" s="468"/>
      <c r="J23" s="468"/>
      <c r="K23" s="468"/>
      <c r="L23" s="468"/>
      <c r="M23" s="1687">
        <f>SUM(M15:M22)</f>
        <v>10049577</v>
      </c>
      <c r="N23" s="1687">
        <f>SUM(N21:N22)</f>
        <v>2490000</v>
      </c>
    </row>
    <row r="24" spans="1:14" ht="18" customHeight="1" thickTop="1" x14ac:dyDescent="0.2">
      <c r="A24" s="2126" t="s">
        <v>598</v>
      </c>
      <c r="B24" s="2127"/>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4334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7" t="s">
        <v>654</v>
      </c>
      <c r="B34" s="1738"/>
      <c r="C34" s="1739">
        <f>SUM(C25:C33)</f>
        <v>4334</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0</v>
      </c>
      <c r="M34" s="468"/>
      <c r="N34" s="480"/>
    </row>
    <row r="35" spans="1:14" ht="18" customHeight="1" thickTop="1" x14ac:dyDescent="0.2">
      <c r="A35" s="2128" t="s">
        <v>529</v>
      </c>
      <c r="B35" s="212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2490000</v>
      </c>
    </row>
    <row r="37" spans="1:14" ht="13.5" thickBot="1" x14ac:dyDescent="0.25">
      <c r="A37" s="1735" t="s">
        <v>653</v>
      </c>
      <c r="B37" s="1740"/>
      <c r="C37" s="477"/>
      <c r="D37" s="477"/>
      <c r="E37" s="477"/>
      <c r="F37" s="477"/>
      <c r="G37" s="477"/>
      <c r="H37" s="477"/>
      <c r="I37" s="477"/>
      <c r="J37" s="477"/>
      <c r="K37" s="477"/>
      <c r="L37" s="480"/>
      <c r="M37" s="468"/>
      <c r="N37" s="1687">
        <f>SUM(N36:N36)</f>
        <v>2490000</v>
      </c>
    </row>
    <row r="38" spans="1:14" s="329" customFormat="1" ht="13.5" customHeight="1" thickTop="1" x14ac:dyDescent="0.2">
      <c r="A38" s="496" t="s">
        <v>420</v>
      </c>
      <c r="B38" s="483">
        <v>714</v>
      </c>
      <c r="C38" s="466"/>
      <c r="D38" s="466"/>
      <c r="E38" s="466">
        <v>44553</v>
      </c>
      <c r="F38" s="466"/>
      <c r="G38" s="466">
        <v>8855</v>
      </c>
      <c r="H38" s="466">
        <v>244475</v>
      </c>
      <c r="I38" s="466"/>
      <c r="J38" s="467"/>
      <c r="K38" s="466"/>
      <c r="L38" s="481"/>
      <c r="M38" s="497"/>
      <c r="N38" s="497"/>
    </row>
    <row r="39" spans="1:14" s="329" customFormat="1" ht="13.5" customHeight="1" x14ac:dyDescent="0.2">
      <c r="A39" s="496" t="s">
        <v>342</v>
      </c>
      <c r="B39" s="483">
        <v>730</v>
      </c>
      <c r="C39" s="466">
        <v>394178</v>
      </c>
      <c r="D39" s="466">
        <v>334534</v>
      </c>
      <c r="E39" s="466">
        <v>63699</v>
      </c>
      <c r="F39" s="466">
        <v>304895</v>
      </c>
      <c r="G39" s="466">
        <v>91349</v>
      </c>
      <c r="H39" s="466">
        <v>-13880</v>
      </c>
      <c r="I39" s="466">
        <v>384240</v>
      </c>
      <c r="J39" s="467"/>
      <c r="K39" s="466">
        <v>77142</v>
      </c>
      <c r="L39" s="466">
        <v>110717</v>
      </c>
      <c r="M39" s="497"/>
      <c r="N39" s="497"/>
    </row>
    <row r="40" spans="1:14" s="329" customFormat="1" ht="13.5" customHeight="1" x14ac:dyDescent="0.2">
      <c r="A40" s="498" t="s">
        <v>148</v>
      </c>
      <c r="B40" s="499"/>
      <c r="C40" s="500"/>
      <c r="D40" s="500"/>
      <c r="E40" s="500"/>
      <c r="F40" s="500"/>
      <c r="G40" s="500"/>
      <c r="H40" s="500"/>
      <c r="I40" s="500"/>
      <c r="J40" s="500"/>
      <c r="K40" s="500"/>
      <c r="L40" s="500"/>
      <c r="M40" s="467">
        <v>10049577</v>
      </c>
      <c r="N40" s="497"/>
    </row>
    <row r="41" spans="1:14" ht="13.5" customHeight="1" thickBot="1" x14ac:dyDescent="0.25">
      <c r="A41" s="1735" t="s">
        <v>655</v>
      </c>
      <c r="B41" s="1705"/>
      <c r="C41" s="1687">
        <f>(SUM(C34,C37,C38,C39))</f>
        <v>398512</v>
      </c>
      <c r="D41" s="1687">
        <f t="shared" ref="D41:L41" si="2">SUM(D34,D37,D38:D39)</f>
        <v>334534</v>
      </c>
      <c r="E41" s="1687">
        <f t="shared" si="2"/>
        <v>108252</v>
      </c>
      <c r="F41" s="1687">
        <f t="shared" si="2"/>
        <v>304895</v>
      </c>
      <c r="G41" s="1687">
        <f t="shared" si="2"/>
        <v>100204</v>
      </c>
      <c r="H41" s="1687">
        <f t="shared" si="2"/>
        <v>230595</v>
      </c>
      <c r="I41" s="1687">
        <f t="shared" si="2"/>
        <v>384240</v>
      </c>
      <c r="J41" s="1687">
        <f t="shared" si="2"/>
        <v>0</v>
      </c>
      <c r="K41" s="1687">
        <f t="shared" si="2"/>
        <v>77142</v>
      </c>
      <c r="L41" s="1687">
        <f t="shared" si="2"/>
        <v>110717</v>
      </c>
      <c r="M41" s="1687">
        <f>SUM(M40)</f>
        <v>10049577</v>
      </c>
      <c r="N41" s="1687">
        <f>SUM(N37)</f>
        <v>2490000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E11" sqref="E1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72"/>
      <c r="D3" s="1573"/>
      <c r="E3" s="1573"/>
      <c r="F3" s="1573"/>
      <c r="G3" s="1573"/>
      <c r="H3" s="1573"/>
      <c r="I3" s="1573"/>
      <c r="J3" s="1573"/>
      <c r="K3" s="1574"/>
      <c r="L3" s="506"/>
    </row>
    <row r="4" spans="1:13" ht="15.75" customHeight="1" x14ac:dyDescent="0.2">
      <c r="A4" s="1927" t="s">
        <v>1499</v>
      </c>
      <c r="B4" s="1928">
        <v>1000</v>
      </c>
      <c r="C4" s="1741">
        <f>'Revenues 9-14'!C109</f>
        <v>1250259</v>
      </c>
      <c r="D4" s="1741">
        <f>'Revenues 9-14'!D109</f>
        <v>202714</v>
      </c>
      <c r="E4" s="1741">
        <f>'Revenues 9-14'!E109</f>
        <v>395888</v>
      </c>
      <c r="F4" s="1741">
        <f>'Revenues 9-14'!F109</f>
        <v>124704</v>
      </c>
      <c r="G4" s="1741">
        <f>'Revenues 9-14'!G109</f>
        <v>120156</v>
      </c>
      <c r="H4" s="1741">
        <f>'Revenues 9-14'!H109</f>
        <v>3744</v>
      </c>
      <c r="I4" s="1741">
        <f>'Revenues 9-14'!I109</f>
        <v>13703</v>
      </c>
      <c r="J4" s="1741">
        <f>'Revenues 9-14'!J109</f>
        <v>23931</v>
      </c>
      <c r="K4" s="1741">
        <f>'Revenues 9-14'!K109</f>
        <v>10495</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1952884</v>
      </c>
      <c r="D6" s="1742">
        <f>'Revenues 9-14'!D170</f>
        <v>0</v>
      </c>
      <c r="E6" s="1742">
        <f>'Revenues 9-14'!E170</f>
        <v>0</v>
      </c>
      <c r="F6" s="1742">
        <f>'Revenues 9-14'!F170</f>
        <v>90959</v>
      </c>
      <c r="G6" s="1742">
        <f>'Revenues 9-14'!G170</f>
        <v>18000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282762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3485905</v>
      </c>
      <c r="D8" s="1687">
        <f t="shared" ref="D8:K8" si="0">SUM(D4:D7)</f>
        <v>202714</v>
      </c>
      <c r="E8" s="1687">
        <f t="shared" si="0"/>
        <v>395888</v>
      </c>
      <c r="F8" s="1687">
        <f t="shared" si="0"/>
        <v>215663</v>
      </c>
      <c r="G8" s="1687">
        <f t="shared" si="0"/>
        <v>138156</v>
      </c>
      <c r="H8" s="1687">
        <f t="shared" si="0"/>
        <v>3744</v>
      </c>
      <c r="I8" s="1687">
        <f t="shared" si="0"/>
        <v>13703</v>
      </c>
      <c r="J8" s="1687">
        <f t="shared" si="0"/>
        <v>23931</v>
      </c>
      <c r="K8" s="1687">
        <f t="shared" si="0"/>
        <v>10495</v>
      </c>
      <c r="L8" s="347"/>
    </row>
    <row r="9" spans="1:13" ht="15.75" thickTop="1" x14ac:dyDescent="0.2">
      <c r="A9" s="514" t="s">
        <v>1653</v>
      </c>
      <c r="B9" s="515">
        <v>3998</v>
      </c>
      <c r="C9" s="481">
        <v>1295659</v>
      </c>
      <c r="D9" s="516"/>
      <c r="E9" s="481"/>
      <c r="F9" s="481"/>
      <c r="G9" s="517"/>
      <c r="H9" s="481"/>
      <c r="I9" s="509" t="s">
        <v>1169</v>
      </c>
      <c r="J9" s="478"/>
      <c r="K9" s="481"/>
      <c r="L9" s="347"/>
    </row>
    <row r="10" spans="1:13" s="519" customFormat="1" ht="13.5" thickBot="1" x14ac:dyDescent="0.25">
      <c r="A10" s="1735" t="s">
        <v>1173</v>
      </c>
      <c r="B10" s="1708"/>
      <c r="C10" s="1687">
        <f>SUM(C8:C9)</f>
        <v>4781564</v>
      </c>
      <c r="D10" s="1687">
        <f t="shared" ref="D10:K10" si="1">SUM(D8:D9)</f>
        <v>202714</v>
      </c>
      <c r="E10" s="1687">
        <f t="shared" si="1"/>
        <v>395888</v>
      </c>
      <c r="F10" s="1687">
        <f t="shared" si="1"/>
        <v>215663</v>
      </c>
      <c r="G10" s="1687">
        <f t="shared" si="1"/>
        <v>138156</v>
      </c>
      <c r="H10" s="1687">
        <f t="shared" si="1"/>
        <v>3744</v>
      </c>
      <c r="I10" s="1687">
        <f t="shared" si="1"/>
        <v>13703</v>
      </c>
      <c r="J10" s="1687">
        <f t="shared" si="1"/>
        <v>23931</v>
      </c>
      <c r="K10" s="1687">
        <f t="shared" si="1"/>
        <v>10495</v>
      </c>
      <c r="L10" s="518"/>
    </row>
    <row r="11" spans="1:13" s="519" customFormat="1" ht="16.7" customHeight="1" thickTop="1" x14ac:dyDescent="0.2">
      <c r="A11" s="2124" t="s">
        <v>1176</v>
      </c>
      <c r="B11" s="2125"/>
      <c r="C11" s="1569"/>
      <c r="D11" s="1570"/>
      <c r="E11" s="1570"/>
      <c r="F11" s="1570"/>
      <c r="G11" s="1570"/>
      <c r="H11" s="1570"/>
      <c r="I11" s="1570"/>
      <c r="J11" s="1570"/>
      <c r="K11" s="1571"/>
      <c r="L11" s="518"/>
    </row>
    <row r="12" spans="1:13" ht="15.75" customHeight="1" x14ac:dyDescent="0.2">
      <c r="A12" s="1575" t="s">
        <v>456</v>
      </c>
      <c r="B12" s="1577">
        <v>1000</v>
      </c>
      <c r="C12" s="1741">
        <f>'Expenditures 15-22'!K33</f>
        <v>2208416</v>
      </c>
      <c r="D12" s="520" t="s">
        <v>1169</v>
      </c>
      <c r="E12" s="468" t="s">
        <v>1169</v>
      </c>
      <c r="F12" s="468" t="s">
        <v>1169</v>
      </c>
      <c r="G12" s="1741">
        <f>'Expenditures 15-22'!K229</f>
        <v>48071</v>
      </c>
      <c r="H12" s="521"/>
      <c r="I12" s="468" t="s">
        <v>1169</v>
      </c>
      <c r="J12" s="468" t="s">
        <v>1169</v>
      </c>
      <c r="K12" s="521" t="s">
        <v>1169</v>
      </c>
      <c r="L12" s="347"/>
    </row>
    <row r="13" spans="1:13" ht="15.75" customHeight="1" x14ac:dyDescent="0.2">
      <c r="A13" s="1575" t="s">
        <v>457</v>
      </c>
      <c r="B13" s="1577">
        <v>2000</v>
      </c>
      <c r="C13" s="1742">
        <f>'Expenditures 15-22'!K74</f>
        <v>846258</v>
      </c>
      <c r="D13" s="1742">
        <f>'Expenditures 15-22'!K129</f>
        <v>169267</v>
      </c>
      <c r="E13" s="469" t="s">
        <v>1169</v>
      </c>
      <c r="F13" s="1742">
        <f>'Expenditures 15-22'!K184</f>
        <v>226664</v>
      </c>
      <c r="G13" s="1742">
        <f>'Expenditures 15-22'!K279</f>
        <v>50048</v>
      </c>
      <c r="H13" s="1742">
        <f>'Expenditures 15-22'!K303</f>
        <v>813798</v>
      </c>
      <c r="I13" s="468" t="s">
        <v>1169</v>
      </c>
      <c r="J13" s="1742">
        <f>'Expenditures 15-22'!K330</f>
        <v>23931</v>
      </c>
      <c r="K13" s="1746">
        <f>'Expenditures 15-22'!K352</f>
        <v>0</v>
      </c>
      <c r="L13" s="347"/>
    </row>
    <row r="14" spans="1:13" ht="15.75" customHeight="1" x14ac:dyDescent="0.2">
      <c r="A14" s="1575" t="s">
        <v>449</v>
      </c>
      <c r="B14" s="1577">
        <v>3000</v>
      </c>
      <c r="C14" s="1742">
        <f>'Expenditures 15-22'!K75</f>
        <v>7644</v>
      </c>
      <c r="D14" s="1742">
        <f>'Expenditures 15-22'!K130</f>
        <v>0</v>
      </c>
      <c r="E14" s="520" t="s">
        <v>1169</v>
      </c>
      <c r="F14" s="1742">
        <f>'Expenditures 15-22'!K185</f>
        <v>0</v>
      </c>
      <c r="G14" s="1742">
        <f>'Expenditures 15-22'!K280</f>
        <v>78</v>
      </c>
      <c r="H14" s="512"/>
      <c r="I14" s="468" t="s">
        <v>1169</v>
      </c>
      <c r="J14" s="468" t="s">
        <v>1169</v>
      </c>
      <c r="K14" s="512" t="s">
        <v>1169</v>
      </c>
      <c r="L14" s="347"/>
    </row>
    <row r="15" spans="1:13" ht="15.75" customHeight="1" x14ac:dyDescent="0.2">
      <c r="A15" s="1575" t="s">
        <v>107</v>
      </c>
      <c r="B15" s="1577">
        <v>4000</v>
      </c>
      <c r="C15" s="1742">
        <f>'Expenditures 15-22'!K102</f>
        <v>245391</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383923</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3307709</v>
      </c>
      <c r="D17" s="1687">
        <f t="shared" si="2"/>
        <v>169267</v>
      </c>
      <c r="E17" s="1687">
        <f t="shared" si="2"/>
        <v>383923</v>
      </c>
      <c r="F17" s="1687">
        <f t="shared" si="2"/>
        <v>226664</v>
      </c>
      <c r="G17" s="1687">
        <f t="shared" si="2"/>
        <v>98197</v>
      </c>
      <c r="H17" s="1687">
        <f t="shared" si="2"/>
        <v>813798</v>
      </c>
      <c r="I17" s="468"/>
      <c r="J17" s="1687">
        <f>SUM(J12:J16)</f>
        <v>23931</v>
      </c>
      <c r="K17" s="1687">
        <f>SUM(K12:K16)</f>
        <v>0</v>
      </c>
      <c r="L17" s="347"/>
    </row>
    <row r="18" spans="1:12" ht="15" customHeight="1" thickTop="1" x14ac:dyDescent="0.2">
      <c r="A18" s="1743" t="s">
        <v>1654</v>
      </c>
      <c r="B18" s="1744">
        <v>4180</v>
      </c>
      <c r="C18" s="1741">
        <f t="shared" ref="C18:H18" si="3">C9</f>
        <v>1295659</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4603368</v>
      </c>
      <c r="D19" s="1687">
        <f t="shared" si="4"/>
        <v>169267</v>
      </c>
      <c r="E19" s="1687">
        <f t="shared" si="4"/>
        <v>383923</v>
      </c>
      <c r="F19" s="1687">
        <f t="shared" si="4"/>
        <v>226664</v>
      </c>
      <c r="G19" s="1687">
        <f t="shared" si="4"/>
        <v>98197</v>
      </c>
      <c r="H19" s="1687">
        <f t="shared" si="4"/>
        <v>813798</v>
      </c>
      <c r="I19" s="468"/>
      <c r="J19" s="1687">
        <f>SUM(J17:J18)</f>
        <v>23931</v>
      </c>
      <c r="K19" s="1687">
        <f>SUM(K17:K18)</f>
        <v>0</v>
      </c>
      <c r="L19" s="347"/>
    </row>
    <row r="20" spans="1:12" ht="16.5" thickTop="1" thickBot="1" x14ac:dyDescent="0.25">
      <c r="A20" s="2140" t="s">
        <v>1655</v>
      </c>
      <c r="B20" s="2141"/>
      <c r="C20" s="1745">
        <f>C8-C17</f>
        <v>178196</v>
      </c>
      <c r="D20" s="1745">
        <f t="shared" ref="D20:K20" si="5">D8-D17</f>
        <v>33447</v>
      </c>
      <c r="E20" s="1745">
        <f t="shared" si="5"/>
        <v>11965</v>
      </c>
      <c r="F20" s="1745">
        <f t="shared" si="5"/>
        <v>-11001</v>
      </c>
      <c r="G20" s="1745">
        <f t="shared" si="5"/>
        <v>39959</v>
      </c>
      <c r="H20" s="1745">
        <f t="shared" si="5"/>
        <v>-810054</v>
      </c>
      <c r="I20" s="1745">
        <f t="shared" si="5"/>
        <v>13703</v>
      </c>
      <c r="J20" s="1745">
        <f t="shared" si="5"/>
        <v>0</v>
      </c>
      <c r="K20" s="1745">
        <f t="shared" si="5"/>
        <v>10495</v>
      </c>
      <c r="L20" s="347"/>
    </row>
    <row r="21" spans="1:12" ht="16.7" customHeight="1" thickTop="1" x14ac:dyDescent="0.2">
      <c r="A21" s="2152" t="s">
        <v>595</v>
      </c>
      <c r="B21" s="2153"/>
      <c r="C21" s="1569"/>
      <c r="D21" s="1570"/>
      <c r="E21" s="1570"/>
      <c r="F21" s="1570"/>
      <c r="G21" s="1570"/>
      <c r="H21" s="1570"/>
      <c r="I21" s="1570"/>
      <c r="J21" s="1570"/>
      <c r="K21" s="1571"/>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32" t="s">
        <v>1177</v>
      </c>
      <c r="B77" s="2133"/>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6" t="s">
        <v>597</v>
      </c>
      <c r="B78" s="2137"/>
      <c r="C78" s="1701">
        <f t="shared" ref="C78:K78" si="9">C20+C77</f>
        <v>178196</v>
      </c>
      <c r="D78" s="1701">
        <f t="shared" si="9"/>
        <v>33447</v>
      </c>
      <c r="E78" s="1701">
        <f t="shared" si="9"/>
        <v>11965</v>
      </c>
      <c r="F78" s="1701">
        <f t="shared" si="9"/>
        <v>-11001</v>
      </c>
      <c r="G78" s="1701">
        <f t="shared" si="9"/>
        <v>39959</v>
      </c>
      <c r="H78" s="1701">
        <f t="shared" si="9"/>
        <v>-810054</v>
      </c>
      <c r="I78" s="1701">
        <f t="shared" si="9"/>
        <v>13703</v>
      </c>
      <c r="J78" s="1701">
        <f t="shared" si="9"/>
        <v>0</v>
      </c>
      <c r="K78" s="1701">
        <f t="shared" si="9"/>
        <v>10495</v>
      </c>
      <c r="L78" s="533"/>
    </row>
    <row r="79" spans="1:12" ht="13.5" thickTop="1" x14ac:dyDescent="0.2">
      <c r="A79" s="1493" t="s">
        <v>1949</v>
      </c>
      <c r="B79" s="534"/>
      <c r="C79" s="478">
        <v>215982</v>
      </c>
      <c r="D79" s="535">
        <v>301087</v>
      </c>
      <c r="E79" s="535">
        <v>96287</v>
      </c>
      <c r="F79" s="535">
        <v>315896</v>
      </c>
      <c r="G79" s="535">
        <v>60245</v>
      </c>
      <c r="H79" s="535">
        <v>1040649</v>
      </c>
      <c r="I79" s="535">
        <v>370537</v>
      </c>
      <c r="J79" s="535">
        <v>0</v>
      </c>
      <c r="K79" s="535">
        <v>66647</v>
      </c>
      <c r="L79" s="347"/>
    </row>
    <row r="80" spans="1:12" x14ac:dyDescent="0.2">
      <c r="A80" s="2142" t="s">
        <v>1795</v>
      </c>
      <c r="B80" s="2143"/>
      <c r="C80" s="467"/>
      <c r="D80" s="467"/>
      <c r="E80" s="467"/>
      <c r="F80" s="467"/>
      <c r="G80" s="467"/>
      <c r="H80" s="467"/>
      <c r="I80" s="467"/>
      <c r="J80" s="467"/>
      <c r="K80" s="467"/>
      <c r="L80" s="347"/>
    </row>
    <row r="81" spans="1:12" ht="13.5" thickBot="1" x14ac:dyDescent="0.25">
      <c r="A81" s="2134" t="s">
        <v>1950</v>
      </c>
      <c r="B81" s="2135"/>
      <c r="C81" s="1687">
        <f>(SUM(C78:C80))</f>
        <v>394178</v>
      </c>
      <c r="D81" s="1687">
        <f>SUM(D78:D80)</f>
        <v>334534</v>
      </c>
      <c r="E81" s="1687">
        <f t="shared" ref="E81:K81" si="10">SUM(E78:E80)</f>
        <v>108252</v>
      </c>
      <c r="F81" s="1687">
        <f t="shared" si="10"/>
        <v>304895</v>
      </c>
      <c r="G81" s="1687">
        <f t="shared" si="10"/>
        <v>100204</v>
      </c>
      <c r="H81" s="1687">
        <f t="shared" si="10"/>
        <v>230595</v>
      </c>
      <c r="I81" s="1687">
        <f t="shared" si="10"/>
        <v>384240</v>
      </c>
      <c r="J81" s="1687">
        <f t="shared" si="10"/>
        <v>0</v>
      </c>
      <c r="K81" s="1687">
        <f t="shared" si="10"/>
        <v>77142</v>
      </c>
      <c r="L81" s="347"/>
    </row>
    <row r="82" spans="1:12" ht="0.75" customHeight="1" thickTop="1" thickBot="1" x14ac:dyDescent="0.25">
      <c r="A82" s="536" t="s">
        <v>343</v>
      </c>
      <c r="B82" s="537"/>
      <c r="C82" s="538">
        <f>(C81-C79)</f>
        <v>178196</v>
      </c>
      <c r="D82" s="538">
        <f t="shared" ref="D82:K82" si="11">(D81-D79)</f>
        <v>33447</v>
      </c>
      <c r="E82" s="538">
        <f t="shared" si="11"/>
        <v>11965</v>
      </c>
      <c r="F82" s="538">
        <f t="shared" si="11"/>
        <v>-11001</v>
      </c>
      <c r="G82" s="538">
        <f t="shared" si="11"/>
        <v>39959</v>
      </c>
      <c r="H82" s="538">
        <f t="shared" si="11"/>
        <v>-810054</v>
      </c>
      <c r="I82" s="538">
        <f t="shared" si="11"/>
        <v>13703</v>
      </c>
      <c r="J82" s="538">
        <f t="shared" si="11"/>
        <v>0</v>
      </c>
      <c r="K82" s="538">
        <f t="shared" si="11"/>
        <v>10495</v>
      </c>
    </row>
    <row r="83" spans="1:12" ht="14.25" hidden="1" thickTop="1" thickBot="1" x14ac:dyDescent="0.25">
      <c r="A83" s="539" t="s">
        <v>344</v>
      </c>
      <c r="B83" s="464"/>
      <c r="C83" s="540">
        <f>C82/C81</f>
        <v>0.4520698770606173</v>
      </c>
      <c r="D83" s="540">
        <f t="shared" ref="D83:K83" si="12">D82/D81</f>
        <v>9.9980868910185511E-2</v>
      </c>
      <c r="E83" s="540">
        <f t="shared" si="12"/>
        <v>0.11052913572035621</v>
      </c>
      <c r="F83" s="540">
        <f t="shared" si="12"/>
        <v>-3.6081273881172209E-2</v>
      </c>
      <c r="G83" s="540">
        <f t="shared" si="12"/>
        <v>0.39877649594826553</v>
      </c>
      <c r="H83" s="540">
        <f t="shared" si="12"/>
        <v>-3.5128862291029725</v>
      </c>
      <c r="I83" s="540">
        <f t="shared" si="12"/>
        <v>3.5662606704143243E-2</v>
      </c>
      <c r="J83" s="540" t="e">
        <f t="shared" si="12"/>
        <v>#DIV/0!</v>
      </c>
      <c r="K83" s="540">
        <f t="shared" si="12"/>
        <v>0.13604780793860671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3" activePane="bottomLeft" state="frozen"/>
      <selection activeCell="A4" sqref="A4:F4"/>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1802</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1003847</v>
      </c>
      <c r="D5" s="481">
        <v>188260</v>
      </c>
      <c r="E5" s="466">
        <v>99567</v>
      </c>
      <c r="F5" s="548">
        <v>119513</v>
      </c>
      <c r="G5" s="466">
        <v>63539</v>
      </c>
      <c r="H5" s="466"/>
      <c r="I5" s="466">
        <v>12944</v>
      </c>
      <c r="J5" s="467">
        <v>23870</v>
      </c>
      <c r="K5" s="466">
        <v>10342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23813</v>
      </c>
      <c r="D7" s="466"/>
      <c r="E7" s="468"/>
      <c r="F7" s="467"/>
      <c r="G7" s="467"/>
      <c r="H7" s="467"/>
      <c r="I7" s="468"/>
      <c r="J7" s="468"/>
      <c r="K7" s="468"/>
    </row>
    <row r="8" spans="1:12" x14ac:dyDescent="0.2">
      <c r="A8" s="463" t="s">
        <v>413</v>
      </c>
      <c r="B8" s="470">
        <v>1150</v>
      </c>
      <c r="C8" s="475"/>
      <c r="D8" s="475"/>
      <c r="E8" s="477"/>
      <c r="F8" s="477"/>
      <c r="G8" s="481">
        <v>48528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1027660</v>
      </c>
      <c r="D12" s="1706">
        <f t="shared" si="0"/>
        <v>188260</v>
      </c>
      <c r="E12" s="1706">
        <f t="shared" si="0"/>
        <v>99567</v>
      </c>
      <c r="F12" s="1706">
        <f t="shared" si="0"/>
        <v>119513</v>
      </c>
      <c r="G12" s="1706">
        <f t="shared" si="0"/>
        <v>112067</v>
      </c>
      <c r="H12" s="1706">
        <f t="shared" si="0"/>
        <v>0</v>
      </c>
      <c r="I12" s="1706">
        <f t="shared" si="0"/>
        <v>12944</v>
      </c>
      <c r="J12" s="1706">
        <f t="shared" si="0"/>
        <v>23870</v>
      </c>
      <c r="K12" s="1687">
        <f t="shared" si="0"/>
        <v>10342</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2616</v>
      </c>
      <c r="D14" s="466">
        <v>479</v>
      </c>
      <c r="E14" s="466">
        <v>253</v>
      </c>
      <c r="F14" s="466">
        <v>304</v>
      </c>
      <c r="G14" s="466">
        <v>285</v>
      </c>
      <c r="H14" s="466"/>
      <c r="I14" s="466">
        <v>33</v>
      </c>
      <c r="J14" s="467">
        <v>61</v>
      </c>
      <c r="K14" s="466">
        <v>27</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45732</v>
      </c>
      <c r="D16" s="466">
        <v>10976</v>
      </c>
      <c r="E16" s="466"/>
      <c r="F16" s="466">
        <v>4268</v>
      </c>
      <c r="G16" s="466">
        <v>7660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48348</v>
      </c>
      <c r="D18" s="1709">
        <f t="shared" ref="D18:K18" si="1">SUM(D14:D17)</f>
        <v>11455</v>
      </c>
      <c r="E18" s="1709">
        <f t="shared" si="1"/>
        <v>253</v>
      </c>
      <c r="F18" s="1709">
        <f t="shared" si="1"/>
        <v>4572</v>
      </c>
      <c r="G18" s="1709">
        <f t="shared" si="1"/>
        <v>7945</v>
      </c>
      <c r="H18" s="1709">
        <f t="shared" si="1"/>
        <v>0</v>
      </c>
      <c r="I18" s="1709">
        <f t="shared" si="1"/>
        <v>33</v>
      </c>
      <c r="J18" s="1709">
        <f t="shared" si="1"/>
        <v>61</v>
      </c>
      <c r="K18" s="1710">
        <f t="shared" si="1"/>
        <v>27</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655</v>
      </c>
      <c r="D65" s="466">
        <v>582</v>
      </c>
      <c r="E65" s="466">
        <v>57</v>
      </c>
      <c r="F65" s="467">
        <v>619</v>
      </c>
      <c r="G65" s="466">
        <v>144</v>
      </c>
      <c r="H65" s="466">
        <v>744</v>
      </c>
      <c r="I65" s="466">
        <v>726</v>
      </c>
      <c r="J65" s="467"/>
      <c r="K65" s="466">
        <v>126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655</v>
      </c>
      <c r="D67" s="1687">
        <f t="shared" ref="D67:K67" si="2">SUM(D65:D66)</f>
        <v>582</v>
      </c>
      <c r="E67" s="1687">
        <f t="shared" si="2"/>
        <v>57</v>
      </c>
      <c r="F67" s="1687">
        <f t="shared" si="2"/>
        <v>619</v>
      </c>
      <c r="G67" s="1687">
        <f t="shared" si="2"/>
        <v>144</v>
      </c>
      <c r="H67" s="1687">
        <f t="shared" si="2"/>
        <v>744</v>
      </c>
      <c r="I67" s="1687">
        <f t="shared" si="2"/>
        <v>726</v>
      </c>
      <c r="J67" s="1687">
        <f t="shared" si="2"/>
        <v>0</v>
      </c>
      <c r="K67" s="1687">
        <f t="shared" si="2"/>
        <v>126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50122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4349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54471</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14454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16630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4238</v>
      </c>
      <c r="D81" s="466"/>
      <c r="E81" s="468"/>
      <c r="F81" s="468"/>
      <c r="G81" s="468"/>
      <c r="H81" s="468"/>
      <c r="I81" s="468"/>
      <c r="J81" s="468"/>
      <c r="K81" s="468"/>
    </row>
    <row r="82" spans="1:11" ht="12.75" customHeight="1" thickBot="1" x14ac:dyDescent="0.25">
      <c r="A82" s="1707" t="s">
        <v>241</v>
      </c>
      <c r="B82" s="1708"/>
      <c r="C82" s="1706">
        <f>SUM(C77:C81)</f>
        <v>35322</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14560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14560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25433</v>
      </c>
      <c r="D98" s="466"/>
      <c r="E98" s="512"/>
      <c r="F98" s="466"/>
      <c r="G98" s="512"/>
      <c r="H98" s="512"/>
      <c r="I98" s="510"/>
      <c r="J98" s="512"/>
      <c r="K98" s="512"/>
    </row>
    <row r="99" spans="1:12" ht="12.75" customHeight="1" x14ac:dyDescent="0.2">
      <c r="A99" s="463" t="s">
        <v>821</v>
      </c>
      <c r="B99" s="470">
        <v>1950</v>
      </c>
      <c r="C99" s="489">
        <v>1642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v>3000</v>
      </c>
      <c r="I100" s="467"/>
      <c r="J100" s="489"/>
      <c r="K100" s="467"/>
    </row>
    <row r="101" spans="1:12" ht="12.75" customHeight="1" x14ac:dyDescent="0.2">
      <c r="A101" s="463" t="s">
        <v>246</v>
      </c>
      <c r="B101" s="470">
        <v>1970</v>
      </c>
      <c r="C101" s="489">
        <v>6360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296011</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19774</v>
      </c>
      <c r="D106" s="489"/>
      <c r="E106" s="467"/>
      <c r="F106" s="467"/>
      <c r="G106" s="467"/>
      <c r="H106" s="467"/>
      <c r="I106" s="521"/>
      <c r="J106" s="467"/>
      <c r="K106" s="467"/>
    </row>
    <row r="107" spans="1:12" ht="12.75" customHeight="1" x14ac:dyDescent="0.2">
      <c r="A107" s="463" t="s">
        <v>78</v>
      </c>
      <c r="B107" s="470">
        <v>1999</v>
      </c>
      <c r="C107" s="551">
        <v>16034</v>
      </c>
      <c r="D107" s="466">
        <v>2417</v>
      </c>
      <c r="E107" s="466"/>
      <c r="F107" s="466"/>
      <c r="G107" s="466"/>
      <c r="H107" s="466"/>
      <c r="I107" s="466"/>
      <c r="J107" s="467"/>
      <c r="K107" s="466"/>
    </row>
    <row r="108" spans="1:12" ht="12.75" customHeight="1" thickBot="1" x14ac:dyDescent="0.25">
      <c r="A108" s="1707" t="s">
        <v>487</v>
      </c>
      <c r="B108" s="1711"/>
      <c r="C108" s="1706">
        <f>SUM(C95:C107)</f>
        <v>69243</v>
      </c>
      <c r="D108" s="1706">
        <f t="shared" ref="D108:K108" si="3">SUM(D95:D107)</f>
        <v>2417</v>
      </c>
      <c r="E108" s="1706">
        <f t="shared" si="3"/>
        <v>296011</v>
      </c>
      <c r="F108" s="1706">
        <f t="shared" si="3"/>
        <v>0</v>
      </c>
      <c r="G108" s="1706">
        <f t="shared" si="3"/>
        <v>0</v>
      </c>
      <c r="H108" s="1706">
        <f t="shared" si="3"/>
        <v>3000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1250259</v>
      </c>
      <c r="D109" s="1714">
        <f t="shared" si="4"/>
        <v>202714</v>
      </c>
      <c r="E109" s="1714">
        <f t="shared" si="4"/>
        <v>395888</v>
      </c>
      <c r="F109" s="1714">
        <f t="shared" si="4"/>
        <v>124704</v>
      </c>
      <c r="G109" s="1714">
        <f t="shared" si="4"/>
        <v>120156</v>
      </c>
      <c r="H109" s="1714">
        <f t="shared" si="4"/>
        <v>3744</v>
      </c>
      <c r="I109" s="1714">
        <f t="shared" si="4"/>
        <v>13703</v>
      </c>
      <c r="J109" s="1714">
        <f t="shared" si="4"/>
        <v>23931</v>
      </c>
      <c r="K109" s="1701">
        <f t="shared" si="4"/>
        <v>10495</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1833640</v>
      </c>
      <c r="D117" s="481"/>
      <c r="E117" s="466"/>
      <c r="F117" s="481"/>
      <c r="G117" s="481">
        <v>18000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1833640</v>
      </c>
      <c r="D122" s="1706">
        <f t="shared" si="5"/>
        <v>0</v>
      </c>
      <c r="E122" s="1706">
        <f t="shared" si="5"/>
        <v>0</v>
      </c>
      <c r="F122" s="1706">
        <f t="shared" si="5"/>
        <v>0</v>
      </c>
      <c r="G122" s="1706">
        <f t="shared" si="5"/>
        <v>18000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83949</v>
      </c>
      <c r="D128" s="561"/>
      <c r="E128" s="468"/>
      <c r="F128" s="466"/>
      <c r="G128" s="468"/>
      <c r="H128" s="468"/>
      <c r="I128" s="468"/>
      <c r="J128" s="468"/>
      <c r="K128" s="468"/>
    </row>
    <row r="129" spans="1:11" ht="12.75" customHeight="1" x14ac:dyDescent="0.2">
      <c r="A129" s="463" t="s">
        <v>1447</v>
      </c>
      <c r="B129" s="562">
        <v>3130</v>
      </c>
      <c r="C129" s="466">
        <v>6810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90759</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1737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17137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18874</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1256</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6855</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39478</v>
      </c>
      <c r="G152" s="467"/>
      <c r="H152" s="468"/>
      <c r="I152" s="468"/>
      <c r="J152" s="468"/>
      <c r="K152" s="468"/>
    </row>
    <row r="153" spans="1:11" ht="12.75" customHeight="1" x14ac:dyDescent="0.2">
      <c r="A153" s="463" t="s">
        <v>1057</v>
      </c>
      <c r="B153" s="562">
        <v>3510</v>
      </c>
      <c r="C153" s="551"/>
      <c r="D153" s="466"/>
      <c r="E153" s="561"/>
      <c r="F153" s="466">
        <v>51481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90959</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v>1500</v>
      </c>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58" t="s">
        <v>398</v>
      </c>
      <c r="B169" s="2159"/>
      <c r="C169" s="1721">
        <f t="shared" ref="C169:K169" si="6">SUM(C132,C141,C145,C146:C150,C155,C156:C167,C168)</f>
        <v>119244</v>
      </c>
      <c r="D169" s="1721">
        <f t="shared" si="6"/>
        <v>0</v>
      </c>
      <c r="E169" s="1721">
        <f t="shared" si="6"/>
        <v>0</v>
      </c>
      <c r="F169" s="1721">
        <f t="shared" si="6"/>
        <v>90959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1952884</v>
      </c>
      <c r="D170" s="1714">
        <f t="shared" si="7"/>
        <v>0</v>
      </c>
      <c r="E170" s="1714">
        <f t="shared" si="7"/>
        <v>0</v>
      </c>
      <c r="F170" s="1714">
        <f t="shared" si="7"/>
        <v>90959</v>
      </c>
      <c r="G170" s="1714">
        <f t="shared" si="7"/>
        <v>18000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14489</v>
      </c>
      <c r="D180" s="466"/>
      <c r="E180" s="468"/>
      <c r="F180" s="466"/>
      <c r="G180" s="466"/>
      <c r="H180" s="466"/>
      <c r="I180" s="468"/>
      <c r="J180" s="468"/>
      <c r="K180" s="466"/>
    </row>
    <row r="181" spans="1:11" ht="13.5" thickBot="1" x14ac:dyDescent="0.25">
      <c r="A181" s="2166" t="s">
        <v>785</v>
      </c>
      <c r="B181" s="2167"/>
      <c r="C181" s="1706">
        <f>SUM(C177:C180)</f>
        <v>14489</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2" t="s">
        <v>1803</v>
      </c>
      <c r="B182" s="2163"/>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53548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13149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66697</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64634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64634</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87608</v>
      </c>
      <c r="D213" s="466"/>
      <c r="E213" s="468"/>
      <c r="F213" s="466"/>
      <c r="G213" s="466"/>
      <c r="H213" s="468"/>
      <c r="I213" s="468"/>
      <c r="J213" s="468"/>
      <c r="K213" s="468"/>
    </row>
    <row r="214" spans="1:11" ht="12.75" customHeight="1" x14ac:dyDescent="0.2">
      <c r="A214" s="463" t="s">
        <v>1054</v>
      </c>
      <c r="B214" s="470">
        <v>4625</v>
      </c>
      <c r="C214" s="551">
        <v>4525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92133</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2206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2206</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12104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4368</v>
      </c>
      <c r="D263" s="576"/>
      <c r="E263" s="468"/>
      <c r="F263" s="576"/>
      <c r="G263" s="576"/>
      <c r="H263" s="468"/>
      <c r="I263" s="468"/>
      <c r="J263" s="468"/>
      <c r="K263" s="468"/>
    </row>
    <row r="264" spans="1:11" ht="12.75" customHeight="1" thickTop="1" thickBot="1" x14ac:dyDescent="0.25">
      <c r="A264" s="463" t="s">
        <v>377</v>
      </c>
      <c r="B264" s="470">
        <v>4992</v>
      </c>
      <c r="C264" s="575">
        <v>26131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268273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282762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3485905</v>
      </c>
      <c r="D268" s="1714">
        <f t="shared" si="12"/>
        <v>202714</v>
      </c>
      <c r="E268" s="1714">
        <f t="shared" si="12"/>
        <v>395888</v>
      </c>
      <c r="F268" s="1714">
        <f t="shared" si="12"/>
        <v>215663</v>
      </c>
      <c r="G268" s="1714">
        <f t="shared" si="12"/>
        <v>138156</v>
      </c>
      <c r="H268" s="1714">
        <f t="shared" si="12"/>
        <v>3744</v>
      </c>
      <c r="I268" s="1714">
        <f t="shared" si="12"/>
        <v>13703</v>
      </c>
      <c r="J268" s="1714">
        <f t="shared" si="12"/>
        <v>23931</v>
      </c>
      <c r="K268" s="1701">
        <f t="shared" si="12"/>
        <v>10495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6" activePane="bottomLeft" state="frozen"/>
      <selection activeCell="A4" sqref="A4:F4"/>
      <selection pane="bottomLeft" activeCell="E302" sqref="E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1347601</v>
      </c>
      <c r="D5" s="466">
        <v>260186</v>
      </c>
      <c r="E5" s="466">
        <v>26862</v>
      </c>
      <c r="F5" s="466">
        <v>39045</v>
      </c>
      <c r="G5" s="466">
        <v>1132</v>
      </c>
      <c r="H5" s="466">
        <v>1394</v>
      </c>
      <c r="I5" s="467"/>
      <c r="J5" s="467"/>
      <c r="K5" s="1670">
        <f>SUM(C5:J5)</f>
        <v>1676220</v>
      </c>
      <c r="L5" s="466">
        <v>1707175</v>
      </c>
    </row>
    <row r="6" spans="1:14" x14ac:dyDescent="0.2">
      <c r="A6" s="1503" t="s">
        <v>1433</v>
      </c>
      <c r="B6" s="614" t="s">
        <v>1431</v>
      </c>
      <c r="C6" s="477"/>
      <c r="D6" s="477"/>
      <c r="E6" s="466"/>
      <c r="F6" s="477"/>
      <c r="G6" s="477"/>
      <c r="H6" s="477"/>
      <c r="I6" s="477"/>
      <c r="J6" s="477"/>
      <c r="K6" s="1670">
        <f>SUM(C6,E6)</f>
        <v>0</v>
      </c>
      <c r="L6" s="466">
        <v>0</v>
      </c>
    </row>
    <row r="7" spans="1:14" x14ac:dyDescent="0.2">
      <c r="A7" s="1503" t="s">
        <v>163</v>
      </c>
      <c r="B7" s="614" t="s">
        <v>967</v>
      </c>
      <c r="C7" s="467"/>
      <c r="D7" s="467"/>
      <c r="E7" s="467"/>
      <c r="F7" s="467"/>
      <c r="G7" s="467"/>
      <c r="H7" s="467"/>
      <c r="I7" s="467"/>
      <c r="J7" s="467"/>
      <c r="K7" s="1670">
        <f t="shared" ref="K7:K32" si="0">SUM(C7:J7)</f>
        <v>0</v>
      </c>
      <c r="L7" s="466">
        <v>0</v>
      </c>
    </row>
    <row r="8" spans="1:14" x14ac:dyDescent="0.2">
      <c r="A8" s="1503" t="s">
        <v>164</v>
      </c>
      <c r="B8" s="614">
        <v>1200</v>
      </c>
      <c r="C8" s="466">
        <v>222177</v>
      </c>
      <c r="D8" s="466">
        <v>29867</v>
      </c>
      <c r="E8" s="466"/>
      <c r="F8" s="466">
        <v>1462</v>
      </c>
      <c r="G8" s="466"/>
      <c r="H8" s="466"/>
      <c r="I8" s="467"/>
      <c r="J8" s="467"/>
      <c r="K8" s="1670">
        <f t="shared" si="0"/>
        <v>253506</v>
      </c>
      <c r="L8" s="466">
        <v>266910</v>
      </c>
    </row>
    <row r="9" spans="1:14" x14ac:dyDescent="0.2">
      <c r="A9" s="1503" t="s">
        <v>721</v>
      </c>
      <c r="B9" s="614" t="s">
        <v>968</v>
      </c>
      <c r="C9" s="467">
        <v>55033</v>
      </c>
      <c r="D9" s="467">
        <v>1238</v>
      </c>
      <c r="E9" s="467">
        <v>161</v>
      </c>
      <c r="F9" s="467"/>
      <c r="G9" s="467"/>
      <c r="H9" s="467"/>
      <c r="I9" s="467"/>
      <c r="J9" s="467"/>
      <c r="K9" s="1670">
        <f t="shared" si="0"/>
        <v>56432</v>
      </c>
      <c r="L9" s="466">
        <v>58583</v>
      </c>
    </row>
    <row r="10" spans="1:14" x14ac:dyDescent="0.2">
      <c r="A10" s="1503" t="s">
        <v>722</v>
      </c>
      <c r="B10" s="614">
        <v>1250</v>
      </c>
      <c r="C10" s="466">
        <v>59077</v>
      </c>
      <c r="D10" s="466">
        <v>16709</v>
      </c>
      <c r="E10" s="466">
        <v>1200</v>
      </c>
      <c r="F10" s="466">
        <v>235</v>
      </c>
      <c r="G10" s="466"/>
      <c r="H10" s="466"/>
      <c r="I10" s="467"/>
      <c r="J10" s="467"/>
      <c r="K10" s="1670">
        <f t="shared" si="0"/>
        <v>77221</v>
      </c>
      <c r="L10" s="466">
        <v>78107</v>
      </c>
    </row>
    <row r="11" spans="1:14" x14ac:dyDescent="0.2">
      <c r="A11" s="1503" t="s">
        <v>1130</v>
      </c>
      <c r="B11" s="614" t="s">
        <v>161</v>
      </c>
      <c r="C11" s="467"/>
      <c r="D11" s="467"/>
      <c r="E11" s="467"/>
      <c r="F11" s="467"/>
      <c r="G11" s="467"/>
      <c r="H11" s="467"/>
      <c r="I11" s="467"/>
      <c r="J11" s="467"/>
      <c r="K11" s="1670">
        <f t="shared" si="0"/>
        <v>0</v>
      </c>
      <c r="L11" s="466">
        <v>0</v>
      </c>
    </row>
    <row r="12" spans="1:14" x14ac:dyDescent="0.2">
      <c r="A12" s="1503" t="s">
        <v>962</v>
      </c>
      <c r="B12" s="614">
        <v>1300</v>
      </c>
      <c r="C12" s="466"/>
      <c r="D12" s="466"/>
      <c r="E12" s="466"/>
      <c r="F12" s="466"/>
      <c r="G12" s="466"/>
      <c r="H12" s="466"/>
      <c r="I12" s="467"/>
      <c r="J12" s="467"/>
      <c r="K12" s="1670">
        <f t="shared" si="0"/>
        <v>0</v>
      </c>
      <c r="L12" s="466">
        <v>0</v>
      </c>
    </row>
    <row r="13" spans="1:14" x14ac:dyDescent="0.2">
      <c r="A13" s="1503" t="s">
        <v>723</v>
      </c>
      <c r="B13" s="614">
        <v>1400</v>
      </c>
      <c r="C13" s="466">
        <v>969</v>
      </c>
      <c r="D13" s="466">
        <v>117</v>
      </c>
      <c r="E13" s="466">
        <v>969</v>
      </c>
      <c r="F13" s="466">
        <v>4733</v>
      </c>
      <c r="G13" s="466">
        <v>2549</v>
      </c>
      <c r="H13" s="466"/>
      <c r="I13" s="467"/>
      <c r="J13" s="467"/>
      <c r="K13" s="1670">
        <f t="shared" si="0"/>
        <v>9337</v>
      </c>
      <c r="L13" s="466">
        <v>11820</v>
      </c>
    </row>
    <row r="14" spans="1:14" x14ac:dyDescent="0.2">
      <c r="A14" s="1503" t="s">
        <v>963</v>
      </c>
      <c r="B14" s="614">
        <v>1500</v>
      </c>
      <c r="C14" s="466">
        <v>63013</v>
      </c>
      <c r="D14" s="466">
        <v>584</v>
      </c>
      <c r="E14" s="466">
        <v>18193</v>
      </c>
      <c r="F14" s="466">
        <v>17850</v>
      </c>
      <c r="G14" s="466"/>
      <c r="H14" s="466">
        <v>1379</v>
      </c>
      <c r="I14" s="467"/>
      <c r="J14" s="467"/>
      <c r="K14" s="1670">
        <f t="shared" si="0"/>
        <v>101019</v>
      </c>
      <c r="L14" s="466">
        <v>104200</v>
      </c>
    </row>
    <row r="15" spans="1:14" x14ac:dyDescent="0.2">
      <c r="A15" s="1503" t="s">
        <v>964</v>
      </c>
      <c r="B15" s="614">
        <v>1600</v>
      </c>
      <c r="C15" s="466"/>
      <c r="D15" s="466"/>
      <c r="E15" s="466"/>
      <c r="F15" s="466"/>
      <c r="G15" s="466"/>
      <c r="H15" s="466"/>
      <c r="I15" s="467"/>
      <c r="J15" s="467"/>
      <c r="K15" s="1670">
        <f t="shared" si="0"/>
        <v>0</v>
      </c>
      <c r="L15" s="466">
        <v>0</v>
      </c>
    </row>
    <row r="16" spans="1:14" x14ac:dyDescent="0.2">
      <c r="A16" s="1503" t="s">
        <v>987</v>
      </c>
      <c r="B16" s="614" t="s">
        <v>424</v>
      </c>
      <c r="C16" s="466"/>
      <c r="D16" s="466"/>
      <c r="E16" s="466"/>
      <c r="F16" s="466"/>
      <c r="G16" s="466"/>
      <c r="H16" s="466"/>
      <c r="I16" s="467"/>
      <c r="J16" s="467"/>
      <c r="K16" s="1670">
        <f t="shared" si="0"/>
        <v>0</v>
      </c>
      <c r="L16" s="466">
        <v>0</v>
      </c>
    </row>
    <row r="17" spans="1:12" x14ac:dyDescent="0.2">
      <c r="A17" s="1503" t="s">
        <v>724</v>
      </c>
      <c r="B17" s="614" t="s">
        <v>162</v>
      </c>
      <c r="C17" s="467">
        <v>29877</v>
      </c>
      <c r="D17" s="467">
        <v>672</v>
      </c>
      <c r="E17" s="467">
        <v>1262</v>
      </c>
      <c r="F17" s="467">
        <v>1054</v>
      </c>
      <c r="G17" s="467"/>
      <c r="H17" s="467"/>
      <c r="I17" s="467"/>
      <c r="J17" s="467"/>
      <c r="K17" s="1670">
        <f t="shared" si="0"/>
        <v>32865</v>
      </c>
      <c r="L17" s="466">
        <v>33330</v>
      </c>
    </row>
    <row r="18" spans="1:12" x14ac:dyDescent="0.2">
      <c r="A18" s="1503" t="s">
        <v>1087</v>
      </c>
      <c r="B18" s="614">
        <v>1800</v>
      </c>
      <c r="C18" s="466"/>
      <c r="D18" s="466"/>
      <c r="E18" s="466"/>
      <c r="F18" s="466"/>
      <c r="G18" s="466"/>
      <c r="H18" s="466"/>
      <c r="I18" s="467"/>
      <c r="J18" s="467"/>
      <c r="K18" s="1670">
        <f t="shared" si="0"/>
        <v>0</v>
      </c>
      <c r="L18" s="466">
        <v>0</v>
      </c>
    </row>
    <row r="19" spans="1:12" x14ac:dyDescent="0.2">
      <c r="A19" s="1503" t="s">
        <v>134</v>
      </c>
      <c r="B19" s="614">
        <v>1900</v>
      </c>
      <c r="C19" s="466">
        <v>1776</v>
      </c>
      <c r="D19" s="466">
        <v>40</v>
      </c>
      <c r="E19" s="466"/>
      <c r="F19" s="466"/>
      <c r="G19" s="466"/>
      <c r="H19" s="466"/>
      <c r="I19" s="467"/>
      <c r="J19" s="467"/>
      <c r="K19" s="1670">
        <f t="shared" si="0"/>
        <v>1816</v>
      </c>
      <c r="L19" s="466">
        <v>1845</v>
      </c>
    </row>
    <row r="20" spans="1:12" x14ac:dyDescent="0.2">
      <c r="A20" s="1504" t="s">
        <v>738</v>
      </c>
      <c r="B20" s="602" t="s">
        <v>725</v>
      </c>
      <c r="C20" s="477"/>
      <c r="D20" s="477"/>
      <c r="E20" s="477"/>
      <c r="F20" s="477"/>
      <c r="G20" s="477"/>
      <c r="H20" s="474"/>
      <c r="I20" s="616"/>
      <c r="J20" s="475"/>
      <c r="K20" s="1670">
        <f t="shared" si="0"/>
        <v>0</v>
      </c>
      <c r="L20" s="471">
        <v>0</v>
      </c>
    </row>
    <row r="21" spans="1:12" x14ac:dyDescent="0.2">
      <c r="A21" s="1504" t="s">
        <v>739</v>
      </c>
      <c r="B21" s="602" t="s">
        <v>726</v>
      </c>
      <c r="C21" s="477"/>
      <c r="D21" s="477"/>
      <c r="E21" s="477"/>
      <c r="F21" s="477"/>
      <c r="G21" s="477"/>
      <c r="H21" s="474"/>
      <c r="I21" s="616"/>
      <c r="J21" s="477"/>
      <c r="K21" s="1670">
        <f t="shared" si="0"/>
        <v>0</v>
      </c>
      <c r="L21" s="471">
        <v>0</v>
      </c>
    </row>
    <row r="22" spans="1:12" x14ac:dyDescent="0.2">
      <c r="A22" s="1504" t="s">
        <v>740</v>
      </c>
      <c r="B22" s="602" t="s">
        <v>727</v>
      </c>
      <c r="C22" s="477"/>
      <c r="D22" s="477"/>
      <c r="E22" s="477"/>
      <c r="F22" s="477"/>
      <c r="G22" s="477"/>
      <c r="H22" s="474"/>
      <c r="I22" s="616"/>
      <c r="J22" s="477"/>
      <c r="K22" s="1670">
        <f t="shared" si="0"/>
        <v>0</v>
      </c>
      <c r="L22" s="471">
        <v>0</v>
      </c>
    </row>
    <row r="23" spans="1:12" x14ac:dyDescent="0.2">
      <c r="A23" s="1504" t="s">
        <v>741</v>
      </c>
      <c r="B23" s="602" t="s">
        <v>728</v>
      </c>
      <c r="C23" s="477"/>
      <c r="D23" s="477"/>
      <c r="E23" s="477"/>
      <c r="F23" s="477"/>
      <c r="G23" s="477"/>
      <c r="H23" s="474"/>
      <c r="I23" s="616"/>
      <c r="J23" s="477"/>
      <c r="K23" s="1670">
        <f t="shared" si="0"/>
        <v>0</v>
      </c>
      <c r="L23" s="471">
        <v>0</v>
      </c>
    </row>
    <row r="24" spans="1:12" ht="12.75" customHeight="1" x14ac:dyDescent="0.2">
      <c r="A24" s="1504" t="s">
        <v>742</v>
      </c>
      <c r="B24" s="602" t="s">
        <v>729</v>
      </c>
      <c r="C24" s="477"/>
      <c r="D24" s="477"/>
      <c r="E24" s="477"/>
      <c r="F24" s="477"/>
      <c r="G24" s="477"/>
      <c r="H24" s="474"/>
      <c r="I24" s="616"/>
      <c r="J24" s="477"/>
      <c r="K24" s="1670">
        <f t="shared" si="0"/>
        <v>0</v>
      </c>
      <c r="L24" s="471">
        <v>0</v>
      </c>
    </row>
    <row r="25" spans="1:12" ht="12.75" customHeight="1" x14ac:dyDescent="0.2">
      <c r="A25" s="1504" t="s">
        <v>802</v>
      </c>
      <c r="B25" s="602" t="s">
        <v>730</v>
      </c>
      <c r="C25" s="477"/>
      <c r="D25" s="477"/>
      <c r="E25" s="477"/>
      <c r="F25" s="477"/>
      <c r="G25" s="477"/>
      <c r="H25" s="474"/>
      <c r="I25" s="616"/>
      <c r="J25" s="477"/>
      <c r="K25" s="1670">
        <f t="shared" si="0"/>
        <v>0</v>
      </c>
      <c r="L25" s="471">
        <v>0</v>
      </c>
    </row>
    <row r="26" spans="1:12" x14ac:dyDescent="0.2">
      <c r="A26" s="1504" t="s">
        <v>622</v>
      </c>
      <c r="B26" s="602" t="s">
        <v>731</v>
      </c>
      <c r="C26" s="477"/>
      <c r="D26" s="477"/>
      <c r="E26" s="477"/>
      <c r="F26" s="477"/>
      <c r="G26" s="477"/>
      <c r="H26" s="474"/>
      <c r="I26" s="616"/>
      <c r="J26" s="477"/>
      <c r="K26" s="1670">
        <f t="shared" si="0"/>
        <v>0</v>
      </c>
      <c r="L26" s="471">
        <v>0</v>
      </c>
    </row>
    <row r="27" spans="1:12" x14ac:dyDescent="0.2">
      <c r="A27" s="1504" t="s">
        <v>623</v>
      </c>
      <c r="B27" s="602" t="s">
        <v>732</v>
      </c>
      <c r="C27" s="477"/>
      <c r="D27" s="477"/>
      <c r="E27" s="477"/>
      <c r="F27" s="477"/>
      <c r="G27" s="477"/>
      <c r="H27" s="474"/>
      <c r="I27" s="616"/>
      <c r="J27" s="477"/>
      <c r="K27" s="1670">
        <f t="shared" si="0"/>
        <v>0</v>
      </c>
      <c r="L27" s="471">
        <v>0</v>
      </c>
    </row>
    <row r="28" spans="1:12" x14ac:dyDescent="0.2">
      <c r="A28" s="1504" t="s">
        <v>150</v>
      </c>
      <c r="B28" s="602" t="s">
        <v>733</v>
      </c>
      <c r="C28" s="477"/>
      <c r="D28" s="477"/>
      <c r="E28" s="477"/>
      <c r="F28" s="477"/>
      <c r="G28" s="477"/>
      <c r="H28" s="474"/>
      <c r="I28" s="616"/>
      <c r="J28" s="477"/>
      <c r="K28" s="1670">
        <f t="shared" si="0"/>
        <v>0</v>
      </c>
      <c r="L28" s="471">
        <v>0</v>
      </c>
    </row>
    <row r="29" spans="1:12" x14ac:dyDescent="0.2">
      <c r="A29" s="1504" t="s">
        <v>151</v>
      </c>
      <c r="B29" s="602" t="s">
        <v>734</v>
      </c>
      <c r="C29" s="477"/>
      <c r="D29" s="477"/>
      <c r="E29" s="477"/>
      <c r="F29" s="477"/>
      <c r="G29" s="477"/>
      <c r="H29" s="474"/>
      <c r="I29" s="616"/>
      <c r="J29" s="477"/>
      <c r="K29" s="1670">
        <f t="shared" si="0"/>
        <v>0</v>
      </c>
      <c r="L29" s="471">
        <v>0</v>
      </c>
    </row>
    <row r="30" spans="1:12" x14ac:dyDescent="0.2">
      <c r="A30" s="1504" t="s">
        <v>152</v>
      </c>
      <c r="B30" s="602" t="s">
        <v>735</v>
      </c>
      <c r="C30" s="477"/>
      <c r="D30" s="477"/>
      <c r="E30" s="477"/>
      <c r="F30" s="477"/>
      <c r="G30" s="477"/>
      <c r="H30" s="474"/>
      <c r="I30" s="616"/>
      <c r="J30" s="477"/>
      <c r="K30" s="1670">
        <f t="shared" si="0"/>
        <v>0</v>
      </c>
      <c r="L30" s="471">
        <v>0</v>
      </c>
    </row>
    <row r="31" spans="1:12" x14ac:dyDescent="0.2">
      <c r="A31" s="1504" t="s">
        <v>153</v>
      </c>
      <c r="B31" s="602" t="s">
        <v>736</v>
      </c>
      <c r="C31" s="477"/>
      <c r="D31" s="477"/>
      <c r="E31" s="477"/>
      <c r="F31" s="477"/>
      <c r="G31" s="477"/>
      <c r="H31" s="474"/>
      <c r="I31" s="616"/>
      <c r="J31" s="477"/>
      <c r="K31" s="1670">
        <f t="shared" si="0"/>
        <v>0</v>
      </c>
      <c r="L31" s="471">
        <v>0</v>
      </c>
    </row>
    <row r="32" spans="1:12" x14ac:dyDescent="0.2">
      <c r="A32" s="1505"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1779523</v>
      </c>
      <c r="D33" s="1669">
        <f t="shared" ref="D33:L33" si="1">SUM(D5:D32)</f>
        <v>309413</v>
      </c>
      <c r="E33" s="1669">
        <f t="shared" si="1"/>
        <v>48647</v>
      </c>
      <c r="F33" s="1669">
        <f t="shared" si="1"/>
        <v>64379</v>
      </c>
      <c r="G33" s="1669">
        <f t="shared" si="1"/>
        <v>3681</v>
      </c>
      <c r="H33" s="1669">
        <f t="shared" si="1"/>
        <v>2773</v>
      </c>
      <c r="I33" s="1669">
        <f t="shared" si="1"/>
        <v>0</v>
      </c>
      <c r="J33" s="1669">
        <f t="shared" si="1"/>
        <v>0</v>
      </c>
      <c r="K33" s="1669">
        <f t="shared" si="1"/>
        <v>2208416</v>
      </c>
      <c r="L33" s="1669">
        <f t="shared" si="1"/>
        <v>2261970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v>0</v>
      </c>
    </row>
    <row r="37" spans="1:14" x14ac:dyDescent="0.2">
      <c r="A37" s="1503" t="s">
        <v>1090</v>
      </c>
      <c r="B37" s="614">
        <v>2120</v>
      </c>
      <c r="C37" s="466">
        <v>53457</v>
      </c>
      <c r="D37" s="466">
        <v>1203</v>
      </c>
      <c r="E37" s="466"/>
      <c r="F37" s="466"/>
      <c r="G37" s="466"/>
      <c r="H37" s="466"/>
      <c r="I37" s="467"/>
      <c r="J37" s="467"/>
      <c r="K37" s="1670">
        <f t="shared" si="2"/>
        <v>54660</v>
      </c>
      <c r="L37" s="466">
        <v>55950</v>
      </c>
    </row>
    <row r="38" spans="1:14" x14ac:dyDescent="0.2">
      <c r="A38" s="1503" t="s">
        <v>198</v>
      </c>
      <c r="B38" s="614">
        <v>2130</v>
      </c>
      <c r="C38" s="466"/>
      <c r="D38" s="466"/>
      <c r="E38" s="466"/>
      <c r="F38" s="466"/>
      <c r="G38" s="466"/>
      <c r="H38" s="466"/>
      <c r="I38" s="467"/>
      <c r="J38" s="467"/>
      <c r="K38" s="1670">
        <f t="shared" si="2"/>
        <v>0</v>
      </c>
      <c r="L38" s="466">
        <v>750</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v>30165</v>
      </c>
      <c r="D40" s="466"/>
      <c r="E40" s="466"/>
      <c r="F40" s="466">
        <v>264</v>
      </c>
      <c r="G40" s="466"/>
      <c r="H40" s="466"/>
      <c r="I40" s="467"/>
      <c r="J40" s="467"/>
      <c r="K40" s="1670">
        <f t="shared" si="2"/>
        <v>30429</v>
      </c>
      <c r="L40" s="466">
        <v>31120</v>
      </c>
    </row>
    <row r="41" spans="1:14" x14ac:dyDescent="0.2">
      <c r="A41" s="1503" t="s">
        <v>1669</v>
      </c>
      <c r="B41" s="614">
        <v>2190</v>
      </c>
      <c r="C41" s="466"/>
      <c r="D41" s="466"/>
      <c r="E41" s="466">
        <v>31042</v>
      </c>
      <c r="F41" s="466">
        <v>27341</v>
      </c>
      <c r="G41" s="466">
        <v>9979</v>
      </c>
      <c r="H41" s="466"/>
      <c r="I41" s="467"/>
      <c r="J41" s="467"/>
      <c r="K41" s="1670">
        <f t="shared" si="2"/>
        <v>68362</v>
      </c>
      <c r="L41" s="466">
        <v>73100</v>
      </c>
    </row>
    <row r="42" spans="1:14" ht="12.75" customHeight="1" thickBot="1" x14ac:dyDescent="0.25">
      <c r="A42" s="1667" t="s">
        <v>560</v>
      </c>
      <c r="B42" s="1668" t="s">
        <v>716</v>
      </c>
      <c r="C42" s="1669">
        <f>SUM(C36:C41)</f>
        <v>83622</v>
      </c>
      <c r="D42" s="1669">
        <f t="shared" ref="D42:L42" si="3">SUM(D36:D41)</f>
        <v>1203</v>
      </c>
      <c r="E42" s="1669">
        <f t="shared" si="3"/>
        <v>31042</v>
      </c>
      <c r="F42" s="1669">
        <f t="shared" si="3"/>
        <v>27605</v>
      </c>
      <c r="G42" s="1669">
        <f t="shared" si="3"/>
        <v>9979</v>
      </c>
      <c r="H42" s="1669">
        <f t="shared" si="3"/>
        <v>0</v>
      </c>
      <c r="I42" s="1669">
        <f t="shared" si="3"/>
        <v>0</v>
      </c>
      <c r="J42" s="1669">
        <f t="shared" si="3"/>
        <v>0</v>
      </c>
      <c r="K42" s="1669">
        <f t="shared" si="3"/>
        <v>153451</v>
      </c>
      <c r="L42" s="1669">
        <f t="shared" si="3"/>
        <v>160920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6208</v>
      </c>
      <c r="D44" s="481">
        <v>140</v>
      </c>
      <c r="E44" s="481"/>
      <c r="F44" s="481"/>
      <c r="G44" s="481"/>
      <c r="H44" s="481">
        <v>2055</v>
      </c>
      <c r="I44" s="467"/>
      <c r="J44" s="467"/>
      <c r="K44" s="1671">
        <f>SUM(C44:J44)</f>
        <v>8403</v>
      </c>
      <c r="L44" s="481">
        <v>15620</v>
      </c>
    </row>
    <row r="45" spans="1:14" x14ac:dyDescent="0.2">
      <c r="A45" s="1503" t="s">
        <v>815</v>
      </c>
      <c r="B45" s="614">
        <v>2220</v>
      </c>
      <c r="C45" s="466"/>
      <c r="D45" s="466"/>
      <c r="E45" s="466">
        <v>728</v>
      </c>
      <c r="F45" s="466">
        <v>122</v>
      </c>
      <c r="G45" s="466"/>
      <c r="H45" s="466"/>
      <c r="I45" s="467"/>
      <c r="J45" s="467"/>
      <c r="K45" s="1671">
        <f>SUM(C45:J45)</f>
        <v>850</v>
      </c>
      <c r="L45" s="466">
        <v>1230</v>
      </c>
    </row>
    <row r="46" spans="1:14" x14ac:dyDescent="0.2">
      <c r="A46" s="1503" t="s">
        <v>816</v>
      </c>
      <c r="B46" s="614">
        <v>2230</v>
      </c>
      <c r="C46" s="466"/>
      <c r="D46" s="466"/>
      <c r="E46" s="466"/>
      <c r="F46" s="466"/>
      <c r="G46" s="466"/>
      <c r="H46" s="466"/>
      <c r="I46" s="467"/>
      <c r="J46" s="467"/>
      <c r="K46" s="1671">
        <f>SUM(C46:J46)</f>
        <v>0</v>
      </c>
      <c r="L46" s="466">
        <v>0</v>
      </c>
    </row>
    <row r="47" spans="1:14" ht="12.75" customHeight="1" thickBot="1" x14ac:dyDescent="0.25">
      <c r="A47" s="1667" t="s">
        <v>561</v>
      </c>
      <c r="B47" s="1668" t="s">
        <v>32</v>
      </c>
      <c r="C47" s="1669">
        <f>SUM(C44:C46)</f>
        <v>6208</v>
      </c>
      <c r="D47" s="1669">
        <f t="shared" ref="D47:K47" si="4">SUM(D44:D46)</f>
        <v>140</v>
      </c>
      <c r="E47" s="1669">
        <f t="shared" si="4"/>
        <v>728</v>
      </c>
      <c r="F47" s="1669">
        <f t="shared" si="4"/>
        <v>122</v>
      </c>
      <c r="G47" s="1669">
        <f t="shared" si="4"/>
        <v>0</v>
      </c>
      <c r="H47" s="1669">
        <f t="shared" si="4"/>
        <v>2055</v>
      </c>
      <c r="I47" s="1669">
        <f t="shared" si="4"/>
        <v>0</v>
      </c>
      <c r="J47" s="1669">
        <f t="shared" si="4"/>
        <v>0</v>
      </c>
      <c r="K47" s="1669">
        <f t="shared" si="4"/>
        <v>9253</v>
      </c>
      <c r="L47" s="1669">
        <f>SUM(L44:L46)</f>
        <v>16850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3676</v>
      </c>
      <c r="D49" s="481"/>
      <c r="E49" s="481">
        <v>30437</v>
      </c>
      <c r="F49" s="481"/>
      <c r="G49" s="481"/>
      <c r="H49" s="481">
        <v>5087</v>
      </c>
      <c r="I49" s="467"/>
      <c r="J49" s="467"/>
      <c r="K49" s="1671">
        <f>SUM(C49:J49)</f>
        <v>39200</v>
      </c>
      <c r="L49" s="481">
        <v>42505</v>
      </c>
    </row>
    <row r="50" spans="1:14" x14ac:dyDescent="0.2">
      <c r="A50" s="1503" t="s">
        <v>818</v>
      </c>
      <c r="B50" s="614">
        <v>2320</v>
      </c>
      <c r="C50" s="466">
        <v>53439</v>
      </c>
      <c r="D50" s="466">
        <v>10927</v>
      </c>
      <c r="E50" s="466">
        <v>850</v>
      </c>
      <c r="F50" s="466"/>
      <c r="G50" s="466"/>
      <c r="H50" s="466">
        <v>825</v>
      </c>
      <c r="I50" s="467"/>
      <c r="J50" s="467"/>
      <c r="K50" s="1671">
        <f>SUM(C50:J50)</f>
        <v>66041</v>
      </c>
      <c r="L50" s="466">
        <v>66390</v>
      </c>
    </row>
    <row r="51" spans="1:14" x14ac:dyDescent="0.2">
      <c r="A51" s="1503" t="s">
        <v>42</v>
      </c>
      <c r="B51" s="614">
        <v>2330</v>
      </c>
      <c r="C51" s="466"/>
      <c r="D51" s="466"/>
      <c r="E51" s="466"/>
      <c r="F51" s="466"/>
      <c r="G51" s="466"/>
      <c r="H51" s="466"/>
      <c r="I51" s="467"/>
      <c r="J51" s="467"/>
      <c r="K51" s="1671">
        <f>SUM(C51:J51)</f>
        <v>0</v>
      </c>
      <c r="L51" s="466">
        <v>0</v>
      </c>
    </row>
    <row r="52" spans="1:14" ht="22.5" x14ac:dyDescent="0.2">
      <c r="A52" s="1504"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57115</v>
      </c>
      <c r="D53" s="1669">
        <f t="shared" ref="D53:L53" si="5">SUM(D49:D52)</f>
        <v>10927</v>
      </c>
      <c r="E53" s="1669">
        <f t="shared" si="5"/>
        <v>31287</v>
      </c>
      <c r="F53" s="1669">
        <f t="shared" si="5"/>
        <v>0</v>
      </c>
      <c r="G53" s="1669">
        <f t="shared" si="5"/>
        <v>0</v>
      </c>
      <c r="H53" s="1669">
        <f t="shared" si="5"/>
        <v>5912</v>
      </c>
      <c r="I53" s="1669">
        <f t="shared" si="5"/>
        <v>0</v>
      </c>
      <c r="J53" s="1669">
        <f t="shared" si="5"/>
        <v>0</v>
      </c>
      <c r="K53" s="1669">
        <f t="shared" si="5"/>
        <v>105241</v>
      </c>
      <c r="L53" s="1669">
        <f t="shared" si="5"/>
        <v>108895</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205186</v>
      </c>
      <c r="D55" s="481">
        <v>13728</v>
      </c>
      <c r="E55" s="481">
        <v>12358</v>
      </c>
      <c r="F55" s="481">
        <v>3522</v>
      </c>
      <c r="G55" s="481"/>
      <c r="H55" s="481">
        <v>3420</v>
      </c>
      <c r="I55" s="467"/>
      <c r="J55" s="467"/>
      <c r="K55" s="1671">
        <f>SUM(C55:J55)</f>
        <v>238214</v>
      </c>
      <c r="L55" s="481">
        <v>243870</v>
      </c>
    </row>
    <row r="56" spans="1:14" ht="12.75" customHeight="1" x14ac:dyDescent="0.2">
      <c r="A56" s="1507"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205186</v>
      </c>
      <c r="D57" s="1673">
        <f t="shared" ref="D57:K57" si="6">SUM(D55:D56)</f>
        <v>13728</v>
      </c>
      <c r="E57" s="1673">
        <f t="shared" si="6"/>
        <v>12358</v>
      </c>
      <c r="F57" s="1673">
        <f t="shared" si="6"/>
        <v>3522</v>
      </c>
      <c r="G57" s="1673">
        <f t="shared" si="6"/>
        <v>0</v>
      </c>
      <c r="H57" s="1673">
        <f t="shared" si="6"/>
        <v>3420</v>
      </c>
      <c r="I57" s="1673">
        <f t="shared" si="6"/>
        <v>0</v>
      </c>
      <c r="J57" s="1673">
        <f t="shared" si="6"/>
        <v>0</v>
      </c>
      <c r="K57" s="1673">
        <f t="shared" si="6"/>
        <v>238214</v>
      </c>
      <c r="L57" s="1669">
        <f>SUM(L55:L56)</f>
        <v>243870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3" t="s">
        <v>463</v>
      </c>
      <c r="B60" s="614">
        <v>2520</v>
      </c>
      <c r="C60" s="466">
        <v>46715</v>
      </c>
      <c r="D60" s="466"/>
      <c r="E60" s="466">
        <v>1213</v>
      </c>
      <c r="F60" s="466"/>
      <c r="G60" s="466"/>
      <c r="H60" s="466"/>
      <c r="I60" s="467"/>
      <c r="J60" s="467"/>
      <c r="K60" s="1671">
        <f t="shared" si="7"/>
        <v>47928</v>
      </c>
      <c r="L60" s="466">
        <v>48615</v>
      </c>
      <c r="M60" s="609"/>
      <c r="N60" s="609"/>
    </row>
    <row r="61" spans="1:14" s="343" customFormat="1" x14ac:dyDescent="0.2">
      <c r="A61" s="1503" t="s">
        <v>197</v>
      </c>
      <c r="B61" s="614">
        <v>2540</v>
      </c>
      <c r="C61" s="466">
        <v>143303</v>
      </c>
      <c r="D61" s="466">
        <v>28627</v>
      </c>
      <c r="E61" s="466">
        <v>3960</v>
      </c>
      <c r="F61" s="466">
        <v>8343</v>
      </c>
      <c r="G61" s="466"/>
      <c r="H61" s="466"/>
      <c r="I61" s="467"/>
      <c r="J61" s="467"/>
      <c r="K61" s="1671">
        <f t="shared" si="7"/>
        <v>184233</v>
      </c>
      <c r="L61" s="466">
        <v>193210</v>
      </c>
      <c r="M61" s="609"/>
      <c r="N61" s="609"/>
    </row>
    <row r="62" spans="1:14" s="343" customFormat="1" x14ac:dyDescent="0.2">
      <c r="A62" s="1503" t="s">
        <v>953</v>
      </c>
      <c r="B62" s="614">
        <v>2550</v>
      </c>
      <c r="C62" s="466"/>
      <c r="D62" s="466"/>
      <c r="E62" s="466"/>
      <c r="F62" s="466"/>
      <c r="G62" s="466"/>
      <c r="H62" s="466"/>
      <c r="I62" s="467"/>
      <c r="J62" s="467"/>
      <c r="K62" s="1671">
        <f t="shared" si="7"/>
        <v>0</v>
      </c>
      <c r="L62" s="466">
        <v>0</v>
      </c>
      <c r="M62" s="609"/>
      <c r="N62" s="609"/>
    </row>
    <row r="63" spans="1:14" s="609" customFormat="1" x14ac:dyDescent="0.2">
      <c r="A63" s="1503" t="s">
        <v>100</v>
      </c>
      <c r="B63" s="614">
        <v>2560</v>
      </c>
      <c r="C63" s="466">
        <v>41974</v>
      </c>
      <c r="D63" s="466">
        <v>16678</v>
      </c>
      <c r="E63" s="466">
        <v>1041</v>
      </c>
      <c r="F63" s="466">
        <v>47620</v>
      </c>
      <c r="G63" s="466"/>
      <c r="H63" s="466">
        <v>625</v>
      </c>
      <c r="I63" s="467"/>
      <c r="J63" s="467"/>
      <c r="K63" s="1671">
        <f t="shared" si="7"/>
        <v>107938</v>
      </c>
      <c r="L63" s="466">
        <v>115160</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231992</v>
      </c>
      <c r="D65" s="1669">
        <f t="shared" ref="D65:L65" si="8">SUM(D59:D64)</f>
        <v>45305</v>
      </c>
      <c r="E65" s="1669">
        <f t="shared" si="8"/>
        <v>6214</v>
      </c>
      <c r="F65" s="1669">
        <f t="shared" si="8"/>
        <v>55963</v>
      </c>
      <c r="G65" s="1669">
        <f t="shared" si="8"/>
        <v>0</v>
      </c>
      <c r="H65" s="1669">
        <f t="shared" si="8"/>
        <v>625</v>
      </c>
      <c r="I65" s="1669">
        <f t="shared" si="8"/>
        <v>0</v>
      </c>
      <c r="J65" s="1669">
        <f t="shared" si="8"/>
        <v>0</v>
      </c>
      <c r="K65" s="1669">
        <f t="shared" si="8"/>
        <v>340099</v>
      </c>
      <c r="L65" s="1669">
        <f t="shared" si="8"/>
        <v>356985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v>0</v>
      </c>
      <c r="M67" s="609"/>
      <c r="N67" s="609"/>
    </row>
    <row r="68" spans="1:14" s="343" customFormat="1" x14ac:dyDescent="0.2">
      <c r="A68" s="1503" t="s">
        <v>607</v>
      </c>
      <c r="B68" s="614">
        <v>2620</v>
      </c>
      <c r="C68" s="466"/>
      <c r="D68" s="466"/>
      <c r="E68" s="466"/>
      <c r="F68" s="466"/>
      <c r="G68" s="466"/>
      <c r="H68" s="466"/>
      <c r="I68" s="467"/>
      <c r="J68" s="467"/>
      <c r="K68" s="1671">
        <f>SUM(C68:J68)</f>
        <v>0</v>
      </c>
      <c r="L68" s="466">
        <v>0</v>
      </c>
      <c r="M68" s="609"/>
      <c r="N68" s="609"/>
    </row>
    <row r="69" spans="1:14" s="343" customFormat="1" x14ac:dyDescent="0.2">
      <c r="A69" s="1503" t="s">
        <v>1061</v>
      </c>
      <c r="B69" s="614">
        <v>2630</v>
      </c>
      <c r="C69" s="466"/>
      <c r="D69" s="466"/>
      <c r="E69" s="466"/>
      <c r="F69" s="466"/>
      <c r="G69" s="466"/>
      <c r="H69" s="466"/>
      <c r="I69" s="467"/>
      <c r="J69" s="467"/>
      <c r="K69" s="1671">
        <f>SUM(C69:J69)</f>
        <v>0</v>
      </c>
      <c r="L69" s="466">
        <v>0</v>
      </c>
      <c r="M69" s="609"/>
      <c r="N69" s="609"/>
    </row>
    <row r="70" spans="1:14" s="343" customFormat="1" x14ac:dyDescent="0.2">
      <c r="A70" s="1503" t="s">
        <v>403</v>
      </c>
      <c r="B70" s="614">
        <v>2640</v>
      </c>
      <c r="C70" s="466"/>
      <c r="D70" s="466"/>
      <c r="E70" s="466"/>
      <c r="F70" s="466"/>
      <c r="G70" s="466"/>
      <c r="H70" s="466"/>
      <c r="I70" s="467"/>
      <c r="J70" s="467"/>
      <c r="K70" s="1671">
        <f>SUM(C70:J70)</f>
        <v>0</v>
      </c>
      <c r="L70" s="466">
        <v>0</v>
      </c>
      <c r="M70" s="609"/>
      <c r="N70" s="609"/>
    </row>
    <row r="71" spans="1:14" s="343" customFormat="1" x14ac:dyDescent="0.2">
      <c r="A71" s="1503"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v>0</v>
      </c>
      <c r="M73" s="609"/>
      <c r="N73" s="609"/>
    </row>
    <row r="74" spans="1:14" ht="12.75" customHeight="1" thickTop="1" thickBot="1" x14ac:dyDescent="0.25">
      <c r="A74" s="1667" t="s">
        <v>811</v>
      </c>
      <c r="B74" s="1675">
        <v>2000</v>
      </c>
      <c r="C74" s="1676">
        <f>SUM(C42,C47,C53,C57,C65,C72,C73)</f>
        <v>584123</v>
      </c>
      <c r="D74" s="1676">
        <f t="shared" ref="D74:K74" si="10">SUM(D42,D47,D53,D57,D65,D72,D73)</f>
        <v>71303</v>
      </c>
      <c r="E74" s="1676">
        <f t="shared" si="10"/>
        <v>81629</v>
      </c>
      <c r="F74" s="1676">
        <f t="shared" si="10"/>
        <v>87212</v>
      </c>
      <c r="G74" s="1676">
        <f t="shared" si="10"/>
        <v>9979</v>
      </c>
      <c r="H74" s="1676">
        <f t="shared" si="10"/>
        <v>12012</v>
      </c>
      <c r="I74" s="1676">
        <f t="shared" si="10"/>
        <v>0</v>
      </c>
      <c r="J74" s="1676">
        <f t="shared" si="10"/>
        <v>0</v>
      </c>
      <c r="K74" s="1676">
        <f t="shared" si="10"/>
        <v>846258</v>
      </c>
      <c r="L74" s="1676">
        <f>SUM(L42,L47,L53,L57,L65,L72,L73)</f>
        <v>887520</v>
      </c>
    </row>
    <row r="75" spans="1:14" s="259" customFormat="1" ht="15.75" customHeight="1" thickTop="1" thickBot="1" x14ac:dyDescent="0.25">
      <c r="A75" s="1609" t="s">
        <v>47</v>
      </c>
      <c r="B75" s="1610" t="s">
        <v>575</v>
      </c>
      <c r="C75" s="573">
        <v>5367</v>
      </c>
      <c r="D75" s="573">
        <v>567</v>
      </c>
      <c r="E75" s="573">
        <v>1710</v>
      </c>
      <c r="F75" s="573"/>
      <c r="G75" s="573"/>
      <c r="H75" s="573"/>
      <c r="I75" s="531"/>
      <c r="J75" s="531"/>
      <c r="K75" s="1669">
        <f>SUM(C75:J75)</f>
        <v>7644</v>
      </c>
      <c r="L75" s="576">
        <v>8358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v>0</v>
      </c>
    </row>
    <row r="79" spans="1:14" x14ac:dyDescent="0.2">
      <c r="A79" s="1503" t="s">
        <v>304</v>
      </c>
      <c r="B79" s="614">
        <v>4120</v>
      </c>
      <c r="C79" s="616"/>
      <c r="D79" s="616"/>
      <c r="E79" s="466"/>
      <c r="F79" s="616"/>
      <c r="G79" s="616"/>
      <c r="H79" s="466">
        <v>142840</v>
      </c>
      <c r="I79" s="477"/>
      <c r="J79" s="477"/>
      <c r="K79" s="1670">
        <f t="shared" si="11"/>
        <v>142840</v>
      </c>
      <c r="L79" s="466">
        <v>145150</v>
      </c>
    </row>
    <row r="80" spans="1:14" x14ac:dyDescent="0.2">
      <c r="A80" s="1503" t="s">
        <v>305</v>
      </c>
      <c r="B80" s="614">
        <v>4130</v>
      </c>
      <c r="C80" s="616"/>
      <c r="D80" s="616"/>
      <c r="E80" s="466"/>
      <c r="F80" s="616"/>
      <c r="G80" s="616"/>
      <c r="H80" s="466"/>
      <c r="I80" s="477"/>
      <c r="J80" s="477"/>
      <c r="K80" s="1670">
        <f t="shared" si="11"/>
        <v>0</v>
      </c>
      <c r="L80" s="466">
        <v>0</v>
      </c>
    </row>
    <row r="81" spans="1:12" x14ac:dyDescent="0.2">
      <c r="A81" s="1503" t="s">
        <v>697</v>
      </c>
      <c r="B81" s="614">
        <v>4140</v>
      </c>
      <c r="C81" s="616"/>
      <c r="D81" s="616"/>
      <c r="E81" s="466"/>
      <c r="F81" s="616"/>
      <c r="G81" s="616"/>
      <c r="H81" s="466"/>
      <c r="I81" s="477"/>
      <c r="J81" s="477"/>
      <c r="K81" s="1670">
        <f t="shared" si="11"/>
        <v>0</v>
      </c>
      <c r="L81" s="466">
        <v>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142840</v>
      </c>
      <c r="I84" s="477"/>
      <c r="J84" s="477"/>
      <c r="K84" s="1669">
        <f>SUM(K78:K83)</f>
        <v>142840</v>
      </c>
      <c r="L84" s="1669">
        <f>SUM(L78:L83)</f>
        <v>145150</v>
      </c>
    </row>
    <row r="85" spans="1:12" ht="12.75" customHeight="1" thickTop="1" thickBot="1" x14ac:dyDescent="0.25">
      <c r="A85" s="1510" t="s">
        <v>255</v>
      </c>
      <c r="B85" s="635">
        <v>4210</v>
      </c>
      <c r="C85" s="616"/>
      <c r="D85" s="616"/>
      <c r="E85" s="636"/>
      <c r="F85" s="616"/>
      <c r="G85" s="616"/>
      <c r="H85" s="535"/>
      <c r="I85" s="477"/>
      <c r="J85" s="477"/>
      <c r="K85" s="1676">
        <f>H85</f>
        <v>0</v>
      </c>
      <c r="L85" s="530">
        <v>0</v>
      </c>
    </row>
    <row r="86" spans="1:12" ht="12.75" customHeight="1" thickTop="1" thickBot="1" x14ac:dyDescent="0.25">
      <c r="A86" s="1511" t="s">
        <v>699</v>
      </c>
      <c r="B86" s="637">
        <v>4220</v>
      </c>
      <c r="C86" s="616"/>
      <c r="D86" s="616"/>
      <c r="E86" s="638"/>
      <c r="F86" s="616"/>
      <c r="G86" s="616"/>
      <c r="H86" s="467">
        <v>102551</v>
      </c>
      <c r="I86" s="477"/>
      <c r="J86" s="477"/>
      <c r="K86" s="1676">
        <f t="shared" ref="K86:K98" si="12">H86</f>
        <v>102551</v>
      </c>
      <c r="L86" s="530">
        <v>131000</v>
      </c>
    </row>
    <row r="87" spans="1:12" ht="14.25" thickTop="1" thickBot="1" x14ac:dyDescent="0.25">
      <c r="A87" s="1512" t="s">
        <v>700</v>
      </c>
      <c r="B87" s="639">
        <v>4230</v>
      </c>
      <c r="C87" s="616"/>
      <c r="D87" s="616"/>
      <c r="E87" s="638"/>
      <c r="F87" s="616"/>
      <c r="G87" s="616"/>
      <c r="H87" s="467"/>
      <c r="I87" s="477"/>
      <c r="J87" s="477"/>
      <c r="K87" s="1676">
        <f t="shared" si="12"/>
        <v>0</v>
      </c>
      <c r="L87" s="530">
        <v>0</v>
      </c>
    </row>
    <row r="88" spans="1:12" ht="12.75" customHeight="1" thickTop="1" thickBot="1" x14ac:dyDescent="0.25">
      <c r="A88" s="1512" t="s">
        <v>765</v>
      </c>
      <c r="B88" s="639">
        <v>4240</v>
      </c>
      <c r="C88" s="616"/>
      <c r="D88" s="616"/>
      <c r="E88" s="638"/>
      <c r="F88" s="616"/>
      <c r="G88" s="616"/>
      <c r="H88" s="467"/>
      <c r="I88" s="477"/>
      <c r="J88" s="477"/>
      <c r="K88" s="1676">
        <f t="shared" si="12"/>
        <v>0</v>
      </c>
      <c r="L88" s="530">
        <v>0</v>
      </c>
    </row>
    <row r="89" spans="1:12" ht="12.75" customHeight="1" thickTop="1" thickBot="1" x14ac:dyDescent="0.25">
      <c r="A89" s="1512" t="s">
        <v>701</v>
      </c>
      <c r="B89" s="639">
        <v>4270</v>
      </c>
      <c r="C89" s="616"/>
      <c r="D89" s="616"/>
      <c r="E89" s="638"/>
      <c r="F89" s="616"/>
      <c r="G89" s="616"/>
      <c r="H89" s="467"/>
      <c r="I89" s="477"/>
      <c r="J89" s="477"/>
      <c r="K89" s="1676">
        <f t="shared" si="12"/>
        <v>0</v>
      </c>
      <c r="L89" s="530">
        <v>0</v>
      </c>
    </row>
    <row r="90" spans="1:12" ht="12.75" customHeight="1" thickTop="1" thickBot="1" x14ac:dyDescent="0.25">
      <c r="A90" s="1512" t="s">
        <v>686</v>
      </c>
      <c r="B90" s="639">
        <v>4280</v>
      </c>
      <c r="C90" s="616"/>
      <c r="D90" s="616"/>
      <c r="E90" s="638"/>
      <c r="F90" s="616"/>
      <c r="G90" s="616"/>
      <c r="H90" s="467"/>
      <c r="I90" s="477"/>
      <c r="J90" s="477"/>
      <c r="K90" s="1676">
        <f t="shared" si="12"/>
        <v>0</v>
      </c>
      <c r="L90" s="530">
        <v>0</v>
      </c>
    </row>
    <row r="91" spans="1:12" ht="12.75" customHeight="1" thickTop="1" thickBot="1" x14ac:dyDescent="0.25">
      <c r="A91" s="1512"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102551</v>
      </c>
      <c r="I92" s="477"/>
      <c r="J92" s="477"/>
      <c r="K92" s="1676">
        <f t="shared" si="12"/>
        <v>102551</v>
      </c>
      <c r="L92" s="1669">
        <f>SUM(L85:L91)</f>
        <v>131000</v>
      </c>
    </row>
    <row r="93" spans="1:12" ht="14.25" thickTop="1" thickBot="1" x14ac:dyDescent="0.25">
      <c r="A93" s="1511" t="s">
        <v>688</v>
      </c>
      <c r="B93" s="640">
        <v>4310</v>
      </c>
      <c r="C93" s="616"/>
      <c r="D93" s="616"/>
      <c r="E93" s="638"/>
      <c r="F93" s="616"/>
      <c r="G93" s="616"/>
      <c r="H93" s="641"/>
      <c r="I93" s="477"/>
      <c r="J93" s="477"/>
      <c r="K93" s="1676">
        <f t="shared" si="12"/>
        <v>0</v>
      </c>
      <c r="L93" s="532">
        <v>0</v>
      </c>
    </row>
    <row r="94" spans="1:12" ht="12.75" customHeight="1" thickTop="1" thickBot="1" x14ac:dyDescent="0.25">
      <c r="A94" s="1512" t="s">
        <v>689</v>
      </c>
      <c r="B94" s="639">
        <v>4320</v>
      </c>
      <c r="C94" s="616"/>
      <c r="D94" s="616"/>
      <c r="E94" s="638"/>
      <c r="F94" s="616"/>
      <c r="G94" s="616"/>
      <c r="H94" s="467"/>
      <c r="I94" s="477"/>
      <c r="J94" s="477"/>
      <c r="K94" s="1676">
        <f t="shared" si="12"/>
        <v>0</v>
      </c>
      <c r="L94" s="530">
        <v>0</v>
      </c>
    </row>
    <row r="95" spans="1:12" ht="15" customHeight="1" thickTop="1" thickBot="1" x14ac:dyDescent="0.25">
      <c r="A95" s="1512" t="s">
        <v>1488</v>
      </c>
      <c r="B95" s="639">
        <v>4330</v>
      </c>
      <c r="C95" s="616"/>
      <c r="D95" s="616"/>
      <c r="E95" s="638"/>
      <c r="F95" s="616"/>
      <c r="G95" s="616"/>
      <c r="H95" s="467"/>
      <c r="I95" s="477"/>
      <c r="J95" s="477"/>
      <c r="K95" s="1676">
        <f t="shared" si="12"/>
        <v>0</v>
      </c>
      <c r="L95" s="530">
        <v>0</v>
      </c>
    </row>
    <row r="96" spans="1:12" ht="14.25" thickTop="1" thickBot="1" x14ac:dyDescent="0.25">
      <c r="A96" s="1512" t="s">
        <v>690</v>
      </c>
      <c r="B96" s="639">
        <v>4340</v>
      </c>
      <c r="C96" s="616"/>
      <c r="D96" s="616"/>
      <c r="E96" s="638"/>
      <c r="F96" s="616"/>
      <c r="G96" s="616"/>
      <c r="H96" s="467"/>
      <c r="I96" s="477"/>
      <c r="J96" s="477"/>
      <c r="K96" s="1676">
        <f t="shared" si="12"/>
        <v>0</v>
      </c>
      <c r="L96" s="530">
        <v>0</v>
      </c>
    </row>
    <row r="97" spans="1:14" ht="12.75" customHeight="1" thickTop="1" thickBot="1" x14ac:dyDescent="0.25">
      <c r="A97" s="1512" t="s">
        <v>763</v>
      </c>
      <c r="B97" s="639">
        <v>4370</v>
      </c>
      <c r="C97" s="616"/>
      <c r="D97" s="616"/>
      <c r="E97" s="638"/>
      <c r="F97" s="616"/>
      <c r="G97" s="616"/>
      <c r="H97" s="467"/>
      <c r="I97" s="477"/>
      <c r="J97" s="477"/>
      <c r="K97" s="1676">
        <f t="shared" si="12"/>
        <v>0</v>
      </c>
      <c r="L97" s="530">
        <v>0</v>
      </c>
    </row>
    <row r="98" spans="1:14" ht="14.25" thickTop="1" thickBot="1" x14ac:dyDescent="0.25">
      <c r="A98" s="1512" t="s">
        <v>764</v>
      </c>
      <c r="B98" s="639">
        <v>4380</v>
      </c>
      <c r="C98" s="616"/>
      <c r="D98" s="616"/>
      <c r="E98" s="642"/>
      <c r="F98" s="616"/>
      <c r="G98" s="616"/>
      <c r="H98" s="467"/>
      <c r="I98" s="477"/>
      <c r="J98" s="477"/>
      <c r="K98" s="1676">
        <f t="shared" si="12"/>
        <v>0</v>
      </c>
      <c r="L98" s="530">
        <v>0</v>
      </c>
    </row>
    <row r="99" spans="1:14" ht="14.25" thickTop="1" thickBot="1" x14ac:dyDescent="0.25">
      <c r="A99" s="1512"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245391</v>
      </c>
      <c r="I102" s="477"/>
      <c r="J102" s="477"/>
      <c r="K102" s="1676">
        <f>SUM(K84,K92,K100,K101)</f>
        <v>245391</v>
      </c>
      <c r="L102" s="1676">
        <f>SUM(L84,L92,L100,L101)</f>
        <v>276150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2369013</v>
      </c>
      <c r="D114" s="1669">
        <f t="shared" ref="D114:K114" si="13">SUM(D33,D74,D75,D102,D112,D113)</f>
        <v>381283</v>
      </c>
      <c r="E114" s="1669">
        <f t="shared" si="13"/>
        <v>131986</v>
      </c>
      <c r="F114" s="1669">
        <f t="shared" si="13"/>
        <v>151591</v>
      </c>
      <c r="G114" s="1669">
        <f t="shared" si="13"/>
        <v>13660</v>
      </c>
      <c r="H114" s="1669">
        <f>SUM(H33,H74,H75,H102,H112,H113)</f>
        <v>260176</v>
      </c>
      <c r="I114" s="1669">
        <f t="shared" si="13"/>
        <v>0</v>
      </c>
      <c r="J114" s="1669">
        <f t="shared" si="13"/>
        <v>0</v>
      </c>
      <c r="K114" s="1669">
        <f t="shared" si="13"/>
        <v>3307709</v>
      </c>
      <c r="L114" s="1669">
        <f>SUM(L33,L74,L75,L102,L112,L113)</f>
        <v>3433998</v>
      </c>
    </row>
    <row r="115" spans="1:14" ht="13.5" thickTop="1" x14ac:dyDescent="0.2">
      <c r="A115" s="2195" t="s">
        <v>996</v>
      </c>
      <c r="B115" s="2196"/>
      <c r="C115" s="618"/>
      <c r="D115" s="618"/>
      <c r="E115" s="618"/>
      <c r="F115" s="618"/>
      <c r="G115" s="618"/>
      <c r="H115" s="618"/>
      <c r="I115" s="618"/>
      <c r="J115" s="618"/>
      <c r="K115" s="1683">
        <f>'Revenues 9-14'!C268-'Expenditures 15-22'!K114</f>
        <v>178196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c r="D124" s="466"/>
      <c r="E124" s="466">
        <v>72015</v>
      </c>
      <c r="F124" s="466">
        <v>94639</v>
      </c>
      <c r="G124" s="466">
        <v>2613</v>
      </c>
      <c r="H124" s="466"/>
      <c r="I124" s="467"/>
      <c r="J124" s="467"/>
      <c r="K124" s="1669">
        <f>SUM(C124:J124)</f>
        <v>169267</v>
      </c>
      <c r="L124" s="466">
        <v>185700</v>
      </c>
    </row>
    <row r="125" spans="1:14" ht="14.25" thickTop="1" thickBot="1" x14ac:dyDescent="0.25">
      <c r="A125" s="1503" t="s">
        <v>953</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0</v>
      </c>
      <c r="D127" s="1669">
        <f t="shared" ref="D127:L127" si="14">SUM(D122:D126)</f>
        <v>0</v>
      </c>
      <c r="E127" s="1669">
        <f t="shared" si="14"/>
        <v>72015</v>
      </c>
      <c r="F127" s="1669">
        <f t="shared" si="14"/>
        <v>94639</v>
      </c>
      <c r="G127" s="1669">
        <f t="shared" si="14"/>
        <v>2613</v>
      </c>
      <c r="H127" s="1669">
        <f t="shared" si="14"/>
        <v>0</v>
      </c>
      <c r="I127" s="1669">
        <f t="shared" si="14"/>
        <v>0</v>
      </c>
      <c r="J127" s="1669">
        <f t="shared" si="14"/>
        <v>0</v>
      </c>
      <c r="K127" s="1669">
        <f t="shared" si="14"/>
        <v>169267</v>
      </c>
      <c r="L127" s="1669">
        <f t="shared" si="14"/>
        <v>185700</v>
      </c>
    </row>
    <row r="128" spans="1:14" ht="12.75" customHeight="1" thickTop="1" x14ac:dyDescent="0.2">
      <c r="A128" s="1510"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0</v>
      </c>
      <c r="D129" s="1676">
        <f t="shared" ref="D129:L129" si="15">SUM(D120,D127,D128)</f>
        <v>0</v>
      </c>
      <c r="E129" s="1676">
        <f t="shared" si="15"/>
        <v>72015</v>
      </c>
      <c r="F129" s="1676">
        <f t="shared" si="15"/>
        <v>94639</v>
      </c>
      <c r="G129" s="1676">
        <f t="shared" si="15"/>
        <v>2613</v>
      </c>
      <c r="H129" s="1676">
        <f t="shared" si="15"/>
        <v>0</v>
      </c>
      <c r="I129" s="1676">
        <f t="shared" si="15"/>
        <v>0</v>
      </c>
      <c r="J129" s="1676">
        <f t="shared" si="15"/>
        <v>0</v>
      </c>
      <c r="K129" s="1676">
        <f t="shared" si="15"/>
        <v>169267</v>
      </c>
      <c r="L129" s="1676">
        <f t="shared" si="15"/>
        <v>185700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v>0</v>
      </c>
      <c r="M133" s="206"/>
      <c r="N133" s="206"/>
    </row>
    <row r="134" spans="1:14" x14ac:dyDescent="0.2">
      <c r="A134" s="1503" t="s">
        <v>304</v>
      </c>
      <c r="B134" s="614">
        <v>4120</v>
      </c>
      <c r="C134" s="616"/>
      <c r="D134" s="616"/>
      <c r="E134" s="478"/>
      <c r="F134" s="616"/>
      <c r="G134" s="616"/>
      <c r="H134" s="481"/>
      <c r="I134" s="477"/>
      <c r="J134" s="616"/>
      <c r="K134" s="1671">
        <f>SUM(E134,H134)</f>
        <v>0</v>
      </c>
      <c r="L134" s="481">
        <v>0</v>
      </c>
    </row>
    <row r="135" spans="1:14" x14ac:dyDescent="0.2">
      <c r="A135" s="1503" t="s">
        <v>697</v>
      </c>
      <c r="B135" s="614">
        <v>4140</v>
      </c>
      <c r="C135" s="616"/>
      <c r="D135" s="616"/>
      <c r="E135" s="467"/>
      <c r="F135" s="616"/>
      <c r="G135" s="616"/>
      <c r="H135" s="466"/>
      <c r="I135" s="477"/>
      <c r="J135" s="616"/>
      <c r="K135" s="1671">
        <f>SUM(E135,H135)</f>
        <v>0</v>
      </c>
      <c r="L135" s="466">
        <v>0</v>
      </c>
    </row>
    <row r="136" spans="1:14" x14ac:dyDescent="0.2">
      <c r="A136" s="1507"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1170</v>
      </c>
      <c r="B144" s="628" t="s">
        <v>617</v>
      </c>
      <c r="C144" s="616"/>
      <c r="D144" s="616"/>
      <c r="E144" s="616"/>
      <c r="F144" s="616"/>
      <c r="G144" s="616"/>
      <c r="H144" s="466"/>
      <c r="I144" s="468"/>
      <c r="J144" s="616"/>
      <c r="K144" s="1671">
        <f>SUM(H144)</f>
        <v>0</v>
      </c>
      <c r="L144" s="466">
        <v>0</v>
      </c>
    </row>
    <row r="145" spans="1:14" x14ac:dyDescent="0.2">
      <c r="A145" s="1503" t="s">
        <v>89</v>
      </c>
      <c r="B145" s="614" t="s">
        <v>589</v>
      </c>
      <c r="C145" s="616"/>
      <c r="D145" s="616"/>
      <c r="E145" s="616"/>
      <c r="F145" s="616"/>
      <c r="G145" s="616"/>
      <c r="H145" s="466"/>
      <c r="I145" s="468"/>
      <c r="J145" s="616"/>
      <c r="K145" s="1671">
        <f>SUM(H145)</f>
        <v>0</v>
      </c>
      <c r="L145" s="466">
        <v>0</v>
      </c>
    </row>
    <row r="146" spans="1:14" ht="12.75" customHeight="1" x14ac:dyDescent="0.2">
      <c r="A146" s="1503" t="s">
        <v>619</v>
      </c>
      <c r="B146" s="614" t="s">
        <v>618</v>
      </c>
      <c r="C146" s="616"/>
      <c r="D146" s="616"/>
      <c r="E146" s="616"/>
      <c r="F146" s="616"/>
      <c r="G146" s="616"/>
      <c r="H146" s="466"/>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85" t="s">
        <v>620</v>
      </c>
      <c r="B151" s="2167"/>
      <c r="C151" s="1669">
        <f>SUM(C129,C130,C139,C149,C150)</f>
        <v>0</v>
      </c>
      <c r="D151" s="1669">
        <f t="shared" ref="D151:K151" si="16">SUM(D129,D130,D139,D149,D150)</f>
        <v>0</v>
      </c>
      <c r="E151" s="1669">
        <f t="shared" si="16"/>
        <v>72015</v>
      </c>
      <c r="F151" s="1669">
        <f t="shared" si="16"/>
        <v>94639</v>
      </c>
      <c r="G151" s="1669">
        <f t="shared" si="16"/>
        <v>2613</v>
      </c>
      <c r="H151" s="1669">
        <f t="shared" si="16"/>
        <v>0</v>
      </c>
      <c r="I151" s="1669">
        <f t="shared" si="16"/>
        <v>0</v>
      </c>
      <c r="J151" s="1669">
        <f t="shared" si="16"/>
        <v>0</v>
      </c>
      <c r="K151" s="1669">
        <f t="shared" si="16"/>
        <v>169267</v>
      </c>
      <c r="L151" s="1669">
        <f>SUM(L129,L130,L139,L149,L150)</f>
        <v>185700</v>
      </c>
    </row>
    <row r="152" spans="1:14" ht="12.75" customHeight="1" thickTop="1" x14ac:dyDescent="0.2">
      <c r="A152" s="2188" t="s">
        <v>1178</v>
      </c>
      <c r="B152" s="2189"/>
      <c r="C152" s="618"/>
      <c r="D152" s="618"/>
      <c r="E152" s="618"/>
      <c r="F152" s="618"/>
      <c r="G152" s="618"/>
      <c r="H152" s="618"/>
      <c r="I152" s="618"/>
      <c r="J152" s="616"/>
      <c r="K152" s="1683">
        <f>'Revenues 9-14'!D268-'Expenditures 15-22'!K151</f>
        <v>33447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v>0</v>
      </c>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1170</v>
      </c>
      <c r="B165" s="614" t="s">
        <v>617</v>
      </c>
      <c r="C165" s="616"/>
      <c r="D165" s="616"/>
      <c r="E165" s="616"/>
      <c r="F165" s="616"/>
      <c r="G165" s="616"/>
      <c r="H165" s="466"/>
      <c r="I165" s="616"/>
      <c r="J165" s="616"/>
      <c r="K165" s="1670">
        <f>SUM(C165:J165)</f>
        <v>0</v>
      </c>
      <c r="L165" s="466">
        <v>0</v>
      </c>
    </row>
    <row r="166" spans="1:14" x14ac:dyDescent="0.2">
      <c r="A166" s="1503" t="s">
        <v>89</v>
      </c>
      <c r="B166" s="628" t="s">
        <v>589</v>
      </c>
      <c r="C166" s="616"/>
      <c r="D166" s="616"/>
      <c r="E166" s="616"/>
      <c r="F166" s="616"/>
      <c r="G166" s="616"/>
      <c r="H166" s="466"/>
      <c r="I166" s="616"/>
      <c r="J166" s="616"/>
      <c r="K166" s="1670">
        <f>SUM(C166:J166)</f>
        <v>0</v>
      </c>
      <c r="L166" s="466">
        <v>0</v>
      </c>
    </row>
    <row r="167" spans="1:14" ht="12.75" customHeight="1" x14ac:dyDescent="0.2">
      <c r="A167" s="1503"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103073</v>
      </c>
      <c r="I169" s="616"/>
      <c r="J169" s="616"/>
      <c r="K169" s="1670">
        <f>SUM(C169:H169)</f>
        <v>103073</v>
      </c>
      <c r="L169" s="656">
        <v>103073</v>
      </c>
    </row>
    <row r="170" spans="1:14" ht="33.75" customHeight="1" x14ac:dyDescent="0.2">
      <c r="A170" s="669" t="s">
        <v>1670</v>
      </c>
      <c r="B170" s="671" t="s">
        <v>31</v>
      </c>
      <c r="C170" s="616"/>
      <c r="D170" s="616"/>
      <c r="E170" s="616"/>
      <c r="F170" s="616"/>
      <c r="G170" s="616"/>
      <c r="H170" s="569">
        <v>280000</v>
      </c>
      <c r="I170" s="616"/>
      <c r="J170" s="616"/>
      <c r="K170" s="1670">
        <f>SUM(C170:J170)</f>
        <v>280000</v>
      </c>
      <c r="L170" s="569">
        <v>280000</v>
      </c>
    </row>
    <row r="171" spans="1:14" ht="15.75" customHeight="1" x14ac:dyDescent="0.2">
      <c r="A171" s="621" t="s">
        <v>766</v>
      </c>
      <c r="B171" s="672" t="s">
        <v>84</v>
      </c>
      <c r="C171" s="616"/>
      <c r="D171" s="616"/>
      <c r="E171" s="466"/>
      <c r="F171" s="616"/>
      <c r="G171" s="616"/>
      <c r="H171" s="569">
        <v>850</v>
      </c>
      <c r="I171" s="477"/>
      <c r="J171" s="616"/>
      <c r="K171" s="1670">
        <f>SUM(C171:J171)</f>
        <v>850</v>
      </c>
      <c r="L171" s="569">
        <v>850</v>
      </c>
    </row>
    <row r="172" spans="1:14" ht="12.75" customHeight="1" thickBot="1" x14ac:dyDescent="0.25">
      <c r="A172" s="1667" t="s">
        <v>638</v>
      </c>
      <c r="B172" s="1668" t="s">
        <v>492</v>
      </c>
      <c r="C172" s="616"/>
      <c r="D172" s="616"/>
      <c r="E172" s="1676">
        <f>SUM(E168,E169,E170,E171)</f>
        <v>0</v>
      </c>
      <c r="F172" s="616"/>
      <c r="G172" s="616"/>
      <c r="H172" s="1676">
        <f>SUM(H168,H169,H170,H171)</f>
        <v>383923</v>
      </c>
      <c r="I172" s="638"/>
      <c r="J172" s="616"/>
      <c r="K172" s="1676">
        <f>SUM(K168,K169,K170,K171)</f>
        <v>383923</v>
      </c>
      <c r="L172" s="1676">
        <f>SUM(L168,L169,L170,L171)</f>
        <v>383923</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383923</v>
      </c>
      <c r="I174" s="638"/>
      <c r="J174" s="616"/>
      <c r="K174" s="1676">
        <f>SUM(K160,K172,K173)</f>
        <v>383923</v>
      </c>
      <c r="L174" s="1676">
        <f>SUM(L160,L172,L173)</f>
        <v>383923</v>
      </c>
    </row>
    <row r="175" spans="1:14" ht="13.5" thickTop="1" x14ac:dyDescent="0.2">
      <c r="A175" s="2195" t="s">
        <v>996</v>
      </c>
      <c r="B175" s="2196"/>
      <c r="C175" s="616"/>
      <c r="D175" s="616"/>
      <c r="E175" s="616"/>
      <c r="F175" s="616"/>
      <c r="G175" s="616"/>
      <c r="H175" s="618"/>
      <c r="I175" s="616"/>
      <c r="J175" s="616"/>
      <c r="K175" s="1683">
        <f>'Revenues 9-14'!E268-'Expenditures 15-22'!K174</f>
        <v>11965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12892</v>
      </c>
      <c r="D182" s="466">
        <v>167</v>
      </c>
      <c r="E182" s="466">
        <v>182961</v>
      </c>
      <c r="F182" s="466">
        <v>3640</v>
      </c>
      <c r="G182" s="466">
        <v>27004</v>
      </c>
      <c r="H182" s="466"/>
      <c r="I182" s="467"/>
      <c r="J182" s="467"/>
      <c r="K182" s="1670">
        <f>SUM(C182:J182)</f>
        <v>226664</v>
      </c>
      <c r="L182" s="466">
        <v>232329</v>
      </c>
    </row>
    <row r="183" spans="1:14" ht="12.75" customHeight="1" thickBot="1" x14ac:dyDescent="0.25">
      <c r="A183" s="1508"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12892</v>
      </c>
      <c r="D184" s="1676">
        <f t="shared" ref="D184:J184" si="17">SUM(D180,D182,D183)</f>
        <v>167</v>
      </c>
      <c r="E184" s="1676">
        <f t="shared" si="17"/>
        <v>182961</v>
      </c>
      <c r="F184" s="1676">
        <f t="shared" si="17"/>
        <v>3640</v>
      </c>
      <c r="G184" s="1676">
        <f t="shared" si="17"/>
        <v>27004</v>
      </c>
      <c r="H184" s="1676">
        <f t="shared" si="17"/>
        <v>0</v>
      </c>
      <c r="I184" s="1676">
        <f t="shared" si="17"/>
        <v>0</v>
      </c>
      <c r="J184" s="1676">
        <f t="shared" si="17"/>
        <v>0</v>
      </c>
      <c r="K184" s="1676">
        <f>SUM(K180,K182,K183)</f>
        <v>226664</v>
      </c>
      <c r="L184" s="1676">
        <f>SUM(L180, L182:L183)</f>
        <v>232329</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v>0</v>
      </c>
    </row>
    <row r="189" spans="1:14" x14ac:dyDescent="0.2">
      <c r="A189" s="1503" t="s">
        <v>304</v>
      </c>
      <c r="B189" s="614">
        <v>4120</v>
      </c>
      <c r="C189" s="616"/>
      <c r="D189" s="616"/>
      <c r="E189" s="466"/>
      <c r="F189" s="616"/>
      <c r="G189" s="616"/>
      <c r="H189" s="466"/>
      <c r="I189" s="477"/>
      <c r="J189" s="616"/>
      <c r="K189" s="1670">
        <f t="shared" si="18"/>
        <v>0</v>
      </c>
      <c r="L189" s="466">
        <v>0</v>
      </c>
    </row>
    <row r="190" spans="1:14" x14ac:dyDescent="0.2">
      <c r="A190" s="1503" t="s">
        <v>305</v>
      </c>
      <c r="B190" s="628">
        <v>4130</v>
      </c>
      <c r="C190" s="616"/>
      <c r="D190" s="616"/>
      <c r="E190" s="466"/>
      <c r="F190" s="616"/>
      <c r="G190" s="616"/>
      <c r="H190" s="466"/>
      <c r="I190" s="477"/>
      <c r="J190" s="616"/>
      <c r="K190" s="1670">
        <f t="shared" si="18"/>
        <v>0</v>
      </c>
      <c r="L190" s="466">
        <v>0</v>
      </c>
    </row>
    <row r="191" spans="1:14" x14ac:dyDescent="0.2">
      <c r="A191" s="1503" t="s">
        <v>697</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1170</v>
      </c>
      <c r="B201" s="628" t="s">
        <v>617</v>
      </c>
      <c r="C201" s="616"/>
      <c r="D201" s="616"/>
      <c r="E201" s="616"/>
      <c r="F201" s="616"/>
      <c r="G201" s="616"/>
      <c r="H201" s="466"/>
      <c r="I201" s="616"/>
      <c r="J201" s="616"/>
      <c r="K201" s="1670">
        <f>SUM(H201)</f>
        <v>0</v>
      </c>
      <c r="L201" s="466">
        <v>0</v>
      </c>
    </row>
    <row r="202" spans="1:14" x14ac:dyDescent="0.2">
      <c r="A202" s="1503" t="s">
        <v>89</v>
      </c>
      <c r="B202" s="614" t="s">
        <v>589</v>
      </c>
      <c r="C202" s="616"/>
      <c r="D202" s="616"/>
      <c r="E202" s="616"/>
      <c r="F202" s="616"/>
      <c r="G202" s="616"/>
      <c r="H202" s="466"/>
      <c r="I202" s="616"/>
      <c r="J202" s="616"/>
      <c r="K202" s="1670">
        <f>SUM(H202)</f>
        <v>0</v>
      </c>
      <c r="L202" s="466">
        <v>0</v>
      </c>
    </row>
    <row r="203" spans="1:14" x14ac:dyDescent="0.2">
      <c r="A203" s="1515"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12892</v>
      </c>
      <c r="D210" s="1669">
        <f>SUM(D184,D185)</f>
        <v>167</v>
      </c>
      <c r="E210" s="1669">
        <f>SUM(E184,E185,E196)</f>
        <v>182961</v>
      </c>
      <c r="F210" s="1669">
        <f>SUM(F184,F185)</f>
        <v>3640</v>
      </c>
      <c r="G210" s="1669">
        <f>SUM(G184,G185)</f>
        <v>27004</v>
      </c>
      <c r="H210" s="1669">
        <f>SUM(H184,H185,H196,H208,H209)</f>
        <v>0</v>
      </c>
      <c r="I210" s="1669">
        <f>SUM(I184,I185)</f>
        <v>0</v>
      </c>
      <c r="J210" s="1669">
        <f>SUM(J184,J185)</f>
        <v>0</v>
      </c>
      <c r="K210" s="1670">
        <f>SUM(K184,K185,K196,K208,K209)</f>
        <v>226664</v>
      </c>
      <c r="L210" s="1669">
        <f>SUM(L184,L185,L196,L208,L209)</f>
        <v>232329</v>
      </c>
    </row>
    <row r="211" spans="1:14" ht="13.5" thickTop="1" x14ac:dyDescent="0.2">
      <c r="A211" s="2195" t="s">
        <v>996</v>
      </c>
      <c r="B211" s="2196"/>
      <c r="C211" s="618"/>
      <c r="D211" s="618"/>
      <c r="E211" s="618"/>
      <c r="F211" s="618"/>
      <c r="G211" s="618"/>
      <c r="H211" s="618"/>
      <c r="I211" s="616"/>
      <c r="J211" s="616"/>
      <c r="K211" s="1683">
        <f>'Revenues 9-14'!F268-'Expenditures 15-22'!K210</f>
        <v>-11001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30373</v>
      </c>
      <c r="E215" s="616"/>
      <c r="F215" s="616"/>
      <c r="G215" s="616"/>
      <c r="H215" s="616"/>
      <c r="I215" s="616"/>
      <c r="J215" s="616"/>
      <c r="K215" s="1670">
        <f>D215</f>
        <v>30373</v>
      </c>
      <c r="L215" s="466">
        <v>34530</v>
      </c>
    </row>
    <row r="216" spans="1:14" x14ac:dyDescent="0.2">
      <c r="A216" s="1503" t="s">
        <v>163</v>
      </c>
      <c r="B216" s="614" t="s">
        <v>967</v>
      </c>
      <c r="C216" s="616"/>
      <c r="D216" s="467"/>
      <c r="E216" s="616"/>
      <c r="F216" s="616"/>
      <c r="G216" s="616"/>
      <c r="H216" s="616"/>
      <c r="I216" s="616"/>
      <c r="J216" s="616"/>
      <c r="K216" s="1670">
        <f t="shared" ref="K216:K228" si="19">D216</f>
        <v>0</v>
      </c>
      <c r="L216" s="466">
        <v>0</v>
      </c>
    </row>
    <row r="217" spans="1:14" x14ac:dyDescent="0.2">
      <c r="A217" s="1503" t="s">
        <v>164</v>
      </c>
      <c r="B217" s="614">
        <v>1200</v>
      </c>
      <c r="C217" s="616"/>
      <c r="D217" s="466">
        <v>12460</v>
      </c>
      <c r="E217" s="616"/>
      <c r="F217" s="616"/>
      <c r="G217" s="616"/>
      <c r="H217" s="616"/>
      <c r="I217" s="616"/>
      <c r="J217" s="616"/>
      <c r="K217" s="1670">
        <f t="shared" si="19"/>
        <v>12460</v>
      </c>
      <c r="L217" s="466">
        <v>17000</v>
      </c>
    </row>
    <row r="218" spans="1:14" x14ac:dyDescent="0.2">
      <c r="A218" s="1503" t="s">
        <v>278</v>
      </c>
      <c r="B218" s="614" t="s">
        <v>968</v>
      </c>
      <c r="C218" s="616"/>
      <c r="D218" s="467">
        <v>783</v>
      </c>
      <c r="E218" s="616"/>
      <c r="F218" s="616"/>
      <c r="G218" s="616"/>
      <c r="H218" s="616"/>
      <c r="I218" s="616"/>
      <c r="J218" s="616"/>
      <c r="K218" s="1670">
        <f t="shared" si="19"/>
        <v>783</v>
      </c>
      <c r="L218" s="466">
        <v>800</v>
      </c>
    </row>
    <row r="219" spans="1:14" x14ac:dyDescent="0.2">
      <c r="A219" s="1503" t="s">
        <v>279</v>
      </c>
      <c r="B219" s="614">
        <v>1250</v>
      </c>
      <c r="C219" s="616"/>
      <c r="D219" s="466">
        <v>857</v>
      </c>
      <c r="E219" s="616"/>
      <c r="F219" s="616"/>
      <c r="G219" s="616"/>
      <c r="H219" s="616"/>
      <c r="I219" s="616"/>
      <c r="J219" s="616"/>
      <c r="K219" s="1670">
        <f t="shared" si="19"/>
        <v>857</v>
      </c>
      <c r="L219" s="466">
        <v>900</v>
      </c>
    </row>
    <row r="220" spans="1:14" x14ac:dyDescent="0.2">
      <c r="A220" s="1503" t="s">
        <v>280</v>
      </c>
      <c r="B220" s="614" t="s">
        <v>161</v>
      </c>
      <c r="C220" s="616"/>
      <c r="D220" s="467"/>
      <c r="E220" s="616"/>
      <c r="F220" s="616"/>
      <c r="G220" s="616"/>
      <c r="H220" s="616"/>
      <c r="I220" s="616"/>
      <c r="J220" s="616"/>
      <c r="K220" s="1670">
        <f t="shared" si="19"/>
        <v>0</v>
      </c>
      <c r="L220" s="466">
        <v>0</v>
      </c>
    </row>
    <row r="221" spans="1:14" x14ac:dyDescent="0.2">
      <c r="A221" s="1503" t="s">
        <v>962</v>
      </c>
      <c r="B221" s="614">
        <v>1300</v>
      </c>
      <c r="C221" s="616"/>
      <c r="D221" s="466"/>
      <c r="E221" s="616"/>
      <c r="F221" s="616"/>
      <c r="G221" s="616"/>
      <c r="H221" s="616"/>
      <c r="I221" s="616"/>
      <c r="J221" s="616"/>
      <c r="K221" s="1670">
        <f t="shared" si="19"/>
        <v>0</v>
      </c>
      <c r="L221" s="466">
        <v>0</v>
      </c>
    </row>
    <row r="222" spans="1:14" x14ac:dyDescent="0.2">
      <c r="A222" s="1503" t="s">
        <v>723</v>
      </c>
      <c r="B222" s="614">
        <v>1400</v>
      </c>
      <c r="C222" s="616"/>
      <c r="D222" s="466">
        <v>14</v>
      </c>
      <c r="E222" s="616"/>
      <c r="F222" s="616"/>
      <c r="G222" s="616"/>
      <c r="H222" s="616"/>
      <c r="I222" s="616"/>
      <c r="J222" s="616"/>
      <c r="K222" s="1670">
        <f t="shared" si="19"/>
        <v>14</v>
      </c>
      <c r="L222" s="466">
        <v>15</v>
      </c>
    </row>
    <row r="223" spans="1:14" x14ac:dyDescent="0.2">
      <c r="A223" s="1503" t="s">
        <v>963</v>
      </c>
      <c r="B223" s="614">
        <v>1500</v>
      </c>
      <c r="C223" s="616"/>
      <c r="D223" s="466">
        <v>3125</v>
      </c>
      <c r="E223" s="616"/>
      <c r="F223" s="616"/>
      <c r="G223" s="616"/>
      <c r="H223" s="616"/>
      <c r="I223" s="616"/>
      <c r="J223" s="616"/>
      <c r="K223" s="1670">
        <f t="shared" si="19"/>
        <v>3125</v>
      </c>
      <c r="L223" s="466">
        <v>3255</v>
      </c>
    </row>
    <row r="224" spans="1:14" x14ac:dyDescent="0.2">
      <c r="A224" s="1503" t="s">
        <v>964</v>
      </c>
      <c r="B224" s="614">
        <v>1600</v>
      </c>
      <c r="C224" s="616"/>
      <c r="D224" s="466"/>
      <c r="E224" s="616"/>
      <c r="F224" s="616"/>
      <c r="G224" s="616"/>
      <c r="H224" s="616"/>
      <c r="I224" s="616"/>
      <c r="J224" s="616"/>
      <c r="K224" s="1670">
        <f t="shared" si="19"/>
        <v>0</v>
      </c>
      <c r="L224" s="466">
        <v>0</v>
      </c>
    </row>
    <row r="225" spans="1:12" x14ac:dyDescent="0.2">
      <c r="A225" s="1503" t="s">
        <v>987</v>
      </c>
      <c r="B225" s="614">
        <v>1650</v>
      </c>
      <c r="C225" s="616"/>
      <c r="D225" s="466"/>
      <c r="E225" s="616"/>
      <c r="F225" s="616"/>
      <c r="G225" s="616"/>
      <c r="H225" s="616"/>
      <c r="I225" s="616"/>
      <c r="J225" s="616"/>
      <c r="K225" s="1670">
        <f t="shared" si="19"/>
        <v>0</v>
      </c>
      <c r="L225" s="466">
        <v>0</v>
      </c>
    </row>
    <row r="226" spans="1:12" x14ac:dyDescent="0.2">
      <c r="A226" s="1503" t="s">
        <v>724</v>
      </c>
      <c r="B226" s="614" t="s">
        <v>162</v>
      </c>
      <c r="C226" s="616"/>
      <c r="D226" s="467">
        <v>433</v>
      </c>
      <c r="E226" s="616"/>
      <c r="F226" s="616"/>
      <c r="G226" s="616"/>
      <c r="H226" s="616"/>
      <c r="I226" s="616"/>
      <c r="J226" s="616"/>
      <c r="K226" s="1670">
        <f t="shared" si="19"/>
        <v>433</v>
      </c>
      <c r="L226" s="466">
        <v>475</v>
      </c>
    </row>
    <row r="227" spans="1:12" x14ac:dyDescent="0.2">
      <c r="A227" s="1503" t="s">
        <v>1087</v>
      </c>
      <c r="B227" s="614">
        <v>1800</v>
      </c>
      <c r="C227" s="616"/>
      <c r="D227" s="466"/>
      <c r="E227" s="616"/>
      <c r="F227" s="616"/>
      <c r="G227" s="616"/>
      <c r="H227" s="616"/>
      <c r="I227" s="616"/>
      <c r="J227" s="616"/>
      <c r="K227" s="1670">
        <f t="shared" si="19"/>
        <v>0</v>
      </c>
      <c r="L227" s="466">
        <v>0</v>
      </c>
    </row>
    <row r="228" spans="1:12" x14ac:dyDescent="0.2">
      <c r="A228" s="1503" t="s">
        <v>1088</v>
      </c>
      <c r="B228" s="614">
        <v>1900</v>
      </c>
      <c r="C228" s="616"/>
      <c r="D228" s="466">
        <f>21+5</f>
        <v>26</v>
      </c>
      <c r="E228" s="616"/>
      <c r="F228" s="616"/>
      <c r="G228" s="616"/>
      <c r="H228" s="616"/>
      <c r="I228" s="616"/>
      <c r="J228" s="616"/>
      <c r="K228" s="1670">
        <f t="shared" si="19"/>
        <v>26</v>
      </c>
      <c r="L228" s="466">
        <v>30</v>
      </c>
    </row>
    <row r="229" spans="1:12" ht="12.75" customHeight="1" thickBot="1" x14ac:dyDescent="0.25">
      <c r="A229" s="1667" t="s">
        <v>715</v>
      </c>
      <c r="B229" s="1674" t="s">
        <v>570</v>
      </c>
      <c r="C229" s="616"/>
      <c r="D229" s="1669">
        <f>SUM(D215:D228)</f>
        <v>48071</v>
      </c>
      <c r="E229" s="616"/>
      <c r="F229" s="616"/>
      <c r="G229" s="616"/>
      <c r="H229" s="616"/>
      <c r="I229" s="616"/>
      <c r="J229" s="616"/>
      <c r="K229" s="1669">
        <f>SUM(K215:K228)</f>
        <v>48071</v>
      </c>
      <c r="L229" s="1669">
        <f>SUM(L215:L228)</f>
        <v>57005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v>0</v>
      </c>
    </row>
    <row r="233" spans="1:12" x14ac:dyDescent="0.2">
      <c r="A233" s="1503" t="s">
        <v>1090</v>
      </c>
      <c r="B233" s="614">
        <v>2120</v>
      </c>
      <c r="C233" s="616"/>
      <c r="D233" s="466">
        <v>566</v>
      </c>
      <c r="E233" s="616"/>
      <c r="F233" s="616"/>
      <c r="G233" s="616"/>
      <c r="H233" s="616"/>
      <c r="I233" s="616"/>
      <c r="J233" s="616"/>
      <c r="K233" s="1670">
        <f t="shared" si="20"/>
        <v>566</v>
      </c>
      <c r="L233" s="466">
        <v>900</v>
      </c>
    </row>
    <row r="234" spans="1:12" x14ac:dyDescent="0.2">
      <c r="A234" s="1503" t="s">
        <v>198</v>
      </c>
      <c r="B234" s="614">
        <v>2130</v>
      </c>
      <c r="C234" s="616"/>
      <c r="D234" s="466"/>
      <c r="E234" s="616"/>
      <c r="F234" s="616"/>
      <c r="G234" s="616"/>
      <c r="H234" s="616"/>
      <c r="I234" s="616"/>
      <c r="J234" s="616"/>
      <c r="K234" s="1670">
        <f t="shared" si="20"/>
        <v>0</v>
      </c>
      <c r="L234" s="466">
        <v>0</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v>437</v>
      </c>
      <c r="E236" s="616"/>
      <c r="F236" s="616"/>
      <c r="G236" s="616"/>
      <c r="H236" s="616"/>
      <c r="I236" s="616"/>
      <c r="J236" s="616"/>
      <c r="K236" s="1670">
        <f t="shared" si="20"/>
        <v>437</v>
      </c>
      <c r="L236" s="466">
        <v>500</v>
      </c>
    </row>
    <row r="237" spans="1:12" x14ac:dyDescent="0.2">
      <c r="A237" s="1503"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1003</v>
      </c>
      <c r="E238" s="616"/>
      <c r="F238" s="616"/>
      <c r="G238" s="616"/>
      <c r="H238" s="616"/>
      <c r="I238" s="616"/>
      <c r="J238" s="616"/>
      <c r="K238" s="1669">
        <f>SUM(K232:K237)</f>
        <v>1003</v>
      </c>
      <c r="L238" s="1669">
        <f>SUM(L232:L237)</f>
        <v>1400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90</v>
      </c>
      <c r="E240" s="616"/>
      <c r="F240" s="616"/>
      <c r="G240" s="616"/>
      <c r="H240" s="616"/>
      <c r="I240" s="616"/>
      <c r="J240" s="616"/>
      <c r="K240" s="1671">
        <f>D240</f>
        <v>90</v>
      </c>
      <c r="L240" s="481">
        <v>150</v>
      </c>
    </row>
    <row r="241" spans="1:12" x14ac:dyDescent="0.2">
      <c r="A241" s="1503" t="s">
        <v>815</v>
      </c>
      <c r="B241" s="614">
        <v>2220</v>
      </c>
      <c r="C241" s="616"/>
      <c r="D241" s="466"/>
      <c r="E241" s="616"/>
      <c r="F241" s="616"/>
      <c r="G241" s="616"/>
      <c r="H241" s="616"/>
      <c r="I241" s="616"/>
      <c r="J241" s="616"/>
      <c r="K241" s="1671">
        <f>D241</f>
        <v>0</v>
      </c>
      <c r="L241" s="466">
        <v>0</v>
      </c>
    </row>
    <row r="242" spans="1:12" x14ac:dyDescent="0.2">
      <c r="A242" s="1503"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90</v>
      </c>
      <c r="E243" s="616"/>
      <c r="F243" s="616"/>
      <c r="G243" s="616"/>
      <c r="H243" s="616"/>
      <c r="I243" s="616"/>
      <c r="J243" s="616"/>
      <c r="K243" s="1669">
        <f>SUM(K240:K242)</f>
        <v>90</v>
      </c>
      <c r="L243" s="1669">
        <f>SUM(L240:L242)</f>
        <v>150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281</v>
      </c>
      <c r="E245" s="616"/>
      <c r="F245" s="616"/>
      <c r="G245" s="616"/>
      <c r="H245" s="616"/>
      <c r="I245" s="616"/>
      <c r="J245" s="616"/>
      <c r="K245" s="1671">
        <f>D245</f>
        <v>281</v>
      </c>
      <c r="L245" s="481">
        <v>300</v>
      </c>
    </row>
    <row r="246" spans="1:12" x14ac:dyDescent="0.2">
      <c r="A246" s="1503" t="s">
        <v>818</v>
      </c>
      <c r="B246" s="614">
        <v>2320</v>
      </c>
      <c r="C246" s="616"/>
      <c r="D246" s="466">
        <v>759</v>
      </c>
      <c r="E246" s="616"/>
      <c r="F246" s="616"/>
      <c r="G246" s="616"/>
      <c r="H246" s="616"/>
      <c r="I246" s="616"/>
      <c r="J246" s="616"/>
      <c r="K246" s="1671">
        <f t="shared" ref="K246:K256" si="21">D246</f>
        <v>759</v>
      </c>
      <c r="L246" s="466">
        <v>800</v>
      </c>
    </row>
    <row r="247" spans="1:12" x14ac:dyDescent="0.2">
      <c r="A247" s="1503" t="s">
        <v>819</v>
      </c>
      <c r="B247" s="614">
        <v>2330</v>
      </c>
      <c r="C247" s="616"/>
      <c r="D247" s="466"/>
      <c r="E247" s="616"/>
      <c r="F247" s="616"/>
      <c r="G247" s="616"/>
      <c r="H247" s="616"/>
      <c r="I247" s="616"/>
      <c r="J247" s="616"/>
      <c r="K247" s="1671">
        <f t="shared" si="21"/>
        <v>0</v>
      </c>
      <c r="L247" s="466">
        <v>0</v>
      </c>
    </row>
    <row r="248" spans="1:12" x14ac:dyDescent="0.2">
      <c r="A248" s="1504" t="s">
        <v>299</v>
      </c>
      <c r="B248" s="602" t="s">
        <v>281</v>
      </c>
      <c r="C248" s="616"/>
      <c r="D248" s="474"/>
      <c r="E248" s="616"/>
      <c r="F248" s="616"/>
      <c r="G248" s="616"/>
      <c r="H248" s="616"/>
      <c r="I248" s="616"/>
      <c r="J248" s="616"/>
      <c r="K248" s="1671">
        <f t="shared" si="21"/>
        <v>0</v>
      </c>
      <c r="L248" s="466">
        <v>0</v>
      </c>
    </row>
    <row r="249" spans="1:12" x14ac:dyDescent="0.2">
      <c r="A249" s="1505" t="s">
        <v>1805</v>
      </c>
      <c r="B249" s="683" t="s">
        <v>282</v>
      </c>
      <c r="C249" s="616"/>
      <c r="D249" s="474"/>
      <c r="E249" s="616"/>
      <c r="F249" s="616"/>
      <c r="G249" s="616"/>
      <c r="H249" s="616"/>
      <c r="I249" s="616"/>
      <c r="J249" s="616"/>
      <c r="K249" s="1671">
        <f t="shared" si="21"/>
        <v>0</v>
      </c>
      <c r="L249" s="466">
        <v>0</v>
      </c>
    </row>
    <row r="250" spans="1:12" x14ac:dyDescent="0.2">
      <c r="A250" s="1504" t="s">
        <v>1806</v>
      </c>
      <c r="B250" s="602" t="s">
        <v>283</v>
      </c>
      <c r="C250" s="616"/>
      <c r="D250" s="474"/>
      <c r="E250" s="616"/>
      <c r="F250" s="616"/>
      <c r="G250" s="616"/>
      <c r="H250" s="616"/>
      <c r="I250" s="616"/>
      <c r="J250" s="616"/>
      <c r="K250" s="1671">
        <f t="shared" si="21"/>
        <v>0</v>
      </c>
      <c r="L250" s="466">
        <v>0</v>
      </c>
    </row>
    <row r="251" spans="1:12" x14ac:dyDescent="0.2">
      <c r="A251" s="1504" t="s">
        <v>238</v>
      </c>
      <c r="B251" s="602" t="s">
        <v>284</v>
      </c>
      <c r="C251" s="616"/>
      <c r="D251" s="474"/>
      <c r="E251" s="616"/>
      <c r="F251" s="616"/>
      <c r="G251" s="616"/>
      <c r="H251" s="616"/>
      <c r="I251" s="616"/>
      <c r="J251" s="616"/>
      <c r="K251" s="1671">
        <f t="shared" si="21"/>
        <v>0</v>
      </c>
      <c r="L251" s="466">
        <v>0</v>
      </c>
    </row>
    <row r="252" spans="1:12" x14ac:dyDescent="0.2">
      <c r="A252" s="1504" t="s">
        <v>702</v>
      </c>
      <c r="B252" s="602" t="s">
        <v>285</v>
      </c>
      <c r="C252" s="616"/>
      <c r="D252" s="474"/>
      <c r="E252" s="616"/>
      <c r="F252" s="616"/>
      <c r="G252" s="616"/>
      <c r="H252" s="616"/>
      <c r="I252" s="616"/>
      <c r="J252" s="616"/>
      <c r="K252" s="1671">
        <f t="shared" si="21"/>
        <v>0</v>
      </c>
      <c r="L252" s="466">
        <v>0</v>
      </c>
    </row>
    <row r="253" spans="1:12" x14ac:dyDescent="0.2">
      <c r="A253" s="1504" t="s">
        <v>239</v>
      </c>
      <c r="B253" s="602" t="s">
        <v>286</v>
      </c>
      <c r="C253" s="616"/>
      <c r="D253" s="474"/>
      <c r="E253" s="616"/>
      <c r="F253" s="616"/>
      <c r="G253" s="616"/>
      <c r="H253" s="616"/>
      <c r="I253" s="616"/>
      <c r="J253" s="616"/>
      <c r="K253" s="1671">
        <f t="shared" si="21"/>
        <v>0</v>
      </c>
      <c r="L253" s="466">
        <v>0</v>
      </c>
    </row>
    <row r="254" spans="1:12" ht="22.5" x14ac:dyDescent="0.2">
      <c r="A254" s="1504" t="s">
        <v>1029</v>
      </c>
      <c r="B254" s="683" t="s">
        <v>287</v>
      </c>
      <c r="C254" s="616"/>
      <c r="D254" s="474"/>
      <c r="E254" s="616"/>
      <c r="F254" s="616"/>
      <c r="G254" s="616"/>
      <c r="H254" s="616"/>
      <c r="I254" s="616"/>
      <c r="J254" s="616"/>
      <c r="K254" s="1671">
        <f t="shared" si="21"/>
        <v>0</v>
      </c>
      <c r="L254" s="466">
        <v>0</v>
      </c>
    </row>
    <row r="255" spans="1:12" x14ac:dyDescent="0.2">
      <c r="A255" s="1504" t="s">
        <v>1030</v>
      </c>
      <c r="B255" s="602" t="s">
        <v>288</v>
      </c>
      <c r="C255" s="616"/>
      <c r="D255" s="474"/>
      <c r="E255" s="616"/>
      <c r="F255" s="616"/>
      <c r="G255" s="616"/>
      <c r="H255" s="616"/>
      <c r="I255" s="616"/>
      <c r="J255" s="616"/>
      <c r="K255" s="1671">
        <f t="shared" si="21"/>
        <v>0</v>
      </c>
      <c r="L255" s="466">
        <v>0</v>
      </c>
    </row>
    <row r="256" spans="1:12" x14ac:dyDescent="0.2">
      <c r="A256" s="1504"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1040</v>
      </c>
      <c r="E257" s="616"/>
      <c r="F257" s="616"/>
      <c r="G257" s="616"/>
      <c r="H257" s="616"/>
      <c r="I257" s="616"/>
      <c r="J257" s="616"/>
      <c r="K257" s="1669">
        <f>SUM(K245:K256)</f>
        <v>1040</v>
      </c>
      <c r="L257" s="1669">
        <f>SUM(L245:L256)</f>
        <v>1100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10645</v>
      </c>
      <c r="E259" s="616"/>
      <c r="F259" s="616"/>
      <c r="G259" s="616"/>
      <c r="H259" s="616"/>
      <c r="I259" s="616"/>
      <c r="J259" s="616"/>
      <c r="K259" s="1671">
        <f>D259</f>
        <v>10645</v>
      </c>
      <c r="L259" s="481">
        <v>11500</v>
      </c>
    </row>
    <row r="260" spans="1:14" s="597" customFormat="1" x14ac:dyDescent="0.2">
      <c r="A260" s="1521"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10645</v>
      </c>
      <c r="E261" s="616"/>
      <c r="F261" s="616"/>
      <c r="G261" s="616"/>
      <c r="H261" s="616"/>
      <c r="I261" s="616"/>
      <c r="J261" s="616"/>
      <c r="K261" s="1669">
        <f>SUM(K259:K260)</f>
        <v>10645</v>
      </c>
      <c r="L261" s="1669">
        <f>SUM(L259:L260)</f>
        <v>11500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v>0</v>
      </c>
    </row>
    <row r="264" spans="1:14" x14ac:dyDescent="0.2">
      <c r="A264" s="1503" t="s">
        <v>463</v>
      </c>
      <c r="B264" s="685">
        <v>2520</v>
      </c>
      <c r="C264" s="616"/>
      <c r="D264" s="466">
        <v>7174</v>
      </c>
      <c r="E264" s="616"/>
      <c r="F264" s="616"/>
      <c r="G264" s="616"/>
      <c r="H264" s="616"/>
      <c r="I264" s="616"/>
      <c r="J264" s="616"/>
      <c r="K264" s="1671">
        <f t="shared" ref="K264:K269" si="22">D264</f>
        <v>7174</v>
      </c>
      <c r="L264" s="466">
        <v>7700</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22567</v>
      </c>
      <c r="E266" s="616"/>
      <c r="F266" s="616"/>
      <c r="G266" s="616"/>
      <c r="H266" s="616"/>
      <c r="I266" s="616"/>
      <c r="J266" s="616"/>
      <c r="K266" s="1671">
        <f t="shared" si="22"/>
        <v>22567</v>
      </c>
      <c r="L266" s="466">
        <v>24700</v>
      </c>
    </row>
    <row r="267" spans="1:14" x14ac:dyDescent="0.2">
      <c r="A267" s="1503" t="s">
        <v>953</v>
      </c>
      <c r="B267" s="614">
        <v>2550</v>
      </c>
      <c r="C267" s="616"/>
      <c r="D267" s="466">
        <v>1257</v>
      </c>
      <c r="E267" s="616"/>
      <c r="F267" s="616"/>
      <c r="G267" s="616"/>
      <c r="H267" s="616"/>
      <c r="I267" s="616"/>
      <c r="J267" s="616"/>
      <c r="K267" s="1671">
        <f t="shared" si="22"/>
        <v>1257</v>
      </c>
      <c r="L267" s="466">
        <v>1430</v>
      </c>
    </row>
    <row r="268" spans="1:14" x14ac:dyDescent="0.2">
      <c r="A268" s="1503" t="s">
        <v>100</v>
      </c>
      <c r="B268" s="614">
        <v>2560</v>
      </c>
      <c r="C268" s="616"/>
      <c r="D268" s="466">
        <v>6272</v>
      </c>
      <c r="E268" s="616"/>
      <c r="F268" s="616"/>
      <c r="G268" s="616"/>
      <c r="H268" s="616"/>
      <c r="I268" s="616"/>
      <c r="J268" s="616"/>
      <c r="K268" s="1671">
        <f t="shared" si="22"/>
        <v>6272</v>
      </c>
      <c r="L268" s="466">
        <v>7755</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37270</v>
      </c>
      <c r="E270" s="616"/>
      <c r="F270" s="616"/>
      <c r="G270" s="616"/>
      <c r="H270" s="616"/>
      <c r="I270" s="616"/>
      <c r="J270" s="616"/>
      <c r="K270" s="1669">
        <f>SUM(K263:K269)</f>
        <v>37270</v>
      </c>
      <c r="L270" s="1669">
        <f>SUM(L263:L269)</f>
        <v>41585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v>0</v>
      </c>
    </row>
    <row r="273" spans="1:12" x14ac:dyDescent="0.2">
      <c r="A273" s="1503" t="s">
        <v>607</v>
      </c>
      <c r="B273" s="628">
        <v>2620</v>
      </c>
      <c r="C273" s="616"/>
      <c r="D273" s="466"/>
      <c r="E273" s="616"/>
      <c r="F273" s="616"/>
      <c r="G273" s="616"/>
      <c r="H273" s="616"/>
      <c r="I273" s="616"/>
      <c r="J273" s="616"/>
      <c r="K273" s="1671">
        <f>D273</f>
        <v>0</v>
      </c>
      <c r="L273" s="466">
        <v>0</v>
      </c>
    </row>
    <row r="274" spans="1:12" ht="12" customHeight="1" x14ac:dyDescent="0.2">
      <c r="A274" s="1503" t="s">
        <v>1061</v>
      </c>
      <c r="B274" s="614">
        <v>2630</v>
      </c>
      <c r="C274" s="616"/>
      <c r="D274" s="466"/>
      <c r="E274" s="616"/>
      <c r="F274" s="616"/>
      <c r="G274" s="616"/>
      <c r="H274" s="616"/>
      <c r="I274" s="616"/>
      <c r="J274" s="616"/>
      <c r="K274" s="1671">
        <f>D274</f>
        <v>0</v>
      </c>
      <c r="L274" s="466">
        <v>0</v>
      </c>
    </row>
    <row r="275" spans="1:12" x14ac:dyDescent="0.2">
      <c r="A275" s="1503" t="s">
        <v>403</v>
      </c>
      <c r="B275" s="614">
        <v>2640</v>
      </c>
      <c r="C275" s="616"/>
      <c r="D275" s="466"/>
      <c r="E275" s="616"/>
      <c r="F275" s="616"/>
      <c r="G275" s="616"/>
      <c r="H275" s="616"/>
      <c r="I275" s="616"/>
      <c r="J275" s="616"/>
      <c r="K275" s="1671">
        <f>D275</f>
        <v>0</v>
      </c>
      <c r="L275" s="466">
        <v>0</v>
      </c>
    </row>
    <row r="276" spans="1:12" x14ac:dyDescent="0.2">
      <c r="A276" s="1503"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50048</v>
      </c>
      <c r="E279" s="616"/>
      <c r="F279" s="616"/>
      <c r="G279" s="616"/>
      <c r="H279" s="616"/>
      <c r="I279" s="616"/>
      <c r="J279" s="616"/>
      <c r="K279" s="1676">
        <f>SUM(K238,K243,K257,K261,K270,K277,K278)</f>
        <v>50048</v>
      </c>
      <c r="L279" s="1676">
        <f>SUM(L238,L243,L257,L261,L270,L277,L278)</f>
        <v>55735</v>
      </c>
    </row>
    <row r="280" spans="1:12" ht="15.75" customHeight="1" thickTop="1" thickBot="1" x14ac:dyDescent="0.25">
      <c r="A280" s="1623" t="s">
        <v>875</v>
      </c>
      <c r="B280" s="1612">
        <v>3000</v>
      </c>
      <c r="C280" s="616"/>
      <c r="D280" s="576">
        <v>78</v>
      </c>
      <c r="E280" s="616"/>
      <c r="F280" s="616"/>
      <c r="G280" s="616"/>
      <c r="H280" s="616"/>
      <c r="I280" s="616"/>
      <c r="J280" s="616"/>
      <c r="K280" s="1678">
        <f>D280</f>
        <v>78</v>
      </c>
      <c r="L280" s="576">
        <v>90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v>0</v>
      </c>
    </row>
    <row r="283" spans="1:12" x14ac:dyDescent="0.2">
      <c r="A283" s="1503" t="s">
        <v>304</v>
      </c>
      <c r="B283" s="614">
        <v>4120</v>
      </c>
      <c r="C283" s="616"/>
      <c r="D283" s="466"/>
      <c r="E283" s="616"/>
      <c r="F283" s="616"/>
      <c r="G283" s="616"/>
      <c r="H283" s="616"/>
      <c r="I283" s="616"/>
      <c r="J283" s="616"/>
      <c r="K283" s="1670">
        <f>D283</f>
        <v>0</v>
      </c>
      <c r="L283" s="466">
        <v>0</v>
      </c>
    </row>
    <row r="284" spans="1:12" x14ac:dyDescent="0.2">
      <c r="A284" s="1503"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1170</v>
      </c>
      <c r="B290" s="628" t="s">
        <v>617</v>
      </c>
      <c r="C290" s="616"/>
      <c r="D290" s="616"/>
      <c r="E290" s="616"/>
      <c r="F290" s="616"/>
      <c r="G290" s="616"/>
      <c r="H290" s="466"/>
      <c r="I290" s="616"/>
      <c r="J290" s="616"/>
      <c r="K290" s="1670">
        <f>H290</f>
        <v>0</v>
      </c>
      <c r="L290" s="466">
        <v>0</v>
      </c>
    </row>
    <row r="291" spans="1:14" x14ac:dyDescent="0.2">
      <c r="A291" s="1503" t="s">
        <v>89</v>
      </c>
      <c r="B291" s="614" t="s">
        <v>589</v>
      </c>
      <c r="C291" s="616"/>
      <c r="D291" s="616"/>
      <c r="E291" s="616"/>
      <c r="F291" s="616"/>
      <c r="G291" s="616"/>
      <c r="H291" s="466"/>
      <c r="I291" s="616"/>
      <c r="J291" s="616"/>
      <c r="K291" s="1670">
        <f>H291</f>
        <v>0</v>
      </c>
      <c r="L291" s="466">
        <v>0</v>
      </c>
    </row>
    <row r="292" spans="1:14" x14ac:dyDescent="0.2">
      <c r="A292" s="1503"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86" t="s">
        <v>505</v>
      </c>
      <c r="B295" s="2187"/>
      <c r="C295" s="616"/>
      <c r="D295" s="1669">
        <f>SUM(D229,D279,D280,D285)</f>
        <v>98197</v>
      </c>
      <c r="E295" s="616"/>
      <c r="F295" s="616"/>
      <c r="G295" s="616"/>
      <c r="H295" s="1669">
        <f>H293</f>
        <v>0</v>
      </c>
      <c r="I295" s="616"/>
      <c r="J295" s="616"/>
      <c r="K295" s="1669">
        <f>SUM(K229,K279,K280,K285,K293,K294)</f>
        <v>98197</v>
      </c>
      <c r="L295" s="1669">
        <f>SUM(L229,L279,L280,L285,L293,L294)</f>
        <v>112830</v>
      </c>
    </row>
    <row r="296" spans="1:14" ht="13.5" thickTop="1" x14ac:dyDescent="0.2">
      <c r="A296" s="2195" t="s">
        <v>996</v>
      </c>
      <c r="B296" s="2196"/>
      <c r="C296" s="616"/>
      <c r="D296" s="618"/>
      <c r="E296" s="616"/>
      <c r="F296" s="616"/>
      <c r="G296" s="616"/>
      <c r="H296" s="687"/>
      <c r="I296" s="616"/>
      <c r="J296" s="616"/>
      <c r="K296" s="1683">
        <f>'Revenues 9-14'!G268-'Expenditures 15-22'!K295</f>
        <v>39959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25235</v>
      </c>
      <c r="F301" s="466"/>
      <c r="G301" s="466">
        <f>16880+771683</f>
        <v>788563</v>
      </c>
      <c r="H301" s="466"/>
      <c r="I301" s="467"/>
      <c r="J301" s="467"/>
      <c r="K301" s="1670">
        <f>SUM(C301:J301)</f>
        <v>813798</v>
      </c>
      <c r="L301" s="467">
        <v>1044454</v>
      </c>
    </row>
    <row r="302" spans="1:14" ht="13.5" customHeight="1" x14ac:dyDescent="0.2">
      <c r="A302" s="1516"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25235</v>
      </c>
      <c r="F303" s="1676">
        <f t="shared" si="23"/>
        <v>0</v>
      </c>
      <c r="G303" s="1676">
        <f t="shared" si="23"/>
        <v>788563</v>
      </c>
      <c r="H303" s="1676">
        <f t="shared" si="23"/>
        <v>0</v>
      </c>
      <c r="I303" s="1676">
        <f t="shared" si="23"/>
        <v>0</v>
      </c>
      <c r="J303" s="1676">
        <f t="shared" si="23"/>
        <v>0</v>
      </c>
      <c r="K303" s="1676">
        <f t="shared" si="23"/>
        <v>813798</v>
      </c>
      <c r="L303" s="1676">
        <f t="shared" si="23"/>
        <v>1044454</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v>0</v>
      </c>
    </row>
    <row r="307" spans="1:14" x14ac:dyDescent="0.2">
      <c r="A307" s="1503" t="s">
        <v>304</v>
      </c>
      <c r="B307" s="614">
        <v>4120</v>
      </c>
      <c r="C307" s="616"/>
      <c r="D307" s="616"/>
      <c r="E307" s="467"/>
      <c r="F307" s="616"/>
      <c r="G307" s="616"/>
      <c r="H307" s="467"/>
      <c r="I307" s="477"/>
      <c r="J307" s="616"/>
      <c r="K307" s="1670">
        <f>SUM(E307,H307)</f>
        <v>0</v>
      </c>
      <c r="L307" s="466">
        <v>0</v>
      </c>
    </row>
    <row r="308" spans="1:14" x14ac:dyDescent="0.2">
      <c r="A308" s="1503" t="s">
        <v>697</v>
      </c>
      <c r="B308" s="614">
        <v>4140</v>
      </c>
      <c r="C308" s="616"/>
      <c r="D308" s="616"/>
      <c r="E308" s="467"/>
      <c r="F308" s="616"/>
      <c r="G308" s="616"/>
      <c r="H308" s="467"/>
      <c r="I308" s="477"/>
      <c r="J308" s="616"/>
      <c r="K308" s="1670">
        <f>SUM(E308,H308)</f>
        <v>0</v>
      </c>
      <c r="L308" s="466">
        <v>0</v>
      </c>
    </row>
    <row r="309" spans="1:14" ht="12.75" customHeight="1" x14ac:dyDescent="0.2">
      <c r="A309" s="1507"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83" t="s">
        <v>277</v>
      </c>
      <c r="B312" s="2184"/>
      <c r="C312" s="1669">
        <f>SUM(C303)</f>
        <v>0</v>
      </c>
      <c r="D312" s="1669">
        <f>SUM(D303)</f>
        <v>0</v>
      </c>
      <c r="E312" s="1669">
        <f>SUM(E303,E310)</f>
        <v>25235</v>
      </c>
      <c r="F312" s="1669">
        <f>SUM(F303)</f>
        <v>0</v>
      </c>
      <c r="G312" s="1669">
        <f>SUM(G303)</f>
        <v>788563</v>
      </c>
      <c r="H312" s="1669">
        <f>SUM(H303,H310)</f>
        <v>0</v>
      </c>
      <c r="I312" s="1669">
        <f>SUM(I303)</f>
        <v>0</v>
      </c>
      <c r="J312" s="1669">
        <f>SUM(J303)</f>
        <v>0</v>
      </c>
      <c r="K312" s="1669">
        <f>SUM(K303,K310,K311)</f>
        <v>813798</v>
      </c>
      <c r="L312" s="1669">
        <f>SUM(L303,L310,L311)</f>
        <v>1044454</v>
      </c>
      <c r="M312" s="665"/>
      <c r="N312" s="665"/>
    </row>
    <row r="313" spans="1:14" ht="13.5" thickTop="1" x14ac:dyDescent="0.2">
      <c r="A313" s="2179" t="s">
        <v>996</v>
      </c>
      <c r="B313" s="2180"/>
      <c r="C313" s="626"/>
      <c r="D313" s="626"/>
      <c r="E313" s="626"/>
      <c r="F313" s="626"/>
      <c r="G313" s="626"/>
      <c r="H313" s="626"/>
      <c r="I313" s="626"/>
      <c r="J313" s="626"/>
      <c r="K313" s="1684">
        <f>'Revenues 9-14'!H268-'Expenditures 15-22'!K312</f>
        <v>-810054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2" t="s">
        <v>1805</v>
      </c>
      <c r="B320" s="698" t="s">
        <v>282</v>
      </c>
      <c r="C320" s="467"/>
      <c r="D320" s="467"/>
      <c r="E320" s="467">
        <v>18811</v>
      </c>
      <c r="F320" s="467"/>
      <c r="G320" s="467"/>
      <c r="H320" s="467"/>
      <c r="I320" s="467"/>
      <c r="J320" s="467"/>
      <c r="K320" s="1670">
        <f t="shared" ref="K320:K327" si="24">SUM(C320:J320)</f>
        <v>18811</v>
      </c>
      <c r="L320" s="467">
        <v>18811</v>
      </c>
      <c r="M320" s="665"/>
      <c r="N320" s="665"/>
    </row>
    <row r="321" spans="1:14" s="674" customFormat="1" x14ac:dyDescent="0.2">
      <c r="A321" s="1518" t="s">
        <v>300</v>
      </c>
      <c r="B321" s="697" t="s">
        <v>283</v>
      </c>
      <c r="C321" s="467"/>
      <c r="D321" s="467"/>
      <c r="E321" s="467">
        <v>4835</v>
      </c>
      <c r="F321" s="467"/>
      <c r="G321" s="467"/>
      <c r="H321" s="467"/>
      <c r="I321" s="467"/>
      <c r="J321" s="467"/>
      <c r="K321" s="1670">
        <f t="shared" si="24"/>
        <v>4835</v>
      </c>
      <c r="L321" s="467">
        <v>4835</v>
      </c>
      <c r="M321" s="665"/>
      <c r="N321" s="665"/>
    </row>
    <row r="322" spans="1:14" s="674" customFormat="1" x14ac:dyDescent="0.2">
      <c r="A322" s="1518" t="s">
        <v>238</v>
      </c>
      <c r="B322" s="697" t="s">
        <v>284</v>
      </c>
      <c r="C322" s="467"/>
      <c r="D322" s="467"/>
      <c r="E322" s="467">
        <v>285</v>
      </c>
      <c r="F322" s="467"/>
      <c r="G322" s="467"/>
      <c r="H322" s="467"/>
      <c r="I322" s="467"/>
      <c r="J322" s="467"/>
      <c r="K322" s="1670">
        <f t="shared" si="24"/>
        <v>285</v>
      </c>
      <c r="L322" s="467">
        <v>285</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v>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v>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23931</v>
      </c>
      <c r="F330" s="1669">
        <f t="shared" si="25"/>
        <v>0</v>
      </c>
      <c r="G330" s="1669">
        <f t="shared" si="25"/>
        <v>0</v>
      </c>
      <c r="H330" s="1669">
        <f t="shared" si="25"/>
        <v>0</v>
      </c>
      <c r="I330" s="1669">
        <f t="shared" si="25"/>
        <v>0</v>
      </c>
      <c r="J330" s="1669">
        <f t="shared" si="25"/>
        <v>0</v>
      </c>
      <c r="K330" s="1669">
        <f>SUM(K319:K329)</f>
        <v>23931</v>
      </c>
      <c r="L330" s="1669">
        <f>SUM(L319:L329)</f>
        <v>23931</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v>0</v>
      </c>
    </row>
    <row r="338" spans="1:14" ht="12.75" customHeight="1" x14ac:dyDescent="0.2">
      <c r="A338" s="1517" t="s">
        <v>1170</v>
      </c>
      <c r="B338" s="690" t="s">
        <v>617</v>
      </c>
      <c r="C338" s="638"/>
      <c r="D338" s="638"/>
      <c r="E338" s="638"/>
      <c r="F338" s="638"/>
      <c r="G338" s="638"/>
      <c r="H338" s="478"/>
      <c r="I338" s="638"/>
      <c r="J338" s="638"/>
      <c r="K338" s="1670">
        <f>H338</f>
        <v>0</v>
      </c>
      <c r="L338" s="478">
        <v>0</v>
      </c>
    </row>
    <row r="339" spans="1:14" x14ac:dyDescent="0.2">
      <c r="A339" s="1503"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23931</v>
      </c>
      <c r="F342" s="1669">
        <f>SUM(F330)</f>
        <v>0</v>
      </c>
      <c r="G342" s="1669">
        <f>SUM(G330)</f>
        <v>0</v>
      </c>
      <c r="H342" s="1669">
        <f>SUM(H330,H334,H340)</f>
        <v>0</v>
      </c>
      <c r="I342" s="1669">
        <f>SUM(I330)</f>
        <v>0</v>
      </c>
      <c r="J342" s="1669">
        <f>SUM(J330)</f>
        <v>0</v>
      </c>
      <c r="K342" s="1669">
        <f>SUM(K330,K334,K340)</f>
        <v>23931</v>
      </c>
      <c r="L342" s="1676">
        <f>SUM(L330,L340,L341)</f>
        <v>23931</v>
      </c>
    </row>
    <row r="343" spans="1:14" ht="12.75" customHeight="1" thickTop="1" x14ac:dyDescent="0.2">
      <c r="A343" s="2181" t="s">
        <v>996</v>
      </c>
      <c r="B343" s="2182"/>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77120</v>
      </c>
    </row>
    <row r="349" spans="1:14" x14ac:dyDescent="0.2">
      <c r="A349" s="1503"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77120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77120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v>0</v>
      </c>
    </row>
    <row r="355" spans="1:14" ht="12.75" customHeight="1" x14ac:dyDescent="0.2">
      <c r="A355" s="1512" t="s">
        <v>1854</v>
      </c>
      <c r="B355" s="690" t="s">
        <v>1847</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77120</v>
      </c>
    </row>
    <row r="368" spans="1:14" ht="13.5" thickTop="1" x14ac:dyDescent="0.2">
      <c r="A368" s="2195" t="s">
        <v>996</v>
      </c>
      <c r="B368" s="2196"/>
      <c r="C368" s="654"/>
      <c r="D368" s="654"/>
      <c r="E368" s="626"/>
      <c r="F368" s="626"/>
      <c r="G368" s="626"/>
      <c r="H368" s="626"/>
      <c r="I368" s="626"/>
      <c r="J368" s="623"/>
      <c r="K368" s="1670">
        <f>'Revenues 9-14'!K268-'Expenditures 15-22'!K367</f>
        <v>10495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office/2006/metadata/properties"/>
    <ds:schemaRef ds:uri="http://purl.org/dc/terms/"/>
    <ds:schemaRef ds:uri="http://schemas.openxmlformats.org/package/2006/metadata/core-properties"/>
    <ds:schemaRef ds:uri="http://schemas.microsoft.com/sharepoint/v3"/>
    <ds:schemaRef ds:uri="http://schemas.microsoft.com/office/2006/documentManagement/types"/>
    <ds:schemaRef ds:uri="6ce3111e-7420-4802-b50a-75d4e9a0b980"/>
    <ds:schemaRef ds:uri="4d435f69-8686-490b-bd6d-b153bf22ab50"/>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2019-10-09T15:37:11Z</cp:lastPrinted>
  <dcterms:created xsi:type="dcterms:W3CDTF">2003-10-29T19:06:34Z</dcterms:created>
  <dcterms:modified xsi:type="dcterms:W3CDTF">2019-11-21T20:23:05Z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