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617DF951-1E68-4340-A92C-BECF1CA938B0}"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H12" i="145" l="1"/>
  <c r="E9" i="108" l="1"/>
  <c r="E10" i="10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7" i="108"/>
  <c r="G27" i="108"/>
  <c r="F31" i="108"/>
  <c r="F36" i="108"/>
  <c r="G28" i="108"/>
  <c r="G30" i="108"/>
  <c r="D31" i="108"/>
  <c r="D36" i="108"/>
  <c r="E31" i="108"/>
  <c r="G31" i="108"/>
  <c r="E33" i="108"/>
  <c r="E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L22" i="37"/>
  <c r="D24" i="37"/>
  <c r="B4270" i="106" s="1"/>
  <c r="D4270" i="106" s="1"/>
  <c r="F46" i="34" l="1"/>
  <c r="K184" i="29"/>
  <c r="F13" i="4" s="1"/>
  <c r="B2596" i="106" s="1"/>
  <c r="D2596" i="106" s="1"/>
  <c r="D6103" i="106"/>
  <c r="J22" i="37"/>
  <c r="D68" i="36"/>
  <c r="F19" i="7"/>
  <c r="B1807" i="106" s="1"/>
  <c r="D1807" i="106" s="1"/>
  <c r="H33" i="118"/>
  <c r="G35" i="108"/>
  <c r="B1126" i="106"/>
  <c r="D1126" i="106" s="1"/>
  <c r="F67" i="34"/>
  <c r="E34" i="108"/>
  <c r="F34" i="34"/>
  <c r="G15" i="145"/>
  <c r="F38" i="34"/>
  <c r="G26" i="108"/>
  <c r="B1124" i="106"/>
  <c r="D1124" i="106" s="1"/>
  <c r="F70" i="34"/>
  <c r="E26" i="108"/>
  <c r="B7047" i="106"/>
  <c r="D7047" i="106" s="1"/>
  <c r="B1274" i="106"/>
  <c r="D1274" i="106" s="1"/>
  <c r="G210" i="29"/>
  <c r="B1365" i="106" s="1"/>
  <c r="D1365" i="106" s="1"/>
  <c r="C129" i="29"/>
  <c r="C151" i="29" s="1"/>
  <c r="B1226" i="106" s="1"/>
  <c r="D1226" i="106" s="1"/>
  <c r="B3647" i="106"/>
  <c r="D3647" i="106" s="1"/>
  <c r="I210" i="29"/>
  <c r="B7071" i="106" s="1"/>
  <c r="D7071" i="106" s="1"/>
  <c r="B6995" i="106"/>
  <c r="D6995" i="106" s="1"/>
  <c r="H342" i="29"/>
  <c r="B7221" i="106" s="1"/>
  <c r="D7221" i="106" s="1"/>
  <c r="G29" i="108"/>
  <c r="F28" i="108"/>
  <c r="D27" i="108"/>
  <c r="E29" i="108"/>
  <c r="J210" i="29"/>
  <c r="B7072" i="106" s="1"/>
  <c r="D7072" i="106" s="1"/>
  <c r="H365" i="29"/>
  <c r="B7242" i="106" s="1"/>
  <c r="D7242" i="106" s="1"/>
  <c r="E38" i="108"/>
  <c r="L367" i="29"/>
  <c r="J352" i="29"/>
  <c r="J367" i="29" s="1"/>
  <c r="B7245" i="106" s="1"/>
  <c r="D7245" i="106" s="1"/>
  <c r="C342" i="29"/>
  <c r="B7216" i="106" s="1"/>
  <c r="D7216" i="106" s="1"/>
  <c r="C352" i="29"/>
  <c r="C367" i="29" s="1"/>
  <c r="K76" i="4"/>
  <c r="B3586" i="106" s="1"/>
  <c r="D3586" i="106" s="1"/>
  <c r="H76" i="4"/>
  <c r="B3298" i="106" s="1"/>
  <c r="D3298" i="106" s="1"/>
  <c r="B6289" i="106"/>
  <c r="D6289" i="106" s="1"/>
  <c r="J77" i="4"/>
  <c r="B6262" i="106" s="1"/>
  <c r="D6262" i="106" s="1"/>
  <c r="F77" i="4"/>
  <c r="B3255" i="106" s="1"/>
  <c r="D3255" i="106" s="1"/>
  <c r="J41" i="3"/>
  <c r="B6216" i="106" s="1"/>
  <c r="D6216" i="106" s="1"/>
  <c r="D54" i="36"/>
  <c r="L13" i="11"/>
  <c r="B2060" i="106" s="1"/>
  <c r="D2060" i="106" s="1"/>
  <c r="L5" i="11"/>
  <c r="B2056" i="106" s="1"/>
  <c r="D2056"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0"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6"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4" i="106" l="1"/>
  <c r="D7251" i="106"/>
  <c r="D44" i="36"/>
  <c r="N23" i="3"/>
  <c r="B284" i="106" s="1"/>
  <c r="D284" i="106" s="1"/>
  <c r="B1225" i="106"/>
  <c r="D1225" i="106" s="1"/>
  <c r="F65" i="34"/>
  <c r="G6" i="4"/>
  <c r="B2604" i="106" s="1"/>
  <c r="D2604" i="106" s="1"/>
  <c r="D51" i="36"/>
  <c r="J16" i="4"/>
  <c r="B6226" i="106" s="1"/>
  <c r="D6226" i="106" s="1"/>
  <c r="F41" i="108"/>
  <c r="G43" i="108" s="1"/>
  <c r="B1266" i="106"/>
  <c r="D1266" i="106" s="1"/>
  <c r="H77" i="4"/>
  <c r="B3299" i="106" s="1"/>
  <c r="D3299" i="106" s="1"/>
  <c r="K77" i="4"/>
  <c r="B3587" i="106" s="1"/>
  <c r="D3587" i="106" s="1"/>
  <c r="L114" i="29"/>
  <c r="B1328" i="106"/>
  <c r="D1328" i="106" s="1"/>
  <c r="D41" i="108"/>
  <c r="E43" i="108" s="1"/>
  <c r="B5770" i="106"/>
  <c r="D5770" i="106" s="1"/>
  <c r="C114" i="29"/>
  <c r="B757" i="106" s="1"/>
  <c r="D757" i="106" s="1"/>
  <c r="K342" i="29"/>
  <c r="F13" i="34" s="1"/>
  <c r="L16" i="11"/>
  <c r="B2061" i="106" s="1"/>
  <c r="D2061" i="106" s="1"/>
  <c r="B2031" i="106"/>
  <c r="D203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7224" i="106"/>
  <c r="D7224" i="106" s="1"/>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8" i="4"/>
  <c r="F10" i="4" s="1"/>
  <c r="B4125" i="106" s="1"/>
  <c r="D4125" i="106" s="1"/>
  <c r="K17" i="4"/>
  <c r="K20" i="4" s="1"/>
  <c r="B6227" i="106"/>
  <c r="D6227" i="106" s="1"/>
  <c r="J20" i="4"/>
  <c r="J78" i="4" s="1"/>
  <c r="D8" i="146"/>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B6230" i="106"/>
  <c r="D6230"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<sst xmlns="http://schemas.openxmlformats.org/spreadsheetml/2006/main" count="5072" uniqueCount="2099">
  <si>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</si>
  <si>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</si>
  <si>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</si>
  <si>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</si>
  <si>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</si>
  <si>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</si>
  <si>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</si>
  <si>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</si>
  <si>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</si>
  <si>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</si>
  <si>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</si>
  <si>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</si>
  <si>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</si>
  <si>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</si>
  <si>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</si>
  <si>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</si>
  <si>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</si>
  <si>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</si>
  <si>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</si>
  <si>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</si>
  <si>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</si>
  <si>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</si>
  <si>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</si>
  <si>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</si>
  <si>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</si>
  <si>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</si>
  <si>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</si>
  <si>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</si>
  <si>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</si>
  <si>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</si>
  <si>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</si>
  <si>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</si>
  <si>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</si>
  <si>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</si>
  <si>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</si>
  <si>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</si>
  <si>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</si>
  <si>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</si>
  <si>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</si>
  <si>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</si>
  <si>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</si>
  <si>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</si>
  <si>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</si>
  <si>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</si>
  <si>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</si>
  <si>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</si>
  <si>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</si>
  <si>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</si>
  <si>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</si>
  <si>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</si>
  <si>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</si>
  <si>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</si>
  <si>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</si>
  <si>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</si>
  <si>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</si>
  <si>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</si>
  <si>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</si>
  <si>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</si>
  <si>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</si>
  <si>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</si>
  <si>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</si>
  <si>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</si>
  <si>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</si>
  <si>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</si>
  <si>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</si>
  <si>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</si>
  <si>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</si>
  <si>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</si>
  <si>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</si>
  <si>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</si>
  <si>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</si>
  <si>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</si>
  <si>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</si>
  <si>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</si>
  <si>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</si>
  <si>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</si>
  <si>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</si>
  <si>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</si>
  <si>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</si>
  <si>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</si>
  <si>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</si>
  <si>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</si>
  <si>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</si>
  <si>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</si>
  <si>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</si>
  <si>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</si>
  <si>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</si>
  <si>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</si>
  <si>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</si>
  <si>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</si>
  <si>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</si>
  <si>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</si>
  <si>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</si>
  <si>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</si>
  <si>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</si>
  <si>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</si>
  <si>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</si>
  <si>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</si>
  <si>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</si>
  <si>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</si>
  <si>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</si>
  <si>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</si>
  <si>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</si>
  <si>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</si>
  <si>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</si>
  <si>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</si>
  <si>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</si>
  <si>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</si>
  <si>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</si>
  <si>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</si>
  <si>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</si>
  <si>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</si>
  <si>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</si>
  <si>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</si>
  <si>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</si>
  <si>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</si>
  <si>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</si>
  <si>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</si>
  <si>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</si>
  <si>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</si>
  <si>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</si>
  <si>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</si>
  <si>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</si>
  <si>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</si>
  <si>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</si>
  <si>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</si>
  <si>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</si>
  <si>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</si>
  <si>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</si>
  <si>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</si>
  <si>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</si>
  <si>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</si>
  <si>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</si>
  <si>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</si>
  <si>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</si>
  <si>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</si>
  <si>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</si>
  <si>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</si>
  <si>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</si>
  <si>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</si>
  <si>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</si>
  <si>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</si>
  <si>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</si>
  <si>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</si>
  <si>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</si>
  <si>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</si>
  <si>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</si>
  <si>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</si>
  <si>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</si>
  <si>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</si>
  <si>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</si>
  <si>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</si>
  <si>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</si>
  <si>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</si>
  <si>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</si>
  <si>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</si>
  <si>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</si>
  <si>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</si>
  <si>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</si>
  <si>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</si>
  <si>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</si>
  <si>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</si>
  <si>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</si>
  <si>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</si>
  <si>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</si>
  <si>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</si>
  <si>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</si>
  <si>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</si>
  <si>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</si>
  <si>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</si>
  <si>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</si>
  <si>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</si>
  <si>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</si>
  <si>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</si>
  <si>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</si>
  <si>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</si>
  <si>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</si>
  <si>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</si>
  <si>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</si>
  <si>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</si>
  <si>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</si>
  <si>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</si>
  <si>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</si>
  <si>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</si>
  <si>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</si>
  <si>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</si>
  <si>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</si>
  <si>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</si>
  <si>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</si>
  <si>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</si>
  <si>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</si>
  <si>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</si>
  <si>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</si>
  <si>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</si>
  <si>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</si>
  <si>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</si>
  <si>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</si>
  <si>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</si>
  <si>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</si>
  <si>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</si>
  <si>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</si>
  <si>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</si>
  <si>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</si>
  <si>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</si>
  <si>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</si>
  <si>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</si>
  <si>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</si>
  <si>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</si>
  <si>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</si>
  <si>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</si>
  <si>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</si>
  <si>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</si>
  <si>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</si>
  <si>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</si>
  <si>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</si>
  <si>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</si>
  <si>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</si>
  <si>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</si>
  <si>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</si>
  <si>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</si>
  <si>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</si>
  <si>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</si>
  <si>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</si>
  <si>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</si>
  <si>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</si>
  <si>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</si>
  <si>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</si>
  <si>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</si>
  <si>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</si>
  <si>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</si>
  <si>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</si>
  <si>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</si>
  <si>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</si>
  <si>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</si>
  <si>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</si>
  <si>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</si>
  <si>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</si>
  <si>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</si>
  <si>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</si>
  <si>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</si>
  <si>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</si>
  <si>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</si>
  <si>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</si>
  <si>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</si>
  <si>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</si>
  <si>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</si>
  <si>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</si>
  <si>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</si>
  <si>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</si>
  <si>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</si>
  <si>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</si>
  <si>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</si>
  <si>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</si>
  <si>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</si>
  <si>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</si>
  <si>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</si>
  <si>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</si>
  <si>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</si>
  <si>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</si>
  <si>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</si>
  <si>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</si>
  <si>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</si>
  <si>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</si>
  <si>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</si>
  <si>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</si>
  <si>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</si>
  <si>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</si>
  <si>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</si>
  <si>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</si>
  <si>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</si>
  <si>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</si>
  <si>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</si>
  <si>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</si>
  <si>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</si>
  <si>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</si>
  <si>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</si>
  <si>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</si>
  <si>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</si>
  <si>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</si>
  <si>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</si>
  <si>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</si>
  <si>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</si>
  <si>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</si>
  <si>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</si>
  <si>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</si>
  <si>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</si>
  <si>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</si>
  <si>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</si>
  <si>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</si>
  <si>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</si>
  <si>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</si>
  <si>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</si>
  <si>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</si>
  <si>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</si>
  <si>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</si>
  <si>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</si>
  <si>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</si>
  <si>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</si>
  <si>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</si>
  <si>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</si>
  <si>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</si>
  <si>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</si>
  <si>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</si>
  <si>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</si>
  <si>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</si>
  <si>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</si>
  <si>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</si>
  <si>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</si>
  <si>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</si>
  <si>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</si>
  <si>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</si>
  <si>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</si>
  <si>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</si>
  <si>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</si>
  <si>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</si>
  <si>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</si>
  <si>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</si>
  <si>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</si>
  <si>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</si>
  <si>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</si>
  <si>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</si>
  <si>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</si>
  <si>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</si>
  <si>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</si>
  <si>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</si>
  <si>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</si>
  <si>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</si>
  <si>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</si>
  <si>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</si>
  <si>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</si>
  <si>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</si>
  <si>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</si>
  <si>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</si>
  <si>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</si>
  <si>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</si>
  <si>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</si>
  <si>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</si>
  <si>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</si>
  <si>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</si>
  <si>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</si>
  <si>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</si>
  <si>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</si>
  <si>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</si>
  <si>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</si>
  <si>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</si>
  <si>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</si>
  <si>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</si>
  <si>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</si>
  <si>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</si>
  <si>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</si>
  <si>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</si>
  <si>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</si>
  <si>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</si>
  <si>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</si>
  <si>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</si>
  <si>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</si>
  <si>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</si>
  <si>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</si>
  <si>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</si>
  <si>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</si>
  <si>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</si>
  <si>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</si>
  <si>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</si>
  <si>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</si>
  <si>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</si>
  <si>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</si>
  <si>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</si>
  <si>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</si>
  <si>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</si>
  <si>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</si>
  <si>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</si>
  <si>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</si>
  <si>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</si>
  <si>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</si>
  <si>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</si>
  <si>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</si>
  <si>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</si>
  <si>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</si>
  <si>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</si>
  <si>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</si>
  <si>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</si>
  <si>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</si>
  <si>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</si>
  <si>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</si>
  <si>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</si>
  <si>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</si>
  <si>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</si>
  <si>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</si>
  <si>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</si>
  <si>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</si>
  <si>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</si>
  <si>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</si>
  <si>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</si>
  <si>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</si>
  <si>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</si>
  <si>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</si>
  <si>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</si>
  <si>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</si>
  <si>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</si>
  <si>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</si>
  <si>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</si>
  <si>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</si>
  <si>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</si>
  <si>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</si>
  <si>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</si>
  <si>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</si>
  <si>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</si>
  <si>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</si>
  <si>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</si>
  <si>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</si>
  <si>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</si>
  <si>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</si>
  <si>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</si>
  <si>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</si>
  <si>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</si>
  <si>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</si>
  <si>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</si>
  <si>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</si>
  <si>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</si>
  <si>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</si>
  <si>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</si>
  <si>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</si>
  <si>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</si>
  <si>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</si>
  <si>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</si>
  <si>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</si>
  <si>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</si>
  <si>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</si>
  <si>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</si>
  <si>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</si>
  <si>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</si>
  <si>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</si>
  <si>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</si>
  <si>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</si>
  <si>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</si>
  <si>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</si>
  <si>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</si>
  <si>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</si>
  <si>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</si>
  <si>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</si>
  <si>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</si>
  <si>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</si>
  <si>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</si>
  <si>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</si>
  <si>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</si>
  <si>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</si>
  <si>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</si>
  <si>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</si>
  <si>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</si>
  <si>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</si>
  <si>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</si>
  <si>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</si>
  <si>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</si>
  <si>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</si>
  <si>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</si>
  <si>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</si>
  <si>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</si>
  <si>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</si>
  <si>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</si>
  <si>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</si>
  <si>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</si>
  <si>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</si>
  <si>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</si>
  <si>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</si>
  <si>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</si>
  <si>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</si>
  <si>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</si>
  <si>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</si>
  <si>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</si>
  <si>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</si>
  <si>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</si>
  <si>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</si>
  <si>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</si>
  <si>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</si>
  <si>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</si>
  <si>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</si>
  <si>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</si>
  <si>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</si>
  <si>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</si>
  <si>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</si>
  <si>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</si>
  <si>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</si>
  <si>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</si>
  <si>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</si>
  <si>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</si>
  <si>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</si>
  <si>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</si>
  <si>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</si>
  <si>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</si>
  <si>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</si>
  <si>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</si>
  <si>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</si>
  <si>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</si>
  <si>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</si>
  <si>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</si>
  <si>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</si>
  <si>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</si>
  <si>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</si>
  <si>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</si>
  <si>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</si>
  <si>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</si>
  <si>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</si>
  <si>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</si>
  <si>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</si>
  <si>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</si>
  <si>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</si>
  <si>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</si>
  <si>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</si>
  <si>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</si>
  <si>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</si>
  <si>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</si>
  <si>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</si>
  <si>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</si>
  <si>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</si>
  <si>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</si>
  <si>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</si>
  <si>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</si>
  <si>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</si>
  <si>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</si>
  <si>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</si>
  <si>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</si>
  <si>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</si>
  <si>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</si>
  <si>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</si>
  <si>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</si>
  <si>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</si>
  <si>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</si>
  <si>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</si>
  <si>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</si>
  <si>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</si>
  <si>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</si>
  <si>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</si>
  <si>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</si>
  <si>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</si>
  <si>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</si>
  <si>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</si>
  <si>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</si>
  <si>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</si>
  <si>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</si>
  <si>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</si>
  <si>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</si>
  <si>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</si>
  <si>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</si>
  <si>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</si>
  <si>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</si>
  <si>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</si>
  <si>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</si>
  <si>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</si>
  <si>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</si>
  <si>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</si>
  <si>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</si>
  <si>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</si>
  <si>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</si>
  <si>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</si>
  <si>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</si>
  <si>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</si>
  <si>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</si>
  <si>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</si>
  <si>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</si>
  <si>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</si>
  <si>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</si>
  <si>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</si>
  <si>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</si>
  <si>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</si>
  <si>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</si>
  <si>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</si>
  <si>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</si>
  <si>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</si>
  <si>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</si>
  <si>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</si>
  <si>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</si>
  <si>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</si>
  <si>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</si>
  <si>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</si>
  <si>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</si>
  <si>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</si>
  <si>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</si>
  <si>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</si>
  <si>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</si>
  <si>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</si>
  <si>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</si>
  <si>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</si>
  <si>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</si>
  <si>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</si>
  <si>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</si>
  <si>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</si>
  <si>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</si>
  <si>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</si>
  <si>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</si>
  <si>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</si>
  <si>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</si>
  <si>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</si>
  <si>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</si>
  <si>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</si>
  <si>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</si>
  <si>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</si>
  <si>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</si>
  <si>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</si>
  <si>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</si>
  <si>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</si>
  <si>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</si>
  <si>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</si>
  <si>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</si>
  <si>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</si>
  <si>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</si>
  <si>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</si>
  <si>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</si>
  <si>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</si>
  <si>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</si>
  <si>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</si>
  <si>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</si>
  <si>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</si>
  <si>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</si>
  <si>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</si>
  <si>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</si>
  <si>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</si>
  <si>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</si>
  <si>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</si>
  <si>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</si>
  <si>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</si>
  <si>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</si>
  <si>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</si>
  <si>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</si>
  <si>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</si>
  <si>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</si>
  <si>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</si>
  <si>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</si>
  <si>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</si>
  <si>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</si>
  <si>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</si>
  <si>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</si>
  <si>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</si>
  <si>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</si>
  <si>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</si>
  <si>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</si>
  <si>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</si>
  <si>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</si>
  <si>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</si>
  <si>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</si>
  <si>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</si>
  <si>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</si>
  <si>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</si>
  <si>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</si>
  <si>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</si>
  <si>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</si>
  <si>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</si>
  <si>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</si>
  <si>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</si>
  <si>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</si>
  <si>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</si>
  <si>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</si>
  <si>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</si>
  <si>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</si>
  <si>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</si>
  <si>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</si>
  <si>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</si>
  <si>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</si>
  <si>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</si>
  <si>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</si>
  <si>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</si>
  <si>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</si>
  <si>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</si>
  <si>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</si>
  <si>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</si>
  <si>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</si>
  <si>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</si>
  <si>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</si>
  <si>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</si>
  <si>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</si>
  <si>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</si>
  <si>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</si>
  <si>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</si>
  <si>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</si>
  <si>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</si>
  <si>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</si>
  <si>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</si>
  <si>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</si>
  <si>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</si>
  <si>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</si>
  <si>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</si>
  <si>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</si>
  <si>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</si>
  <si>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</si>
  <si>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</si>
  <si>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</si>
  <si>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</si>
  <si>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</si>
  <si>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</si>
  <si>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</si>
  <si>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</si>
  <si>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</si>
  <si>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</si>
  <si>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</si>
  <si>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</si>
  <si>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</si>
  <si>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</si>
  <si>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</si>
  <si>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</si>
  <si>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</si>
  <si>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</si>
  <si>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</si>
  <si>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</si>
  <si>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</si>
  <si>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</si>
  <si>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</si>
  <si>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</si>
  <si>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</si>
  <si>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</si>
  <si>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</si>
  <si>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</si>
  <si>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</si>
  <si>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</si>
  <si>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</si>
  <si>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</si>
  <si>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</si>
  <si>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</si>
  <si>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</si>
  <si>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</si>
  <si>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</si>
  <si>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</si>
  <si>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</si>
  <si>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</si>
  <si>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</si>
  <si>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</si>
  <si>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</si>
  <si>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</si>
  <si>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</si>
  <si>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</si>
  <si>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</si>
  <si>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</si>
  <si>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</si>
  <si>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</si>
  <si>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</si>
  <si>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</si>
  <si>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</si>
  <si>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</si>
  <si>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</si>
  <si>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</si>
  <si>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</si>
  <si>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</si>
  <si>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</si>
  <si>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</si>
  <si>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</si>
  <si>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</si>
  <si>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</si>
  <si>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</si>
  <si>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</si>
  <si>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</si>
  <si>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</si>
  <si>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</si>
  <si>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</si>
  <si>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</si>
  <si>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</si>
  <si>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</si>
  <si>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</si>
  <si>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</si>
  <si>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</si>
  <si>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</si>
  <si>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</si>
  <si>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</si>
  <si>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</si>
  <si>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</si>
  <si>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</si>
  <si>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</si>
  <si>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</si>
  <si>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</si>
  <si>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</si>
  <si>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</si>
  <si>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</si>
  <si>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</si>
  <si>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</si>
  <si>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</si>
  <si>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</si>
  <si>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</si>
  <si>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</si>
  <si>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</si>
  <si>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</si>
  <si>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</si>
  <si>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</si>
  <si>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</si>
  <si>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</si>
  <si>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</si>
  <si>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</si>
  <si>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</si>
  <si>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</si>
  <si>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</si>
  <si>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</si>
  <si>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</si>
  <si>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</si>
  <si>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</si>
  <si>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</si>
  <si>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</si>
  <si>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</si>
  <si>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</si>
  <si>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</si>
  <si>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</si>
  <si>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</si>
  <si>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</si>
  <si>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</si>
  <si>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</si>
  <si>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</si>
  <si>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</si>
  <si>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</si>
  <si>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</si>
  <si>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</si>
  <si>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</si>
  <si>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</si>
  <si>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</si>
  <si>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</si>
  <si>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</si>
  <si>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</si>
  <si>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</si>
  <si>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</si>
  <si>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</si>
  <si>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</si>
  <si>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</si>
  <si>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</si>
  <si>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</si>
  <si>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</si>
  <si>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</si>
  <si>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</si>
  <si>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</si>
  <si>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</si>
  <si>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</si>
  <si>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</si>
  <si>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</si>
  <si>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</si>
  <si>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</si>
  <si>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</si>
  <si>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</si>
  <si>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</si>
  <si>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</si>
  <si>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</si>
  <si>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</si>
  <si>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</si>
  <si>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</si>
  <si>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</si>
  <si>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</si>
  <si>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</si>
  <si>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</si>
  <si>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</si>
  <si>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</si>
  <si>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</si>
  <si>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</si>
  <si>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</si>
  <si>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</si>
  <si>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</si>
  <si>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</si>
  <si>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</si>
  <si>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</si>
  <si>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</si>
  <si>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</si>
  <si>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</si>
  <si>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</si>
  <si>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</si>
  <si>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</si>
  <si>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</si>
  <si>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</si>
  <si>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</si>
  <si>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</si>
  <si>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</si>
  <si>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</si>
  <si>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</si>
  <si>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</si>
  <si>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</si>
  <si>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</si>
  <si>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</si>
  <si>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</si>
  <si>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</si>
  <si>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</si>
  <si>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</si>
  <si>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</si>
  <si>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</si>
  <si>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</si>
  <si>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</si>
  <si>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</si>
  <si>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</si>
  <si>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</si>
  <si>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</si>
  <si>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</si>
  <si>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</si>
  <si>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</si>
  <si>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</si>
  <si>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</si>
  <si>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</si>
  <si>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</si>
  <si>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</si>
  <si>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</si>
  <si>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</si>
  <si>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</si>
  <si>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</si>
  <si>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</si>
  <si>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</si>
  <si>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</si>
  <si>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</si>
  <si>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</si>
  <si>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</si>
  <si>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</si>
  <si>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</si>
  <si>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</si>
  <si>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</si>
  <si>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</si>
  <si>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</si>
  <si>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</si>
  <si>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</si>
  <si>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</si>
  <si>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</si>
  <si>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</si>
  <si>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</si>
  <si>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</si>
  <si>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</si>
  <si>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</si>
  <si>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</si>
  <si>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</si>
  <si>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</si>
  <si>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</si>
  <si>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</si>
  <si>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</si>
  <si>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</si>
  <si>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</si>
  <si>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</si>
  <si>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</si>
  <si>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</si>
  <si>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</si>
  <si>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</si>
  <si>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</si>
  <si>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</si>
  <si>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</si>
  <si>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</si>
  <si>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</si>
  <si>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</si>
  <si>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</si>
  <si>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</si>
  <si>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</si>
  <si>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</si>
  <si>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</si>
  <si>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</si>
  <si>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</si>
  <si>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</si>
  <si>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</si>
  <si>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</si>
  <si>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</si>
  <si>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</si>
  <si>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</si>
  <si>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</si>
  <si>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</si>
  <si>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</si>
  <si>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</si>
  <si>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</si>
  <si>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</si>
  <si>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</si>
  <si>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</si>
  <si>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</si>
  <si>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</si>
  <si>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</si>
  <si>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</si>
  <si>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</si>
  <si>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</si>
  <si>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</si>
  <si>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</si>
  <si>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</si>
  <si>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</si>
  <si>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</si>
  <si>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</si>
  <si>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</si>
  <si>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</si>
  <si>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</si>
  <si>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</si>
  <si>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</si>
  <si>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</si>
  <si>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</si>
  <si>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</si>
  <si>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</si>
  <si>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</si>
  <si>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</si>
  <si>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</si>
  <si>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</si>
  <si>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</si>
  <si>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</si>
  <si>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</si>
  <si>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</si>
  <si>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</si>
  <si>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</si>
  <si>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</si>
  <si>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</si>
  <si>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</si>
  <si>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</si>
  <si>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</si>
  <si>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</si>
  <si>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</si>
  <si>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</si>
  <si>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</si>
  <si>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</si>
  <si>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</si>
  <si>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</si>
  <si>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</si>
  <si>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</si>
  <si>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</si>
  <si>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</si>
  <si>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</si>
  <si>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</si>
  <si>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</si>
  <si>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</si>
  <si>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</si>
  <si>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</si>
  <si>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</si>
  <si>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</si>
  <si>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</si>
  <si>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</si>
  <si>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</si>
  <si>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</si>
  <si>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</si>
  <si>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</si>
  <si>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</si>
  <si>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</si>
  <si>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</si>
  <si>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</si>
  <si>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</si>
  <si>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</si>
  <si>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</si>
  <si>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</si>
  <si>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</si>
  <si>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</si>
  <si>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</si>
  <si>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</si>
  <si>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</si>
  <si>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</si>
  <si>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</si>
  <si>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</si>
  <si>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</si>
  <si>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</si>
  <si>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</si>
  <si>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</si>
  <si>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</si>
  <si>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</si>
  <si>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</si>
  <si>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</si>
  <si>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</si>
  <si>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</si>
  <si>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</si>
  <si>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</si>
  <si>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</si>
  <si>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</si>
  <si>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</si>
  <si>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</si>
  <si>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</si>
  <si>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</si>
  <si>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</si>
  <si>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</si>
  <si>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</si>
  <si>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</si>
  <si>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</si>
  <si>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</si>
  <si>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</si>
  <si>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</si>
  <si>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</si>
  <si>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</si>
  <si>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</si>
  <si>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</si>
  <si>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</si>
  <si>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</si>
  <si>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</si>
  <si>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</si>
  <si>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</si>
  <si>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</si>
  <si>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</si>
  <si>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</si>
  <si>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</si>
  <si>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</si>
  <si>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</si>
  <si>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</si>
  <si>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</si>
  <si>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</si>
  <si>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</si>
  <si>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</si>
  <si>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</si>
  <si>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</si>
  <si>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</si>
  <si>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</si>
  <si>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</si>
  <si>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</si>
  <si>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</si>
  <si>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</si>
  <si>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</si>
  <si>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</si>
  <si>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</si>
  <si>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</si>
  <si>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</si>
  <si>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</si>
  <si>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</si>
  <si>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</si>
  <si>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</si>
  <si>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</si>
  <si>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</si>
  <si>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</si>
  <si>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</si>
  <si>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</si>
  <si>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</si>
  <si>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</si>
  <si>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</si>
  <si>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</si>
  <si>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</si>
  <si>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</si>
  <si>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</si>
  <si>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</si>
  <si>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</si>
  <si>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</si>
  <si>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</si>
  <si>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</si>
  <si>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</si>
  <si>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</si>
  <si>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</si>
  <si>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</si>
  <si>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</si>
  <si>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</si>
  <si>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</si>
  <si>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</si>
  <si>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</si>
  <si>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</si>
  <si>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</si>
  <si>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</si>
  <si>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</si>
  <si>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</si>
  <si>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</si>
  <si>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</si>
  <si>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</si>
  <si>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</si>
  <si>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</si>
  <si>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</si>
  <si>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</si>
  <si>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</si>
  <si>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</si>
  <si>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</si>
  <si>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</si>
  <si>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</si>
  <si>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</si>
  <si>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</si>
  <si>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</si>
  <si>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</si>
  <si>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</si>
  <si>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</si>
  <si>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</si>
  <si>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</si>
  <si>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</si>
  <si>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</si>
  <si>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</si>
  <si>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</si>
  <si>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</si>
  <si>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</si>
  <si>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</si>
  <si>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</si>
  <si>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</si>
  <si>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</si>
  <si>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</si>
  <si>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</si>
  <si>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</si>
  <si>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</si>
  <si>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</si>
  <si>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</si>
  <si>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</si>
  <si>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</si>
  <si>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</si>
  <si>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</si>
  <si>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</si>
  <si>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</si>
  <si>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</si>
  <si>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</si>
  <si>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</si>
  <si>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</si>
  <si>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</si>
  <si>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</si>
  <si>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</si>
  <si>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</si>
  <si>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</si>
  <si>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</si>
  <si>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</si>
  <si>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</si>
  <si>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</si>
  <si>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</si>
  <si>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</si>
  <si>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</si>
  <si>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</si>
  <si>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</si>
  <si>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</si>
  <si>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</si>
  <si>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</si>
  <si>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</si>
  <si>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</si>
  <si>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</si>
  <si>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</si>
  <si>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</si>
  <si>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</si>
  <si>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</si>
  <si>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</si>
  <si>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</si>
  <si>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</si>
  <si>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</si>
  <si>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</si>
  <si>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</si>
  <si>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</si>
  <si>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</si>
  <si>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</si>
  <si>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</si>
  <si>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</si>
  <si>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</si>
  <si>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</si>
  <si>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</si>
  <si>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</si>
  <si>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</si>
  <si>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</si>
  <si>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</si>
  <si>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</si>
  <si>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</si>
  <si>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</si>
  <si>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</si>
  <si>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</si>
  <si>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</si>
  <si>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</si>
  <si>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</si>
  <si>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</si>
  <si>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</si>
  <si>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</si>
  <si>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</si>
  <si>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</si>
  <si>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</si>
  <si>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</si>
  <si>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</si>
  <si>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</si>
  <si>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</si>
  <si>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</si>
  <si>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</si>
  <si>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</si>
  <si>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</si>
  <si>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</si>
  <si>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</si>
  <si>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</si>
  <si>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</si>
  <si>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</si>
  <si>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</si>
  <si>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</si>
  <si>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</si>
  <si>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</si>
  <si>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</si>
  <si>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</si>
  <si>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</si>
  <si>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</si>
  <si>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</si>
  <si>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</si>
  <si>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</si>
  <si>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</si>
  <si>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</si>
  <si>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</si>
  <si>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</si>
  <si>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</si>
  <si>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</si>
  <si>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</si>
  <si>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</si>
  <si>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</si>
  <si>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</si>
  <si>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</si>
  <si>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</si>
  <si>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</si>
  <si>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</si>
  <si>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</si>
  <si>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</si>
  <si>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</si>
  <si>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</si>
  <si>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</si>
  <si>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</si>
  <si>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</si>
  <si>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</si>
  <si>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</si>
  <si>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</si>
  <si>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</si>
  <si>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</si>
  <si>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</si>
  <si>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</si>
  <si>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</si>
  <si>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</si>
  <si>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</si>
  <si>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</si>
  <si>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</si>
  <si>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</si>
  <si>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</si>
  <si>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</si>
  <si>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</si>
  <si>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</si>
  <si>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</si>
  <si>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</si>
  <si>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</si>
  <si>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</si>
  <si>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</si>
  <si>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</si>
  <si>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</si>
  <si>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</si>
  <si>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</si>
  <si>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</si>
  <si>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</si>
  <si>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</si>
  <si>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</si>
  <si>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</si>
  <si>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</si>
  <si>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</si>
  <si>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</si>
  <si>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</si>
  <si>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</si>
  <si>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</si>
  <si>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</si>
  <si>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</si>
  <si>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</si>
  <si>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</si>
  <si>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</si>
  <si>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</si>
  <si>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</si>
  <si>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</si>
  <si>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</si>
  <si>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</si>
  <si>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</si>
  <si>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</si>
  <si>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</si>
  <si>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</si>
  <si>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</si>
  <si>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</si>
  <si>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</si>
  <si>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</si>
  <si>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</si>
  <si>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</si>
  <si>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</si>
  <si>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</si>
  <si>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</si>
  <si>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</si>
  <si>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</si>
  <si>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</si>
  <si>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</si>
  <si>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</si>
  <si>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</si>
  <si>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</si>
  <si>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</si>
  <si>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</si>
  <si>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</si>
  <si>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</si>
  <si>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</si>
  <si>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</si>
  <si>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</si>
  <si>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</si>
  <si>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</si>
  <si>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</si>
  <si>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</si>
  <si>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</si>
  <si>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</si>
  <si>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</si>
  <si>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</si>
  <si>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</si>
  <si>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</si>
  <si>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</si>
  <si>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</si>
  <si>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</si>
  <si>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</si>
  <si>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</si>
  <si>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</si>
  <si>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</si>
  <si>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</si>
  <si>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</si>
  <si>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</si>
  <si>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</si>
  <si>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</si>
  <si>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</si>
  <si>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</si>
  <si>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</si>
  <si>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</si>
  <si>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</si>
  <si>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</si>
  <si>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</si>
  <si>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</si>
  <si>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</si>
  <si>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</si>
  <si>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</si>
  <si>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</si>
  <si>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</si>
  <si>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</si>
  <si>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</si>
  <si>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</si>
  <si>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</si>
  <si>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</si>
  <si>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</si>
  <si>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</si>
  <si>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</si>
  <si>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</si>
  <si>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</si>
  <si>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</si>
  <si>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</si>
  <si>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</si>
  <si>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</si>
  <si>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</si>
  <si>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</si>
  <si>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</si>
  <si>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</si>
  <si>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</si>
  <si>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</si>
  <si>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</si>
  <si>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</si>
  <si>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</si>
  <si>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</si>
  <si>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</si>
  <si>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</si>
  <si>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</si>
  <si>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</si>
  <si>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</si>
  <si>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</si>
  <si>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</si>
  <si>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</si>
  <si>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</si>
  <si>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</si>
  <si>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</si>
  <si>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</si>
  <si>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</si>
  <si>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</si>
  <si>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</si>
  <si>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</si>
  <si>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</si>
  <si>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</si>
  <si>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</si>
  <si>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</si>
  <si>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</si>
  <si>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</si>
  <si>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</si>
  <si>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</si>
  <si>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</si>
  <si>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</si>
  <si>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</si>
  <si>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</si>
  <si>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</si>
  <si>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</si>
  <si>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</si>
  <si>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</si>
  <si>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</si>
  <si>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</si>
  <si>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</si>
  <si>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</si>
  <si>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</si>
  <si>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</si>
  <si>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</si>
  <si>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</si>
  <si>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</si>
  <si>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</si>
  <si>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</si>
  <si>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</si>
  <si>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</si>
  <si>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</si>
  <si>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</si>
  <si>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</si>
  <si>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</si>
  <si>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</si>
  <si>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</si>
  <si>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</si>
  <si>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</si>
  <si>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</si>
  <si>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</si>
  <si>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</si>
  <si>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</si>
  <si>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</si>
  <si>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</si>
  <si>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</si>
  <si>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</si>
  <si>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</si>
  <si>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</si>
  <si>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</si>
  <si>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</si>
  <si>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</si>
  <si>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</si>
  <si>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</si>
  <si>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</si>
  <si>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</si>
  <si>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</si>
  <si>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</si>
  <si>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</si>
  <si>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</si>
  <si>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</si>
  <si>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</si>
  <si>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</si>
  <si>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</si>
  <si>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</si>
  <si>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</si>
  <si>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</si>
  <si>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</si>
  <si>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</si>
  <si>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</si>
  <si>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</si>
  <si>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</si>
  <si>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</si>
  <si>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</si>
  <si>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</si>
  <si>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</si>
  <si>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</si>
  <si>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</si>
  <si>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</si>
  <si>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</si>
  <si>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</si>
  <si>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</si>
  <si>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</si>
  <si>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</si>
  <si>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</si>
  <si>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</si>
  <si>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</si>
  <si>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</si>
  <si>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</si>
  <si>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</si>
  <si>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</si>
  <si>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</si>
  <si>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</si>
  <si>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</si>
  <si>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</si>
  <si>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</si>
  <si>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</si>
  <si>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</si>
  <si>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</si>
  <si>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</si>
  <si>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</si>
  <si>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</si>
  <si>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</si>
  <si>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</si>
  <si>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</si>
  <si>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</si>
  <si>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</si>
  <si>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</si>
  <si>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</si>
  <si>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</si>
  <si>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</si>
  <si>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</si>
  <si>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</si>
  <si>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</si>
  <si>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</si>
  <si>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</si>
  <si>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</si>
  <si>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</si>
  <si>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</si>
  <si>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</si>
  <si>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</si>
  <si>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</si>
  <si>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</si>
  <si>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</si>
  <si>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</si>
  <si>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</si>
  <si>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</si>
  <si>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</si>
  <si>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</si>
  <si>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</si>
  <si>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</si>
  <si>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</si>
  <si>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</si>
  <si>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</si>
  <si>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</si>
  <si>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</si>
  <si>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</si>
  <si>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</si>
  <si>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</si>
  <si>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</si>
  <si>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</si>
  <si>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</si>
  <si>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</si>
  <si>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</si>
  <si>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</si>
  <si>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</si>
  <si>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</si>
  <si>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</si>
  <si>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</si>
  <si>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</si>
  <si>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</si>
  <si>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</si>
  <si>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</si>
  <si>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</si>
  <si>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</si>
  <si>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</si>
  <si>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</si>
  <si>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</si>
  <si>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</si>
  <si>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</si>
  <si>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</si>
  <si>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</si>
  <si>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</si>
  <si>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</si>
  <si>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</si>
  <si>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</si>
  <si>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</si>
  <si>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</si>
  <si>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</si>
  <si>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</si>
  <si>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</si>
  <si>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</si>
  <si>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</si>
  <si>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</si>
  <si>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</si>
  <si>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</si>
  <si>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</si>
  <si>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</si>
  <si>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</si>
  <si>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</si>
  <si>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</si>
  <si>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</si>
  <si>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</si>
  <si>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</si>
  <si>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</si>
  <si>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</si>
  <si>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</si>
  <si>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</si>
  <si>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</si>
  <si>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</si>
  <si>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</si>
  <si>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</si>
  <si>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</si>
  <si>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</si>
  <si>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</si>
  <si>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</si>
  <si>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</si>
  <si>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</si>
  <si>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</si>
  <si>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</si>
  <si>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</si>
  <si>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</si>
  <si>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</si>
  <si>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</si>
  <si>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</si>
  <si>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</si>
  <si>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</si>
  <si>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</si>
  <si>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</si>
  <si>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</si>
  <si>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</si>
  <si>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</si>
  <si>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</si>
  <si>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</si>
  <si>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</si>
  <si>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</si>
  <si>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</si>
  <si>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</si>
  <si>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</si>
  <si>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</si>
  <si>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</si>
  <si>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</si>
  <si>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</si>
  <si>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</si>
  <si>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</si>
  <si>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</si>
  <si>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</si>
  <si>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</si>
  <si>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</si>
  <si>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</si>
  <si>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</si>
  <si>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</si>
  <si>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</si>
  <si>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</si>
  <si>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</si>
  <si>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</si>
  <si>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</si>
  <si>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</si>
  <si>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</si>
  <si>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</si>
  <si>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</si>
  <si>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</si>
  <si>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</si>
  <si>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</si>
  <si>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</si>
  <si>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</si>
  <si>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</si>
  <si>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</si>
  <si>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</si>
  <si>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</si>
  <si>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</si>
  <si>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</si>
  <si>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</si>
  <si>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</si>
  <si>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</si>
  <si>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</si>
  <si>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</si>
  <si>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</si>
  <si>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</si>
  <si>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</si>
  <si>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</si>
  <si>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</si>
  <si>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</si>
  <si>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</si>
  <si>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</si>
  <si>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</si>
  <si>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</si>
  <si>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</si>
  <si>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</si>
  <si>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</si>
  <si>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</si>
  <si>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</si>
  <si>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</si>
  <si>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</si>
  <si>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</si>
  <si>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</si>
  <si>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</si>
  <si>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</si>
  <si>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</si>
  <si>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</si>
  <si>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</si>
  <si>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</si>
  <si>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</si>
  <si>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</si>
  <si>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</si>
  <si>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</si>
  <si>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</si>
  <si>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</si>
  <si>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</si>
  <si>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</si>
  <si>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</si>
  <si>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</si>
  <si>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</si>
  <si>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</si>
  <si>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</si>
  <si>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</si>
  <si>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</si>
  <si>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</si>
  <si>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</si>
  <si>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</si>
  <si>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</si>
  <si>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</si>
  <si>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</si>
  <si>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</si>
  <si>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</si>
  <si>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</si>
  <si>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</si>
  <si>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</si>
  <si>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</si>
  <si>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</si>
  <si>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</si>
  <si>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</si>
  <si>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</si>
  <si>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</si>
  <si>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</si>
  <si>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</si>
  <si>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</si>
  <si>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</si>
  <si>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</si>
  <si>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</si>
  <si>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</si>
  <si>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</si>
  <si>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</si>
  <si>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</si>
  <si>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</si>
  <si>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</si>
  <si>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</si>
  <si>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</si>
  <si>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</si>
  <si>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</si>
  <si>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</si>
  <si>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</si>
  <si>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</si>
  <si>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</si>
  <si>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</si>
  <si>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</si>
  <si>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</si>
  <si>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</si>
  <si>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</si>
  <si>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</si>
  <si>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</si>
  <si>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</si>
  <si>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</si>
  <si>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</si>
  <si>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</si>
  <si>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</si>
  <si>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</si>
  <si>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</si>
  <si>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</si>
  <si>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</si>
  <si>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</si>
  <si>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</si>
  <si>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</si>
  <si>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</si>
  <si>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</si>
  <si>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</si>
  <si>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</si>
  <si>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</si>
  <si>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</si>
  <si>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</si>
  <si>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</si>
  <si>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</si>
  <si>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</si>
  <si>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</si>
  <si>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</si>
  <si>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</si>
  <si>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</si>
  <si>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</si>
  <si>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</si>
  <si>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</si>
  <si>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</si>
  <si>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</si>
  <si>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</si>
  <si>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</si>
  <si>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</si>
  <si>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</si>
  <si>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</si>
  <si>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</si>
  <si>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</si>
  <si>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</si>
  <si>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</si>
  <si>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</si>
  <si>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</si>
  <si>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</si>
  <si>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</si>
  <si>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</si>
  <si>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</si>
  <si>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</si>
  <si>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</si>
  <si>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</si>
  <si>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</si>
  <si>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</si>
  <si>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</si>
  <si>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</si>
  <si>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</si>
  <si>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</si>
  <si>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</si>
  <si>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</si>
  <si>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</si>
  <si>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</si>
  <si>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</si>
  <si>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</si>
  <si>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</si>
  <si>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</si>
  <si>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</si>
  <si>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</si>
  <si>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</si>
  <si>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</si>
  <si>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</si>
  <si>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</si>
  <si>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</si>
  <si>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</si>
  <si>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</si>
  <si>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</si>
  <si>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</si>
  <si>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</si>
  <si>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</si>
  <si>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</si>
  <si>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</si>
  <si>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</si>
  <si>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</si>
  <si>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</si>
  <si>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</si>
  <si>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</si>
  <si>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</si>
  <si>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</si>
  <si>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</si>
  <si>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</si>
  <si>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</si>
  <si>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</si>
  <si>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</si>
  <si>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</si>
  <si>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</si>
  <si>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</si>
  <si>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</si>
  <si>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</si>
  <si>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</si>
  <si>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</si>
  <si>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</si>
  <si>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</si>
  <si>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</si>
  <si>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</si>
  <si>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</si>
  <si>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</si>
  <si>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</si>
  <si>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</si>
  <si>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</si>
  <si>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</si>
  <si>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</si>
  <si>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</si>
  <si>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</si>
  <si>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</si>
  <si>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</si>
  <si>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</si>
  <si>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</si>
  <si>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</si>
  <si>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</si>
  <si>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</si>
  <si>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</si>
  <si>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</si>
  <si>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</si>
  <si>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</si>
  <si>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</si>
  <si>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</si>
  <si>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</si>
  <si>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</si>
  <si>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</si>
  <si>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</si>
  <si>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</si>
  <si>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</si>
  <si>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</si>
  <si>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</si>
  <si>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</si>
  <si>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</si>
  <si>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</si>
  <si>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</si>
  <si>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</si>
  <si>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</si>
  <si>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</si>
  <si>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</si>
  <si>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</si>
  <si>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</si>
  <si>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</si>
  <si>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</si>
  <si>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</si>
  <si>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</si>
  <si>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</si>
  <si>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</si>
  <si>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</si>
  <si>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</si>
  <si>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</si>
  <si>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</si>
  <si>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</si>
  <si>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</si>
  <si>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</si>
  <si>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</si>
  <si>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</si>
  <si>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</si>
  <si>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</si>
  <si>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</si>
  <si>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</si>
  <si>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</si>
  <si>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</si>
  <si>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</si>
  <si>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</si>
  <si>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</si>
  <si>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</si>
  <si>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</si>
  <si>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</si>
  <si>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</si>
  <si>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</si>
  <si>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</si>
  <si>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</si>
  <si>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</si>
  <si>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</si>
  <si>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</si>
  <si>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</si>
  <si>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</si>
  <si>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</si>
  <si>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</si>
  <si>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</si>
  <si>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</si>
  <si>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</si>
  <si>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</si>
  <si>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</si>
  <si>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</si>
  <si>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</si>
  <si>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</si>
  <si>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</si>
  <si>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</si>
  <si>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</si>
  <si>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</si>
  <si>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</si>
  <si>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</si>
  <si>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</si>
  <si>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</si>
  <si>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</si>
  <si>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</si>
  <si>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</si>
  <si>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</si>
  <si>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</si>
  <si>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</si>
  <si>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</si>
  <si>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</si>
  <si>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</si>
  <si>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</si>
  <si>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</si>
  <si>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</si>
  <si>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</si>
  <si>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</si>
  <si>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</si>
  <si>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</si>
  <si>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</si>
  <si>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</si>
  <si>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</si>
  <si>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</si>
  <si>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</si>
  <si>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</si>
  <si>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</si>
  <si>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</si>
  <si>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</si>
  <si>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</si>
  <si>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</si>
  <si>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</si>
  <si>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</si>
  <si>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</si>
  <si>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</si>
  <si>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</si>
  <si>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</si>
  <si>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</si>
  <si>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</si>
  <si>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</si>
  <si>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</si>
  <si>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</si>
  <si>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</si>
  <si>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</si>
  <si>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</si>
  <si>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</si>
  <si>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</si>
  <si>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</si>
  <si>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</si>
  <si>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</si>
  <si>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</si>
  <si>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</si>
  <si>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</si>
  <si>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</si>
  <si>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</si>
  <si>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</si>
  <si>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</si>
  <si>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</si>
  <si>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</si>
  <si>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</si>
  <si>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</si>
  <si>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</si>
  <si>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</si>
  <si>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</si>
  <si>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</si>
  <si>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</si>
  <si>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</si>
  <si>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</si>
  <si>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</si>
  <si>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</si>
  <si>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</si>
  <si>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</si>
  <si>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</si>
  <si>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</si>
  <si>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</si>
  <si>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</si>
  <si>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</si>
  <si>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</si>
  <si>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</si>
  <si>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</si>
  <si>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</si>
  <si>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</si>
  <si>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</si>
  <si>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</si>
  <si>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</si>
  <si>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</si>
  <si>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</si>
  <si>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</si>
  <si>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</si>
  <si>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</si>
  <si>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</si>
  <si>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</si>
  <si>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</si>
  <si>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</si>
  <si>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</si>
  <si>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</si>
  <si>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</si>
  <si>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</si>
  <si>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</si>
  <si>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</si>
  <si>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</si>
  <si>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</si>
  <si>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</si>
  <si>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</si>
  <si>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</si>
  <si>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</si>
  <si>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</si>
  <si>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</si>
  <si>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</si>
  <si>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</si>
  <si>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</si>
  <si>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</si>
  <si>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</si>
  <si>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</si>
  <si>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</si>
  <si>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</si>
  <si>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Schorb &amp; Schmersahl, LLC</t>
  </si>
  <si>
    <t>James R. Schmersahl</t>
  </si>
  <si>
    <t>518 North Main Street</t>
  </si>
  <si>
    <t>Columbia</t>
  </si>
  <si>
    <t>IL</t>
  </si>
  <si>
    <t>618-281-5195</t>
  </si>
  <si>
    <t>618-281-6101</t>
  </si>
  <si>
    <t>Kelton Davis</t>
  </si>
  <si>
    <t>Randolph</t>
  </si>
  <si>
    <t>714 Middle Street</t>
  </si>
  <si>
    <t>Prairie du Rocher</t>
  </si>
  <si>
    <t>kdavis@roe45.org</t>
  </si>
  <si>
    <t>618-939-5650</t>
  </si>
  <si>
    <t>618-939-5332</t>
  </si>
  <si>
    <t>Dr. Larry Beattie</t>
  </si>
  <si>
    <t>lbeattie@pdr134.com</t>
  </si>
  <si>
    <t>618-284-3530</t>
  </si>
  <si>
    <t>618-284-3444</t>
  </si>
  <si>
    <t>jim@stcpa.com</t>
  </si>
  <si>
    <t>pdr134@htc.net</t>
  </si>
  <si>
    <t>Fund 10/page 10/Acct 1614/Line 72 - $3,921 Sales to Pupils-Other</t>
  </si>
  <si>
    <t>Fund 10/Page 11/Acct 1993/Line 106 - $11,368 Before &amp; After School Program</t>
  </si>
  <si>
    <t>Fund 10/Page 11/Acct 1999/Line 107 - $30,753 "Other"</t>
  </si>
  <si>
    <t>Fund 20, Page 11/Acct 1999/Line 107 - $837 "Other"</t>
  </si>
  <si>
    <t>066-003932</t>
  </si>
  <si>
    <t>Perandoe Special Education District</t>
  </si>
  <si>
    <t>Quality Network Solutions</t>
  </si>
  <si>
    <t>ED - Purchsed Services - Other</t>
  </si>
  <si>
    <t>10-1110-319</t>
  </si>
  <si>
    <t>Quality Network Solution</t>
  </si>
  <si>
    <t>ED - Property Service - Lease</t>
  </si>
  <si>
    <t>10-1110-320</t>
  </si>
  <si>
    <t>American Imagin</t>
  </si>
  <si>
    <t>Prairie Du Rocher CCSD 134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</si>
</sst>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5" t="s">
        <v>405</v>
      </c>
      <c r="J1" s="2016"/>
      <c r="K1" s="2016"/>
      <c r="L1" s="2016"/>
      <c r="M1" s="2016"/>
      <c r="N1" s="2016"/>
      <c r="O1" s="2016"/>
      <c r="P1" s="2016"/>
      <c r="Q1" s="2016"/>
      <c r="R1" s="2016"/>
      <c r="S1" s="2016"/>
    </row>
    <row r="2" spans="1:28" ht="12" customHeight="1" x14ac:dyDescent="0.2">
      <c r="A2" s="47" t="s">
        <v>1993</v>
      </c>
      <c r="D2" s="48"/>
      <c r="I2" s="2017" t="s">
        <v>979</v>
      </c>
      <c r="J2" s="2016"/>
      <c r="K2" s="2016"/>
      <c r="L2" s="2016"/>
      <c r="M2" s="2016"/>
      <c r="N2" s="2016"/>
      <c r="O2" s="2016"/>
      <c r="P2" s="2016"/>
      <c r="Q2" s="2016"/>
      <c r="R2" s="2016"/>
      <c r="S2" s="2016"/>
    </row>
    <row r="3" spans="1:28" ht="12" customHeight="1" x14ac:dyDescent="0.2">
      <c r="A3" s="155" t="s">
        <v>1945</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t="s">
        <v>2064</v>
      </c>
      <c r="C5" s="26" t="s">
        <v>910</v>
      </c>
      <c r="D5" s="84"/>
      <c r="E5" s="84"/>
      <c r="H5" s="38"/>
      <c r="I5" s="2024" t="s">
        <v>680</v>
      </c>
      <c r="J5" s="1969"/>
      <c r="K5" s="1969"/>
      <c r="L5" s="1969"/>
      <c r="M5" s="1969"/>
      <c r="N5" s="1969"/>
      <c r="O5" s="1969"/>
      <c r="P5" s="1969"/>
      <c r="Q5" s="1969"/>
      <c r="R5" s="1969"/>
      <c r="S5" s="1969"/>
    </row>
    <row r="6" spans="1:28" ht="14.1" customHeight="1" x14ac:dyDescent="0.2">
      <c r="B6" s="104"/>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2064</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45079134004</v>
      </c>
      <c r="B13" s="1986"/>
      <c r="C13" s="1986"/>
      <c r="D13" s="1986"/>
      <c r="E13" s="1986"/>
      <c r="F13" s="1986"/>
      <c r="G13" s="1986"/>
      <c r="H13" s="1987"/>
      <c r="I13" s="31"/>
      <c r="J13" s="30"/>
      <c r="K13" s="28"/>
      <c r="L13" s="30"/>
      <c r="M13" s="30"/>
      <c r="N13" s="30"/>
      <c r="O13" s="30"/>
      <c r="P13" s="30"/>
      <c r="Q13" s="30"/>
      <c r="R13" s="30"/>
      <c r="S13" s="30"/>
      <c r="T13" s="1990" t="s">
        <v>2065</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2073</v>
      </c>
      <c r="B15" s="1988"/>
      <c r="C15" s="1988"/>
      <c r="D15" s="1988"/>
      <c r="E15" s="1988"/>
      <c r="F15" s="1988"/>
      <c r="G15" s="1988"/>
      <c r="H15" s="1989"/>
      <c r="T15" s="1951" t="s">
        <v>2066</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2098</v>
      </c>
      <c r="B17" s="2013"/>
      <c r="C17" s="2013"/>
      <c r="D17" s="2013"/>
      <c r="E17" s="2013"/>
      <c r="F17" s="2013"/>
      <c r="G17" s="2013"/>
      <c r="H17" s="2014"/>
      <c r="T17" s="2000" t="s">
        <v>2067</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2074</v>
      </c>
      <c r="B19" s="1984"/>
      <c r="C19" s="1984"/>
      <c r="D19" s="1984"/>
      <c r="E19" s="1984"/>
      <c r="F19" s="1984"/>
      <c r="G19" s="1984"/>
      <c r="H19" s="1982"/>
      <c r="I19" s="30"/>
      <c r="J19" s="99"/>
      <c r="K19" s="40"/>
      <c r="L19" s="38"/>
      <c r="M19" s="112" t="s">
        <v>315</v>
      </c>
      <c r="P19" s="27"/>
      <c r="Q19" s="27"/>
      <c r="R19" s="27"/>
      <c r="S19" s="31"/>
      <c r="T19" s="1983" t="s">
        <v>2068</v>
      </c>
      <c r="U19" s="1981"/>
      <c r="V19" s="1981"/>
      <c r="W19" s="1982"/>
      <c r="X19" s="1998" t="s">
        <v>2069</v>
      </c>
      <c r="Y19" s="1999"/>
      <c r="Z19" s="1996">
        <v>62236</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2075</v>
      </c>
      <c r="B21" s="1981"/>
      <c r="C21" s="1981"/>
      <c r="D21" s="1981"/>
      <c r="E21" s="1981"/>
      <c r="F21" s="1981"/>
      <c r="G21" s="1981"/>
      <c r="H21" s="1982"/>
      <c r="I21" s="2006" t="s">
        <v>678</v>
      </c>
      <c r="J21" s="1969"/>
      <c r="K21" s="1969"/>
      <c r="L21" s="1969"/>
      <c r="M21" s="1969"/>
      <c r="N21" s="1969"/>
      <c r="O21" s="1969"/>
      <c r="P21" s="1969"/>
      <c r="Q21" s="1969"/>
      <c r="R21" s="1969"/>
      <c r="S21" s="1970"/>
      <c r="T21" s="1948" t="s">
        <v>2070</v>
      </c>
      <c r="U21" s="1949"/>
      <c r="V21" s="1949"/>
      <c r="W21" s="1949"/>
      <c r="X21" s="1962" t="s">
        <v>2071</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t="s">
        <v>2084</v>
      </c>
      <c r="B23" s="2004"/>
      <c r="C23" s="2004"/>
      <c r="D23" s="2004"/>
      <c r="E23" s="2004"/>
      <c r="F23" s="2004"/>
      <c r="G23" s="2004"/>
      <c r="H23" s="2005"/>
      <c r="T23" s="1943" t="s">
        <v>2089</v>
      </c>
      <c r="U23" s="1944"/>
      <c r="V23" s="1944"/>
      <c r="W23" s="1944"/>
      <c r="X23" s="1959">
        <v>44530</v>
      </c>
      <c r="Y23" s="1960"/>
      <c r="Z23" s="1960"/>
      <c r="AA23" s="1961"/>
    </row>
    <row r="24" spans="1:27" ht="14.1" customHeight="1" x14ac:dyDescent="0.2">
      <c r="A24" s="88" t="s">
        <v>677</v>
      </c>
      <c r="B24" s="49"/>
      <c r="C24" s="49"/>
      <c r="D24" s="49"/>
      <c r="E24" s="49"/>
      <c r="F24" s="49"/>
      <c r="G24" s="49"/>
      <c r="H24" s="61"/>
      <c r="J24" s="2045" t="str">
        <f>IF(B5="x",IF(AUDITCHECK!D29="AFR form Incomplete.","",IF(AUDITCHECK!D29="Deficit reduction plan is required.","School District must complete a deficit reduction plan in the 2019-2020 Budget",)),"")</f>
        <v>School District must complete a deficit reduction plan in the 2019-2020 Budget</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v>62277</v>
      </c>
      <c r="B25" s="1981"/>
      <c r="C25" s="1981"/>
      <c r="D25" s="1981"/>
      <c r="E25" s="1981"/>
      <c r="F25" s="1981"/>
      <c r="G25" s="1981"/>
      <c r="H25" s="1982"/>
      <c r="I25" s="113"/>
      <c r="J25" s="2047"/>
      <c r="K25" s="2047"/>
      <c r="L25" s="2047"/>
      <c r="M25" s="2047"/>
      <c r="N25" s="2047"/>
      <c r="O25" s="2047"/>
      <c r="P25" s="2047"/>
      <c r="Q25" s="2047"/>
      <c r="R25" s="2047"/>
      <c r="S25" s="2048"/>
      <c r="T25" s="1940" t="s">
        <v>2083</v>
      </c>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2064</v>
      </c>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48" t="s">
        <v>2064</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2079</v>
      </c>
      <c r="B38" s="2013"/>
      <c r="C38" s="2013"/>
      <c r="D38" s="2013"/>
      <c r="E38" s="2013"/>
      <c r="F38" s="1981"/>
      <c r="G38" s="1981"/>
      <c r="H38" s="1982"/>
      <c r="I38" s="2032"/>
      <c r="J38" s="1952"/>
      <c r="K38" s="1952"/>
      <c r="L38" s="1952"/>
      <c r="M38" s="1952"/>
      <c r="N38" s="1952"/>
      <c r="O38" s="1952"/>
      <c r="P38" s="1953"/>
      <c r="Q38" s="1953"/>
      <c r="R38" s="1953"/>
      <c r="S38" s="1954"/>
      <c r="T38" s="1951" t="s">
        <v>2072</v>
      </c>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2080</v>
      </c>
      <c r="B40" s="2040"/>
      <c r="C40" s="2041"/>
      <c r="D40" s="2041"/>
      <c r="E40" s="2041"/>
      <c r="F40" s="2042"/>
      <c r="G40" s="2042"/>
      <c r="H40" s="2043"/>
      <c r="I40" s="1955"/>
      <c r="J40" s="1957"/>
      <c r="K40" s="1957"/>
      <c r="L40" s="1957"/>
      <c r="M40" s="1957"/>
      <c r="N40" s="1957"/>
      <c r="O40" s="1957"/>
      <c r="P40" s="1957"/>
      <c r="Q40" s="1957"/>
      <c r="R40" s="1957"/>
      <c r="S40" s="1958"/>
      <c r="T40" s="1955" t="s">
        <v>2076</v>
      </c>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2081</v>
      </c>
      <c r="B42" s="2030"/>
      <c r="C42" s="2031"/>
      <c r="D42" s="2044" t="s">
        <v>2082</v>
      </c>
      <c r="E42" s="2030"/>
      <c r="F42" s="2030"/>
      <c r="G42" s="2030"/>
      <c r="H42" s="2031"/>
      <c r="I42" s="1950"/>
      <c r="J42" s="1946"/>
      <c r="K42" s="1946"/>
      <c r="L42" s="1946"/>
      <c r="M42" s="1946"/>
      <c r="N42" s="1946"/>
      <c r="O42" s="1947"/>
      <c r="P42" s="1945"/>
      <c r="Q42" s="1946"/>
      <c r="R42" s="1946"/>
      <c r="S42" s="1947"/>
      <c r="T42" s="1950" t="s">
        <v>2077</v>
      </c>
      <c r="U42" s="1946"/>
      <c r="V42" s="1946"/>
      <c r="W42" s="1947"/>
      <c r="X42" s="1945" t="s">
        <v>2078</v>
      </c>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4" sqref="B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0" colorId="8" zoomScale="110" zoomScaleNormal="110" workbookViewId="0">
      <selection activeCell="B4" sqref="B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2064</v>
      </c>
      <c r="C53" s="179">
        <v>22</v>
      </c>
      <c r="D53" s="247" t="s">
        <v>1462</v>
      </c>
      <c r="E53" s="248"/>
      <c r="F53" s="249"/>
      <c r="G53" s="249" t="s">
        <v>1461</v>
      </c>
      <c r="H53" s="250">
        <v>37226</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2065</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B4" sqref="B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13420624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1.6515800000000001E-2</v>
      </c>
      <c r="E10" s="356" t="s">
        <v>1005</v>
      </c>
      <c r="F10" s="355">
        <v>1.8533E-3</v>
      </c>
      <c r="G10" s="356" t="s">
        <v>1005</v>
      </c>
      <c r="H10" s="355">
        <v>8.4929999999999999E-4</v>
      </c>
      <c r="I10" s="356" t="s">
        <v>1006</v>
      </c>
      <c r="J10" s="1732">
        <f>ROUND(D10+F10+H10,5)</f>
        <v>1.9220000000000001E-2</v>
      </c>
      <c r="K10" s="222"/>
      <c r="L10" s="355">
        <v>3.5419999999999999E-4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1475215</v>
      </c>
      <c r="E16" s="356"/>
      <c r="F16" s="1733">
        <f>SUM('Acct Summary 7-8'!C17,'Acct Summary 7-8'!D17,'Acct Summary 7-8'!F17)</f>
        <v>1594796</v>
      </c>
      <c r="G16" s="356"/>
      <c r="H16" s="1733">
        <f>SUM(D16-F16)</f>
        <v>-119581</v>
      </c>
      <c r="I16" s="222"/>
      <c r="J16" s="1733">
        <f>SUM('Acct Summary 7-8'!C81,'Acct Summary 7-8'!D81,'Acct Summary 7-8'!F81,'Acct Summary 7-8'!I81)</f>
        <v>239841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926023.0560000001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B4" sqref="B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Prairie Du Rocher CCSD 134</v>
      </c>
      <c r="E7" s="391"/>
      <c r="G7" s="252"/>
      <c r="H7" s="387"/>
      <c r="I7" s="387"/>
      <c r="J7" s="387"/>
      <c r="K7" s="387"/>
      <c r="L7" s="329"/>
      <c r="M7" s="329"/>
      <c r="N7" s="329"/>
      <c r="O7" s="329"/>
      <c r="P7" s="329"/>
    </row>
    <row r="8" spans="1:18" ht="12.75" x14ac:dyDescent="0.2">
      <c r="A8" s="329"/>
      <c r="B8" s="329"/>
      <c r="C8" s="389" t="s">
        <v>1125</v>
      </c>
      <c r="D8" s="392">
        <f>COVER!A13</f>
        <v>45079134004</v>
      </c>
      <c r="E8" s="393"/>
      <c r="G8" s="329"/>
      <c r="H8" s="329"/>
      <c r="I8" s="329"/>
      <c r="J8" s="329"/>
      <c r="K8" s="329"/>
      <c r="L8" s="329"/>
      <c r="M8" s="329"/>
      <c r="N8" s="329"/>
      <c r="O8" s="329"/>
      <c r="P8" s="329"/>
    </row>
    <row r="9" spans="1:18" ht="12.75" x14ac:dyDescent="0.2">
      <c r="A9" s="329"/>
      <c r="B9" s="329"/>
      <c r="C9" s="389" t="s">
        <v>713</v>
      </c>
      <c r="D9" s="394" t="str">
        <f>COVER!A15</f>
        <v>Randolph</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239841</v>
      </c>
      <c r="I12" s="404"/>
      <c r="J12" s="404"/>
      <c r="K12" s="405">
        <f>TRUNC((H12/H13*100000),5)/100000</f>
        <v>0.1625803696</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1475215</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1594796</v>
      </c>
      <c r="I17" s="404"/>
      <c r="J17" s="416"/>
      <c r="K17" s="405">
        <f>TRUNC((H17/H18*100000),5)/100000</f>
        <v>1.0810600488</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1475215</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0.77202479999999996</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239841</v>
      </c>
      <c r="I24" s="422"/>
      <c r="J24" s="422"/>
      <c r="K24" s="423">
        <f>TRUNC(((H24/H25*100000)/100000),2)</f>
        <v>54.14</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4429.9888899999996</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219252.73428999999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0</v>
      </c>
      <c r="I32" s="420"/>
      <c r="J32" s="420"/>
      <c r="K32" s="423">
        <f>TRUNC(100-((((H32/H33*100))*100)/100),2)</f>
        <v>100</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926023.0560000001</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3.0999999999999996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activeCell="B4" sqref="B4"/>
      <selection pane="bottomLeft" activeCell="B4" sqref="B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12112</v>
      </c>
      <c r="D4" s="466">
        <v>22</v>
      </c>
      <c r="E4" s="466"/>
      <c r="F4" s="466">
        <v>11199</v>
      </c>
      <c r="G4" s="466">
        <v>67808</v>
      </c>
      <c r="H4" s="466">
        <v>175398</v>
      </c>
      <c r="I4" s="466">
        <v>77</v>
      </c>
      <c r="J4" s="467">
        <v>10841</v>
      </c>
      <c r="K4" s="466">
        <v>22603</v>
      </c>
      <c r="L4" s="466">
        <v>7090</v>
      </c>
      <c r="M4" s="468"/>
      <c r="N4" s="469"/>
    </row>
    <row r="5" spans="1:14" x14ac:dyDescent="0.2">
      <c r="A5" s="463" t="s">
        <v>992</v>
      </c>
      <c r="B5" s="470">
        <v>120</v>
      </c>
      <c r="C5" s="465"/>
      <c r="D5" s="466">
        <v>108734</v>
      </c>
      <c r="E5" s="466"/>
      <c r="F5" s="466">
        <v>55820</v>
      </c>
      <c r="G5" s="466"/>
      <c r="H5" s="466">
        <v>164333</v>
      </c>
      <c r="I5" s="466">
        <v>51877</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12112</v>
      </c>
      <c r="D13" s="1737">
        <f t="shared" ref="D13:L13" si="0">SUM(D4:D12)</f>
        <v>108756</v>
      </c>
      <c r="E13" s="1737">
        <f t="shared" si="0"/>
        <v>0</v>
      </c>
      <c r="F13" s="1737">
        <f t="shared" si="0"/>
        <v>67019</v>
      </c>
      <c r="G13" s="1737">
        <f t="shared" si="0"/>
        <v>67808</v>
      </c>
      <c r="H13" s="1737">
        <f t="shared" si="0"/>
        <v>339731</v>
      </c>
      <c r="I13" s="1737">
        <f t="shared" si="0"/>
        <v>51954</v>
      </c>
      <c r="J13" s="1737">
        <f t="shared" si="0"/>
        <v>10841</v>
      </c>
      <c r="K13" s="1737">
        <f t="shared" si="0"/>
        <v>22603</v>
      </c>
      <c r="L13" s="1737">
        <f t="shared" si="0"/>
        <v>7090</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3200</v>
      </c>
      <c r="N16" s="484"/>
    </row>
    <row r="17" spans="1:14" s="485" customFormat="1" ht="12.75" customHeight="1" x14ac:dyDescent="0.2">
      <c r="A17" s="482" t="s">
        <v>1403</v>
      </c>
      <c r="B17" s="483">
        <v>230</v>
      </c>
      <c r="C17" s="477"/>
      <c r="D17" s="477"/>
      <c r="E17" s="477"/>
      <c r="F17" s="477"/>
      <c r="G17" s="477"/>
      <c r="H17" s="477"/>
      <c r="I17" s="477"/>
      <c r="J17" s="477"/>
      <c r="K17" s="477"/>
      <c r="L17" s="477"/>
      <c r="M17" s="467">
        <v>297262</v>
      </c>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214826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515288</v>
      </c>
      <c r="N23" s="1688">
        <f>SUM(N21:N22)</f>
        <v>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7090</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7090</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c r="D38" s="466"/>
      <c r="E38" s="466"/>
      <c r="F38" s="466">
        <v>67019</v>
      </c>
      <c r="G38" s="466">
        <v>67808</v>
      </c>
      <c r="H38" s="466">
        <v>339731</v>
      </c>
      <c r="I38" s="466"/>
      <c r="J38" s="467">
        <v>10841</v>
      </c>
      <c r="K38" s="466">
        <v>22603</v>
      </c>
      <c r="L38" s="481"/>
      <c r="M38" s="497"/>
      <c r="N38" s="497"/>
    </row>
    <row r="39" spans="1:14" s="329" customFormat="1" ht="13.5" customHeight="1" x14ac:dyDescent="0.2">
      <c r="A39" s="496" t="s">
        <v>342</v>
      </c>
      <c r="B39" s="483">
        <v>730</v>
      </c>
      <c r="C39" s="466">
        <v>12112</v>
      </c>
      <c r="D39" s="466">
        <v>108756</v>
      </c>
      <c r="E39" s="466"/>
      <c r="F39" s="466"/>
      <c r="G39" s="466"/>
      <c r="H39" s="466"/>
      <c r="I39" s="466">
        <v>51954</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515288</v>
      </c>
      <c r="N40" s="497"/>
    </row>
    <row r="41" spans="1:14" ht="13.5" customHeight="1" thickBot="1" x14ac:dyDescent="0.25">
      <c r="A41" s="1736" t="s">
        <v>655</v>
      </c>
      <c r="B41" s="1706"/>
      <c r="C41" s="1688">
        <f>(SUM(C34,C37,C38,C39))</f>
        <v>12112</v>
      </c>
      <c r="D41" s="1688">
        <f t="shared" ref="D41:L41" si="2">SUM(D34,D37,D38:D39)</f>
        <v>108756</v>
      </c>
      <c r="E41" s="1688">
        <f t="shared" si="2"/>
        <v>0</v>
      </c>
      <c r="F41" s="1688">
        <f t="shared" si="2"/>
        <v>67019</v>
      </c>
      <c r="G41" s="1688">
        <f t="shared" si="2"/>
        <v>67808</v>
      </c>
      <c r="H41" s="1688">
        <f t="shared" si="2"/>
        <v>339731</v>
      </c>
      <c r="I41" s="1688">
        <f t="shared" si="2"/>
        <v>51954</v>
      </c>
      <c r="J41" s="1688">
        <f t="shared" si="2"/>
        <v>10841</v>
      </c>
      <c r="K41" s="1688">
        <f t="shared" si="2"/>
        <v>22603</v>
      </c>
      <c r="L41" s="1688">
        <f t="shared" si="2"/>
        <v>7090</v>
      </c>
      <c r="M41" s="1688">
        <f>SUM(M40)</f>
        <v>515288</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72" activePane="bottomLeft" state="frozen"/>
      <selection activeCell="B4" sqref="B4"/>
      <selection pane="bottomLeft" activeCell="B4" sqref="B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356049</v>
      </c>
      <c r="D4" s="1742">
        <f>'Revenues 9-14'!D109</f>
        <v>37844</v>
      </c>
      <c r="E4" s="1742">
        <f>'Revenues 9-14'!E109</f>
        <v>0</v>
      </c>
      <c r="F4" s="1742">
        <f>'Revenues 9-14'!F109</f>
        <v>38877</v>
      </c>
      <c r="G4" s="1742">
        <f>'Revenues 9-14'!G109</f>
        <v>56998</v>
      </c>
      <c r="H4" s="1742">
        <f>'Revenues 9-14'!H109</f>
        <v>96262</v>
      </c>
      <c r="I4" s="1742">
        <f>'Revenues 9-14'!I109</f>
        <v>5494</v>
      </c>
      <c r="J4" s="1742">
        <f>'Revenues 9-14'!J109</f>
        <v>21887</v>
      </c>
      <c r="K4" s="1742">
        <f>'Revenues 9-14'!K109</f>
        <v>990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725872</v>
      </c>
      <c r="D6" s="1743">
        <f>'Revenues 9-14'!D170</f>
        <v>111000</v>
      </c>
      <c r="E6" s="1743">
        <f>'Revenues 9-14'!E170</f>
        <v>0</v>
      </c>
      <c r="F6" s="1743">
        <f>'Revenues 9-14'!F170</f>
        <v>58161</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141918</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1223839</v>
      </c>
      <c r="D8" s="1688">
        <f t="shared" ref="D8:K8" si="0">SUM(D4:D7)</f>
        <v>148844</v>
      </c>
      <c r="E8" s="1688">
        <f t="shared" si="0"/>
        <v>0</v>
      </c>
      <c r="F8" s="1688">
        <f t="shared" si="0"/>
        <v>97038</v>
      </c>
      <c r="G8" s="1688">
        <f t="shared" si="0"/>
        <v>56998</v>
      </c>
      <c r="H8" s="1688">
        <f t="shared" si="0"/>
        <v>96262</v>
      </c>
      <c r="I8" s="1688">
        <f t="shared" si="0"/>
        <v>5494</v>
      </c>
      <c r="J8" s="1688">
        <f t="shared" si="0"/>
        <v>21887</v>
      </c>
      <c r="K8" s="1688">
        <f t="shared" si="0"/>
        <v>990</v>
      </c>
      <c r="L8" s="347"/>
    </row>
    <row r="9" spans="1:13" ht="15.75" thickTop="1" x14ac:dyDescent="0.2">
      <c r="A9" s="514" t="s">
        <v>1653</v>
      </c>
      <c r="B9" s="515">
        <v>3998</v>
      </c>
      <c r="C9" s="481">
        <v>742863</v>
      </c>
      <c r="D9" s="516"/>
      <c r="E9" s="481"/>
      <c r="F9" s="481"/>
      <c r="G9" s="517"/>
      <c r="H9" s="481"/>
      <c r="I9" s="509" t="s">
        <v>1169</v>
      </c>
      <c r="J9" s="478"/>
      <c r="K9" s="481"/>
      <c r="L9" s="347"/>
    </row>
    <row r="10" spans="1:13" s="519" customFormat="1" ht="13.5" thickBot="1" x14ac:dyDescent="0.25">
      <c r="A10" s="1736" t="s">
        <v>1173</v>
      </c>
      <c r="B10" s="1709"/>
      <c r="C10" s="1688">
        <f>SUM(C8:C9)</f>
        <v>1966702</v>
      </c>
      <c r="D10" s="1688">
        <f t="shared" ref="D10:K10" si="1">SUM(D8:D9)</f>
        <v>148844</v>
      </c>
      <c r="E10" s="1688">
        <f t="shared" si="1"/>
        <v>0</v>
      </c>
      <c r="F10" s="1688">
        <f t="shared" si="1"/>
        <v>97038</v>
      </c>
      <c r="G10" s="1688">
        <f t="shared" si="1"/>
        <v>56998</v>
      </c>
      <c r="H10" s="1688">
        <f t="shared" si="1"/>
        <v>96262</v>
      </c>
      <c r="I10" s="1688">
        <f t="shared" si="1"/>
        <v>5494</v>
      </c>
      <c r="J10" s="1688">
        <f t="shared" si="1"/>
        <v>21887</v>
      </c>
      <c r="K10" s="1688">
        <f t="shared" si="1"/>
        <v>990</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976787</v>
      </c>
      <c r="D12" s="520" t="s">
        <v>1169</v>
      </c>
      <c r="E12" s="468" t="s">
        <v>1169</v>
      </c>
      <c r="F12" s="468" t="s">
        <v>1169</v>
      </c>
      <c r="G12" s="1742">
        <f>'Expenditures 15-22'!K229</f>
        <v>19344</v>
      </c>
      <c r="H12" s="521"/>
      <c r="I12" s="468" t="s">
        <v>1169</v>
      </c>
      <c r="J12" s="468" t="s">
        <v>1169</v>
      </c>
      <c r="K12" s="521" t="s">
        <v>1169</v>
      </c>
      <c r="L12" s="347"/>
    </row>
    <row r="13" spans="1:13" ht="15.75" customHeight="1" x14ac:dyDescent="0.2">
      <c r="A13" s="1576" t="s">
        <v>457</v>
      </c>
      <c r="B13" s="1578">
        <v>2000</v>
      </c>
      <c r="C13" s="1743">
        <f>'Expenditures 15-22'!K74</f>
        <v>276239</v>
      </c>
      <c r="D13" s="1743">
        <f>'Expenditures 15-22'!K129</f>
        <v>147246</v>
      </c>
      <c r="E13" s="469" t="s">
        <v>1169</v>
      </c>
      <c r="F13" s="1743">
        <f>'Expenditures 15-22'!K184</f>
        <v>106311</v>
      </c>
      <c r="G13" s="1743">
        <f>'Expenditures 15-22'!K279</f>
        <v>31701</v>
      </c>
      <c r="H13" s="1743">
        <f>'Expenditures 15-22'!K303</f>
        <v>39438</v>
      </c>
      <c r="I13" s="468" t="s">
        <v>1169</v>
      </c>
      <c r="J13" s="1743">
        <f>'Expenditures 15-22'!K330</f>
        <v>18839</v>
      </c>
      <c r="K13" s="1747">
        <f>'Expenditures 15-22'!K352</f>
        <v>0</v>
      </c>
      <c r="L13" s="347"/>
    </row>
    <row r="14" spans="1:13" ht="15.75" customHeight="1" x14ac:dyDescent="0.2">
      <c r="A14" s="1576" t="s">
        <v>449</v>
      </c>
      <c r="B14" s="1578">
        <v>3000</v>
      </c>
      <c r="C14" s="1743">
        <f>'Expenditures 15-22'!K75</f>
        <v>9711</v>
      </c>
      <c r="D14" s="1743">
        <f>'Expenditures 15-22'!K130</f>
        <v>0</v>
      </c>
      <c r="E14" s="520" t="s">
        <v>1169</v>
      </c>
      <c r="F14" s="1743">
        <f>'Expenditures 15-22'!K185</f>
        <v>0</v>
      </c>
      <c r="G14" s="1743">
        <f>'Expenditures 15-22'!K280</f>
        <v>1628</v>
      </c>
      <c r="H14" s="512"/>
      <c r="I14" s="468" t="s">
        <v>1169</v>
      </c>
      <c r="J14" s="468" t="s">
        <v>1169</v>
      </c>
      <c r="K14" s="512" t="s">
        <v>1169</v>
      </c>
      <c r="L14" s="347"/>
    </row>
    <row r="15" spans="1:13" ht="15.75" customHeight="1" x14ac:dyDescent="0.2">
      <c r="A15" s="1576" t="s">
        <v>107</v>
      </c>
      <c r="B15" s="1578">
        <v>4000</v>
      </c>
      <c r="C15" s="1743">
        <f>'Expenditures 15-22'!K102</f>
        <v>78502</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1341239</v>
      </c>
      <c r="D17" s="1688">
        <f t="shared" si="2"/>
        <v>147246</v>
      </c>
      <c r="E17" s="1688">
        <f t="shared" si="2"/>
        <v>0</v>
      </c>
      <c r="F17" s="1688">
        <f t="shared" si="2"/>
        <v>106311</v>
      </c>
      <c r="G17" s="1688">
        <f t="shared" si="2"/>
        <v>52673</v>
      </c>
      <c r="H17" s="1688">
        <f t="shared" si="2"/>
        <v>39438</v>
      </c>
      <c r="I17" s="468"/>
      <c r="J17" s="1688">
        <f>SUM(J12:J16)</f>
        <v>18839</v>
      </c>
      <c r="K17" s="1688">
        <f>SUM(K12:K16)</f>
        <v>0</v>
      </c>
      <c r="L17" s="347"/>
    </row>
    <row r="18" spans="1:12" ht="15" customHeight="1" thickTop="1" x14ac:dyDescent="0.2">
      <c r="A18" s="1744" t="s">
        <v>1654</v>
      </c>
      <c r="B18" s="1745">
        <v>4180</v>
      </c>
      <c r="C18" s="1742">
        <f t="shared" ref="C18:H18" si="3">C9</f>
        <v>742863</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2084102</v>
      </c>
      <c r="D19" s="1688">
        <f t="shared" si="4"/>
        <v>147246</v>
      </c>
      <c r="E19" s="1688">
        <f t="shared" si="4"/>
        <v>0</v>
      </c>
      <c r="F19" s="1688">
        <f t="shared" si="4"/>
        <v>106311</v>
      </c>
      <c r="G19" s="1688">
        <f t="shared" si="4"/>
        <v>52673</v>
      </c>
      <c r="H19" s="1688">
        <f t="shared" si="4"/>
        <v>39438</v>
      </c>
      <c r="I19" s="468"/>
      <c r="J19" s="1688">
        <f>SUM(J17:J18)</f>
        <v>18839</v>
      </c>
      <c r="K19" s="1688">
        <f>SUM(K17:K18)</f>
        <v>0</v>
      </c>
      <c r="L19" s="347"/>
    </row>
    <row r="20" spans="1:12" ht="16.5" thickTop="1" thickBot="1" x14ac:dyDescent="0.25">
      <c r="A20" s="2125" t="s">
        <v>1655</v>
      </c>
      <c r="B20" s="2126"/>
      <c r="C20" s="1746">
        <f>C8-C17</f>
        <v>-117400</v>
      </c>
      <c r="D20" s="1746">
        <f t="shared" ref="D20:K20" si="5">D8-D17</f>
        <v>1598</v>
      </c>
      <c r="E20" s="1746">
        <f t="shared" si="5"/>
        <v>0</v>
      </c>
      <c r="F20" s="1746">
        <f t="shared" si="5"/>
        <v>-9273</v>
      </c>
      <c r="G20" s="1746">
        <f t="shared" si="5"/>
        <v>4325</v>
      </c>
      <c r="H20" s="1746">
        <f t="shared" si="5"/>
        <v>56824</v>
      </c>
      <c r="I20" s="1746">
        <f t="shared" si="5"/>
        <v>5494</v>
      </c>
      <c r="J20" s="1746">
        <f t="shared" si="5"/>
        <v>3048</v>
      </c>
      <c r="K20" s="1746">
        <f t="shared" si="5"/>
        <v>990</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v>35050</v>
      </c>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35050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35050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35050</v>
      </c>
      <c r="J76" s="1703">
        <f t="shared" si="7"/>
        <v>0</v>
      </c>
      <c r="K76" s="1703">
        <f t="shared" si="7"/>
        <v>0</v>
      </c>
      <c r="L76" s="524"/>
    </row>
    <row r="77" spans="1:12" ht="14.25" thickTop="1" thickBot="1" x14ac:dyDescent="0.25">
      <c r="A77" s="2117" t="s">
        <v>1177</v>
      </c>
      <c r="B77" s="2118"/>
      <c r="C77" s="1703">
        <f t="shared" ref="C77:K77" si="8">C44-C76</f>
        <v>35050</v>
      </c>
      <c r="D77" s="1703">
        <f t="shared" si="8"/>
        <v>0</v>
      </c>
      <c r="E77" s="1703">
        <f t="shared" si="8"/>
        <v>0</v>
      </c>
      <c r="F77" s="1703">
        <f t="shared" si="8"/>
        <v>0</v>
      </c>
      <c r="G77" s="1703">
        <f t="shared" si="8"/>
        <v>0</v>
      </c>
      <c r="H77" s="1703">
        <f t="shared" si="8"/>
        <v>0</v>
      </c>
      <c r="I77" s="1703">
        <f t="shared" si="8"/>
        <v>-35050</v>
      </c>
      <c r="J77" s="1703">
        <f t="shared" si="8"/>
        <v>0</v>
      </c>
      <c r="K77" s="1703">
        <f t="shared" si="8"/>
        <v>0</v>
      </c>
      <c r="L77" s="347"/>
    </row>
    <row r="78" spans="1:12" ht="21.75" customHeight="1" thickTop="1" thickBot="1" x14ac:dyDescent="0.25">
      <c r="A78" s="2121" t="s">
        <v>597</v>
      </c>
      <c r="B78" s="2122"/>
      <c r="C78" s="1702">
        <f t="shared" ref="C78:K78" si="9">C20+C77</f>
        <v>-82350</v>
      </c>
      <c r="D78" s="1702">
        <f t="shared" si="9"/>
        <v>1598</v>
      </c>
      <c r="E78" s="1702">
        <f t="shared" si="9"/>
        <v>0</v>
      </c>
      <c r="F78" s="1702">
        <f t="shared" si="9"/>
        <v>-9273</v>
      </c>
      <c r="G78" s="1702">
        <f t="shared" si="9"/>
        <v>4325</v>
      </c>
      <c r="H78" s="1702">
        <f t="shared" si="9"/>
        <v>56824</v>
      </c>
      <c r="I78" s="1702">
        <f t="shared" si="9"/>
        <v>-29556</v>
      </c>
      <c r="J78" s="1702">
        <f t="shared" si="9"/>
        <v>3048</v>
      </c>
      <c r="K78" s="1702">
        <f t="shared" si="9"/>
        <v>990</v>
      </c>
      <c r="L78" s="533"/>
    </row>
    <row r="79" spans="1:12" ht="13.5" thickTop="1" x14ac:dyDescent="0.2">
      <c r="A79" s="1494" t="s">
        <v>1949</v>
      </c>
      <c r="B79" s="534"/>
      <c r="C79" s="478">
        <v>94462</v>
      </c>
      <c r="D79" s="535">
        <v>107158</v>
      </c>
      <c r="E79" s="535"/>
      <c r="F79" s="535">
        <v>76292</v>
      </c>
      <c r="G79" s="535">
        <v>63483</v>
      </c>
      <c r="H79" s="535">
        <v>282907</v>
      </c>
      <c r="I79" s="535">
        <v>81510</v>
      </c>
      <c r="J79" s="535">
        <v>7793</v>
      </c>
      <c r="K79" s="535">
        <v>21613</v>
      </c>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12112</v>
      </c>
      <c r="D81" s="1688">
        <f>SUM(D78:D80)</f>
        <v>108756</v>
      </c>
      <c r="E81" s="1688">
        <f t="shared" ref="E81:K81" si="10">SUM(E78:E80)</f>
        <v>0</v>
      </c>
      <c r="F81" s="1688">
        <f t="shared" si="10"/>
        <v>67019</v>
      </c>
      <c r="G81" s="1688">
        <f t="shared" si="10"/>
        <v>67808</v>
      </c>
      <c r="H81" s="1688">
        <f t="shared" si="10"/>
        <v>339731</v>
      </c>
      <c r="I81" s="1688">
        <f t="shared" si="10"/>
        <v>51954</v>
      </c>
      <c r="J81" s="1688">
        <f t="shared" si="10"/>
        <v>10841</v>
      </c>
      <c r="K81" s="1688">
        <f t="shared" si="10"/>
        <v>22603</v>
      </c>
      <c r="L81" s="347"/>
    </row>
    <row r="82" spans="1:12" ht="0.75" customHeight="1" thickTop="1" thickBot="1" x14ac:dyDescent="0.25">
      <c r="A82" s="536" t="s">
        <v>343</v>
      </c>
      <c r="B82" s="537"/>
      <c r="C82" s="538">
        <f>(C81-C79)</f>
        <v>-82350</v>
      </c>
      <c r="D82" s="538">
        <f t="shared" ref="D82:K82" si="11">(D81-D79)</f>
        <v>1598</v>
      </c>
      <c r="E82" s="538">
        <f t="shared" si="11"/>
        <v>0</v>
      </c>
      <c r="F82" s="538">
        <f t="shared" si="11"/>
        <v>-9273</v>
      </c>
      <c r="G82" s="538">
        <f t="shared" si="11"/>
        <v>4325</v>
      </c>
      <c r="H82" s="538">
        <f t="shared" si="11"/>
        <v>56824</v>
      </c>
      <c r="I82" s="538">
        <f t="shared" si="11"/>
        <v>-29556</v>
      </c>
      <c r="J82" s="538">
        <f t="shared" si="11"/>
        <v>3048</v>
      </c>
      <c r="K82" s="538">
        <f t="shared" si="11"/>
        <v>990</v>
      </c>
    </row>
    <row r="83" spans="1:12" ht="14.25" hidden="1" thickTop="1" thickBot="1" x14ac:dyDescent="0.25">
      <c r="A83" s="539" t="s">
        <v>344</v>
      </c>
      <c r="B83" s="464"/>
      <c r="C83" s="540">
        <f>C82/C81</f>
        <v>-6.7990422721268162</v>
      </c>
      <c r="D83" s="540">
        <f t="shared" ref="D83:K83" si="12">D82/D81</f>
        <v>1.4693442200890066E-2</v>
      </c>
      <c r="E83" s="540" t="e">
        <f t="shared" si="12"/>
        <v>#DIV/0!</v>
      </c>
      <c r="F83" s="540">
        <f t="shared" si="12"/>
        <v>-0.13836374759396589</v>
      </c>
      <c r="G83" s="540">
        <f t="shared" si="12"/>
        <v>6.378303445021237E-2</v>
      </c>
      <c r="H83" s="540">
        <f t="shared" si="12"/>
        <v>0.16726174532203419</v>
      </c>
      <c r="I83" s="540">
        <f t="shared" si="12"/>
        <v>-0.56888786233976207</v>
      </c>
      <c r="J83" s="540">
        <f t="shared" si="12"/>
        <v>0.2811548750115303</v>
      </c>
      <c r="K83" s="540">
        <f t="shared" si="12"/>
        <v>4.3799495642171393E-2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01" activePane="bottomLeft" state="frozen"/>
      <selection activeCell="B4" sqref="B4"/>
      <selection pane="bottomLeft" activeCell="C214" sqref="C21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214135</v>
      </c>
      <c r="D5" s="481">
        <v>24806</v>
      </c>
      <c r="E5" s="466"/>
      <c r="F5" s="548">
        <v>11367</v>
      </c>
      <c r="G5" s="466">
        <v>30811</v>
      </c>
      <c r="H5" s="466"/>
      <c r="I5" s="466">
        <v>4740</v>
      </c>
      <c r="J5" s="467">
        <v>21887</v>
      </c>
      <c r="K5" s="466">
        <v>990</v>
      </c>
    </row>
    <row r="6" spans="1:12" ht="15" x14ac:dyDescent="0.2">
      <c r="A6" s="463" t="s">
        <v>1662</v>
      </c>
      <c r="B6" s="470">
        <v>1130</v>
      </c>
      <c r="C6" s="466"/>
      <c r="D6" s="466">
        <v>10187</v>
      </c>
      <c r="E6" s="475"/>
      <c r="F6" s="475"/>
      <c r="G6" s="468"/>
      <c r="H6" s="468"/>
      <c r="I6" s="468"/>
      <c r="J6" s="468"/>
      <c r="K6" s="468"/>
    </row>
    <row r="7" spans="1:12" x14ac:dyDescent="0.2">
      <c r="A7" s="463" t="s">
        <v>110</v>
      </c>
      <c r="B7" s="549">
        <v>1140</v>
      </c>
      <c r="C7" s="466">
        <v>6524</v>
      </c>
      <c r="D7" s="466"/>
      <c r="E7" s="468"/>
      <c r="F7" s="467"/>
      <c r="G7" s="467"/>
      <c r="H7" s="467"/>
      <c r="I7" s="468"/>
      <c r="J7" s="468"/>
      <c r="K7" s="468"/>
    </row>
    <row r="8" spans="1:12" x14ac:dyDescent="0.2">
      <c r="A8" s="463" t="s">
        <v>413</v>
      </c>
      <c r="B8" s="470">
        <v>1150</v>
      </c>
      <c r="C8" s="475"/>
      <c r="D8" s="475"/>
      <c r="E8" s="477"/>
      <c r="F8" s="477"/>
      <c r="G8" s="481">
        <v>26163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220659</v>
      </c>
      <c r="D12" s="1707">
        <f t="shared" si="0"/>
        <v>34993</v>
      </c>
      <c r="E12" s="1707">
        <f t="shared" si="0"/>
        <v>0</v>
      </c>
      <c r="F12" s="1707">
        <f t="shared" si="0"/>
        <v>11367</v>
      </c>
      <c r="G12" s="1707">
        <f t="shared" si="0"/>
        <v>56974</v>
      </c>
      <c r="H12" s="1707">
        <f t="shared" si="0"/>
        <v>0</v>
      </c>
      <c r="I12" s="1707">
        <f t="shared" si="0"/>
        <v>4740</v>
      </c>
      <c r="J12" s="1707">
        <f t="shared" si="0"/>
        <v>21887</v>
      </c>
      <c r="K12" s="1688">
        <f t="shared" si="0"/>
        <v>990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51545</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51545</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v>2398</v>
      </c>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2398</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v>26304</v>
      </c>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26304</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1847</v>
      </c>
      <c r="D65" s="466">
        <v>1774</v>
      </c>
      <c r="E65" s="466"/>
      <c r="F65" s="467">
        <v>1106</v>
      </c>
      <c r="G65" s="466">
        <v>24</v>
      </c>
      <c r="H65" s="466">
        <v>3278</v>
      </c>
      <c r="I65" s="466">
        <v>754</v>
      </c>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1847</v>
      </c>
      <c r="D67" s="1688">
        <f t="shared" ref="D67:K67" si="2">SUM(D65:D66)</f>
        <v>1774</v>
      </c>
      <c r="E67" s="1688">
        <f t="shared" si="2"/>
        <v>0</v>
      </c>
      <c r="F67" s="1688">
        <f t="shared" si="2"/>
        <v>1106</v>
      </c>
      <c r="G67" s="1688">
        <f t="shared" si="2"/>
        <v>24</v>
      </c>
      <c r="H67" s="1688">
        <f t="shared" si="2"/>
        <v>3278</v>
      </c>
      <c r="I67" s="1688">
        <f t="shared" si="2"/>
        <v>754</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19561</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v>3921</v>
      </c>
      <c r="D72" s="468"/>
      <c r="E72" s="468"/>
      <c r="F72" s="468"/>
      <c r="G72" s="468"/>
      <c r="H72" s="468"/>
      <c r="I72" s="468"/>
      <c r="J72" s="468"/>
      <c r="K72" s="468"/>
    </row>
    <row r="73" spans="1:11" ht="12.75" customHeight="1" x14ac:dyDescent="0.2">
      <c r="A73" s="463" t="s">
        <v>998</v>
      </c>
      <c r="B73" s="470">
        <v>1620</v>
      </c>
      <c r="C73" s="551">
        <v>899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24381</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6376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2070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8446</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4652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4652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240</v>
      </c>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92984</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11368</v>
      </c>
      <c r="D106" s="489"/>
      <c r="E106" s="467"/>
      <c r="F106" s="467"/>
      <c r="G106" s="467"/>
      <c r="H106" s="467"/>
      <c r="I106" s="521"/>
      <c r="J106" s="467"/>
      <c r="K106" s="467"/>
    </row>
    <row r="107" spans="1:12" ht="12.75" customHeight="1" x14ac:dyDescent="0.2">
      <c r="A107" s="463" t="s">
        <v>78</v>
      </c>
      <c r="B107" s="470">
        <v>1999</v>
      </c>
      <c r="C107" s="551">
        <v>30753</v>
      </c>
      <c r="D107" s="466">
        <v>837</v>
      </c>
      <c r="E107" s="466"/>
      <c r="F107" s="466">
        <v>100</v>
      </c>
      <c r="G107" s="466"/>
      <c r="H107" s="466"/>
      <c r="I107" s="466"/>
      <c r="J107" s="467"/>
      <c r="K107" s="466"/>
    </row>
    <row r="108" spans="1:12" ht="12.75" customHeight="1" thickBot="1" x14ac:dyDescent="0.25">
      <c r="A108" s="1708" t="s">
        <v>487</v>
      </c>
      <c r="B108" s="1712"/>
      <c r="C108" s="1707">
        <f>SUM(C95:C107)</f>
        <v>42121</v>
      </c>
      <c r="D108" s="1707">
        <f t="shared" ref="D108:K108" si="3">SUM(D95:D107)</f>
        <v>1077</v>
      </c>
      <c r="E108" s="1707">
        <f t="shared" si="3"/>
        <v>0</v>
      </c>
      <c r="F108" s="1707">
        <f t="shared" si="3"/>
        <v>100</v>
      </c>
      <c r="G108" s="1707">
        <f t="shared" si="3"/>
        <v>0</v>
      </c>
      <c r="H108" s="1707">
        <f t="shared" si="3"/>
        <v>92984</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356049</v>
      </c>
      <c r="D109" s="1715">
        <f t="shared" si="4"/>
        <v>37844</v>
      </c>
      <c r="E109" s="1715">
        <f t="shared" si="4"/>
        <v>0</v>
      </c>
      <c r="F109" s="1715">
        <f t="shared" si="4"/>
        <v>38877</v>
      </c>
      <c r="G109" s="1715">
        <f t="shared" si="4"/>
        <v>56998</v>
      </c>
      <c r="H109" s="1715">
        <f t="shared" si="4"/>
        <v>96262</v>
      </c>
      <c r="I109" s="1715">
        <f t="shared" si="4"/>
        <v>5494</v>
      </c>
      <c r="J109" s="1715">
        <f t="shared" si="4"/>
        <v>21887</v>
      </c>
      <c r="K109" s="1702">
        <f t="shared" si="4"/>
        <v>990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698727</v>
      </c>
      <c r="D117" s="481">
        <v>111000</v>
      </c>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698727</v>
      </c>
      <c r="D122" s="1707">
        <f t="shared" si="5"/>
        <v>111000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13882</v>
      </c>
      <c r="D128" s="561"/>
      <c r="E128" s="468"/>
      <c r="F128" s="466"/>
      <c r="G128" s="468"/>
      <c r="H128" s="468"/>
      <c r="I128" s="468"/>
      <c r="J128" s="468"/>
      <c r="K128" s="468"/>
    </row>
    <row r="129" spans="1:11" ht="12.75" customHeight="1" x14ac:dyDescent="0.2">
      <c r="A129" s="463" t="s">
        <v>1447</v>
      </c>
      <c r="B129" s="562">
        <v>3130</v>
      </c>
      <c r="C129" s="466">
        <v>667</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14549</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806</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50466</v>
      </c>
      <c r="G152" s="467"/>
      <c r="H152" s="468"/>
      <c r="I152" s="468"/>
      <c r="J152" s="468"/>
      <c r="K152" s="468"/>
    </row>
    <row r="153" spans="1:11" ht="12.75" customHeight="1" x14ac:dyDescent="0.2">
      <c r="A153" s="463" t="s">
        <v>1057</v>
      </c>
      <c r="B153" s="562">
        <v>3510</v>
      </c>
      <c r="C153" s="551"/>
      <c r="D153" s="466"/>
      <c r="E153" s="561"/>
      <c r="F153" s="466">
        <v>7695</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58161</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11790</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27145</v>
      </c>
      <c r="D169" s="1722">
        <f t="shared" si="6"/>
        <v>0</v>
      </c>
      <c r="E169" s="1722">
        <f t="shared" si="6"/>
        <v>0</v>
      </c>
      <c r="F169" s="1722">
        <f t="shared" si="6"/>
        <v>58161</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725872</v>
      </c>
      <c r="D170" s="1715">
        <f t="shared" si="7"/>
        <v>111000</v>
      </c>
      <c r="E170" s="1715">
        <f t="shared" si="7"/>
        <v>0</v>
      </c>
      <c r="F170" s="1715">
        <f t="shared" si="7"/>
        <v>58161</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35880</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14845</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50725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39292</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39292</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32203</v>
      </c>
      <c r="D213" s="466"/>
      <c r="E213" s="468"/>
      <c r="F213" s="466"/>
      <c r="G213" s="466"/>
      <c r="H213" s="468"/>
      <c r="I213" s="468"/>
      <c r="J213" s="468"/>
      <c r="K213" s="468"/>
    </row>
    <row r="214" spans="1:11" ht="12.75" customHeight="1" x14ac:dyDescent="0.2">
      <c r="A214" s="463" t="s">
        <v>1054</v>
      </c>
      <c r="B214" s="470">
        <v>4625</v>
      </c>
      <c r="C214" s="551">
        <v>1245</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33448</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2667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4158</v>
      </c>
      <c r="D263" s="576"/>
      <c r="E263" s="468"/>
      <c r="F263" s="576"/>
      <c r="G263" s="576"/>
      <c r="H263" s="468"/>
      <c r="I263" s="468"/>
      <c r="J263" s="468"/>
      <c r="K263" s="468"/>
    </row>
    <row r="264" spans="1:11" ht="12.75" customHeight="1" thickTop="1" thickBot="1" x14ac:dyDescent="0.25">
      <c r="A264" s="463" t="s">
        <v>377</v>
      </c>
      <c r="B264" s="470">
        <v>4992</v>
      </c>
      <c r="C264" s="575">
        <v>11628</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141918</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141918</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1223839</v>
      </c>
      <c r="D268" s="1715">
        <f t="shared" si="12"/>
        <v>148844</v>
      </c>
      <c r="E268" s="1715">
        <f t="shared" si="12"/>
        <v>0</v>
      </c>
      <c r="F268" s="1715">
        <f t="shared" si="12"/>
        <v>97038</v>
      </c>
      <c r="G268" s="1715">
        <f t="shared" si="12"/>
        <v>56998</v>
      </c>
      <c r="H268" s="1715">
        <f t="shared" si="12"/>
        <v>96262</v>
      </c>
      <c r="I268" s="1715">
        <f t="shared" si="12"/>
        <v>5494</v>
      </c>
      <c r="J268" s="1715">
        <f t="shared" si="12"/>
        <v>21887</v>
      </c>
      <c r="K268" s="1702">
        <f t="shared" si="12"/>
        <v>990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42" activePane="bottomLeft" state="frozen"/>
      <selection activeCell="B4" sqref="B4"/>
      <selection pane="bottomLeft" activeCell="B4" sqref="B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553194</v>
      </c>
      <c r="D5" s="466">
        <v>131968</v>
      </c>
      <c r="E5" s="466">
        <v>15379</v>
      </c>
      <c r="F5" s="466">
        <v>16468</v>
      </c>
      <c r="G5" s="466"/>
      <c r="H5" s="466"/>
      <c r="I5" s="467"/>
      <c r="J5" s="467"/>
      <c r="K5" s="1671">
        <f>SUM(C5:J5)</f>
        <v>717009</v>
      </c>
      <c r="L5" s="466">
        <v>724000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68432</v>
      </c>
      <c r="D7" s="467">
        <v>17150</v>
      </c>
      <c r="E7" s="467"/>
      <c r="F7" s="467">
        <v>330</v>
      </c>
      <c r="G7" s="467"/>
      <c r="H7" s="467"/>
      <c r="I7" s="467"/>
      <c r="J7" s="467"/>
      <c r="K7" s="1671">
        <f t="shared" ref="K7:K32" si="0">SUM(C7:J7)</f>
        <v>85912</v>
      </c>
      <c r="L7" s="466">
        <v>96000</v>
      </c>
    </row>
    <row r="8" spans="1:14" x14ac:dyDescent="0.2">
      <c r="A8" s="1504" t="s">
        <v>164</v>
      </c>
      <c r="B8" s="614">
        <v>1200</v>
      </c>
      <c r="C8" s="466">
        <v>100942</v>
      </c>
      <c r="D8" s="466">
        <v>12428</v>
      </c>
      <c r="E8" s="466"/>
      <c r="F8" s="466"/>
      <c r="G8" s="466"/>
      <c r="H8" s="466"/>
      <c r="I8" s="467"/>
      <c r="J8" s="467"/>
      <c r="K8" s="1671">
        <f t="shared" si="0"/>
        <v>113370</v>
      </c>
      <c r="L8" s="466">
        <v>108430</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31750</v>
      </c>
      <c r="D10" s="466">
        <v>6772</v>
      </c>
      <c r="E10" s="466">
        <v>1708</v>
      </c>
      <c r="F10" s="466">
        <v>472</v>
      </c>
      <c r="G10" s="466"/>
      <c r="H10" s="466"/>
      <c r="I10" s="467"/>
      <c r="J10" s="467"/>
      <c r="K10" s="1671">
        <f t="shared" si="0"/>
        <v>40702</v>
      </c>
      <c r="L10" s="466">
        <v>35600</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c r="G13" s="466"/>
      <c r="H13" s="466"/>
      <c r="I13" s="467"/>
      <c r="J13" s="467"/>
      <c r="K13" s="1671">
        <f t="shared" si="0"/>
        <v>0</v>
      </c>
      <c r="L13" s="466"/>
    </row>
    <row r="14" spans="1:14" x14ac:dyDescent="0.2">
      <c r="A14" s="1504" t="s">
        <v>963</v>
      </c>
      <c r="B14" s="614">
        <v>1500</v>
      </c>
      <c r="C14" s="466">
        <v>12800</v>
      </c>
      <c r="D14" s="466">
        <v>1326</v>
      </c>
      <c r="E14" s="466">
        <v>3451</v>
      </c>
      <c r="F14" s="466">
        <v>2217</v>
      </c>
      <c r="G14" s="466"/>
      <c r="H14" s="466"/>
      <c r="I14" s="467"/>
      <c r="J14" s="467"/>
      <c r="K14" s="1671">
        <f t="shared" si="0"/>
        <v>19794</v>
      </c>
      <c r="L14" s="466">
        <v>19100</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767118</v>
      </c>
      <c r="D33" s="1670">
        <f t="shared" ref="D33:L33" si="1">SUM(D5:D32)</f>
        <v>169644</v>
      </c>
      <c r="E33" s="1670">
        <f t="shared" si="1"/>
        <v>20538</v>
      </c>
      <c r="F33" s="1670">
        <f t="shared" si="1"/>
        <v>19487</v>
      </c>
      <c r="G33" s="1670">
        <f t="shared" si="1"/>
        <v>0</v>
      </c>
      <c r="H33" s="1670">
        <f t="shared" si="1"/>
        <v>0</v>
      </c>
      <c r="I33" s="1670">
        <f t="shared" si="1"/>
        <v>0</v>
      </c>
      <c r="J33" s="1670">
        <f t="shared" si="1"/>
        <v>0</v>
      </c>
      <c r="K33" s="1670">
        <f t="shared" si="1"/>
        <v>976787</v>
      </c>
      <c r="L33" s="1670">
        <f t="shared" si="1"/>
        <v>983130</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c r="D37" s="466"/>
      <c r="E37" s="466"/>
      <c r="F37" s="466"/>
      <c r="G37" s="466"/>
      <c r="H37" s="466"/>
      <c r="I37" s="467"/>
      <c r="J37" s="467"/>
      <c r="K37" s="1671">
        <f t="shared" si="2"/>
        <v>0</v>
      </c>
      <c r="L37" s="466"/>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34967</v>
      </c>
      <c r="D40" s="466">
        <v>15301</v>
      </c>
      <c r="E40" s="466"/>
      <c r="F40" s="466">
        <v>136</v>
      </c>
      <c r="G40" s="466"/>
      <c r="H40" s="466"/>
      <c r="I40" s="467"/>
      <c r="J40" s="467"/>
      <c r="K40" s="1671">
        <f t="shared" si="2"/>
        <v>50404</v>
      </c>
      <c r="L40" s="466">
        <v>50400</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34967</v>
      </c>
      <c r="D42" s="1670">
        <f t="shared" ref="D42:L42" si="3">SUM(D36:D41)</f>
        <v>15301</v>
      </c>
      <c r="E42" s="1670">
        <f t="shared" si="3"/>
        <v>0</v>
      </c>
      <c r="F42" s="1670">
        <f t="shared" si="3"/>
        <v>136</v>
      </c>
      <c r="G42" s="1670">
        <f t="shared" si="3"/>
        <v>0</v>
      </c>
      <c r="H42" s="1670">
        <f t="shared" si="3"/>
        <v>0</v>
      </c>
      <c r="I42" s="1670">
        <f t="shared" si="3"/>
        <v>0</v>
      </c>
      <c r="J42" s="1670">
        <f t="shared" si="3"/>
        <v>0</v>
      </c>
      <c r="K42" s="1670">
        <f t="shared" si="3"/>
        <v>50404</v>
      </c>
      <c r="L42" s="1670">
        <f t="shared" si="3"/>
        <v>50400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v>2291</v>
      </c>
      <c r="F44" s="481"/>
      <c r="G44" s="481"/>
      <c r="H44" s="481"/>
      <c r="I44" s="467"/>
      <c r="J44" s="467"/>
      <c r="K44" s="1672">
        <f>SUM(C44:J44)</f>
        <v>2291</v>
      </c>
      <c r="L44" s="481">
        <v>2000</v>
      </c>
    </row>
    <row r="45" spans="1:14" x14ac:dyDescent="0.2">
      <c r="A45" s="1504" t="s">
        <v>815</v>
      </c>
      <c r="B45" s="614">
        <v>2220</v>
      </c>
      <c r="C45" s="466"/>
      <c r="D45" s="466"/>
      <c r="E45" s="466"/>
      <c r="F45" s="466"/>
      <c r="G45" s="466"/>
      <c r="H45" s="466"/>
      <c r="I45" s="467"/>
      <c r="J45" s="467"/>
      <c r="K45" s="1672">
        <f>SUM(C45:J45)</f>
        <v>0</v>
      </c>
      <c r="L45" s="466"/>
    </row>
    <row r="46" spans="1:14" x14ac:dyDescent="0.2">
      <c r="A46" s="1504" t="s">
        <v>816</v>
      </c>
      <c r="B46" s="614">
        <v>2230</v>
      </c>
      <c r="C46" s="466"/>
      <c r="D46" s="466"/>
      <c r="E46" s="466">
        <v>1952</v>
      </c>
      <c r="F46" s="466"/>
      <c r="G46" s="466"/>
      <c r="H46" s="466"/>
      <c r="I46" s="467"/>
      <c r="J46" s="467"/>
      <c r="K46" s="1672">
        <f>SUM(C46:J46)</f>
        <v>1952</v>
      </c>
      <c r="L46" s="466">
        <v>2000</v>
      </c>
    </row>
    <row r="47" spans="1:14" ht="12.75" customHeight="1" thickBot="1" x14ac:dyDescent="0.25">
      <c r="A47" s="1668" t="s">
        <v>561</v>
      </c>
      <c r="B47" s="1669" t="s">
        <v>32</v>
      </c>
      <c r="C47" s="1670">
        <f>SUM(C44:C46)</f>
        <v>0</v>
      </c>
      <c r="D47" s="1670">
        <f t="shared" ref="D47:K47" si="4">SUM(D44:D46)</f>
        <v>0</v>
      </c>
      <c r="E47" s="1670">
        <f t="shared" si="4"/>
        <v>4243</v>
      </c>
      <c r="F47" s="1670">
        <f t="shared" si="4"/>
        <v>0</v>
      </c>
      <c r="G47" s="1670">
        <f t="shared" si="4"/>
        <v>0</v>
      </c>
      <c r="H47" s="1670">
        <f t="shared" si="4"/>
        <v>0</v>
      </c>
      <c r="I47" s="1670">
        <f t="shared" si="4"/>
        <v>0</v>
      </c>
      <c r="J47" s="1670">
        <f t="shared" si="4"/>
        <v>0</v>
      </c>
      <c r="K47" s="1670">
        <f t="shared" si="4"/>
        <v>4243</v>
      </c>
      <c r="L47" s="1670">
        <f>SUM(L44:L46)</f>
        <v>4000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2272</v>
      </c>
      <c r="D49" s="481"/>
      <c r="E49" s="481">
        <v>10956</v>
      </c>
      <c r="F49" s="481">
        <v>2381</v>
      </c>
      <c r="G49" s="481"/>
      <c r="H49" s="481"/>
      <c r="I49" s="467"/>
      <c r="J49" s="467"/>
      <c r="K49" s="1672">
        <f>SUM(C49:J49)</f>
        <v>15609</v>
      </c>
      <c r="L49" s="481">
        <v>19500</v>
      </c>
    </row>
    <row r="50" spans="1:14" x14ac:dyDescent="0.2">
      <c r="A50" s="1504" t="s">
        <v>818</v>
      </c>
      <c r="B50" s="614">
        <v>2320</v>
      </c>
      <c r="C50" s="466">
        <v>41631</v>
      </c>
      <c r="D50" s="466">
        <v>4826</v>
      </c>
      <c r="E50" s="466"/>
      <c r="F50" s="466">
        <v>562</v>
      </c>
      <c r="G50" s="466"/>
      <c r="H50" s="466">
        <v>272</v>
      </c>
      <c r="I50" s="467"/>
      <c r="J50" s="467"/>
      <c r="K50" s="1672">
        <f>SUM(C50:J50)</f>
        <v>47291</v>
      </c>
      <c r="L50" s="466">
        <v>51965</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43903</v>
      </c>
      <c r="D53" s="1670">
        <f t="shared" ref="D53:L53" si="5">SUM(D49:D52)</f>
        <v>4826</v>
      </c>
      <c r="E53" s="1670">
        <f t="shared" si="5"/>
        <v>10956</v>
      </c>
      <c r="F53" s="1670">
        <f t="shared" si="5"/>
        <v>2943</v>
      </c>
      <c r="G53" s="1670">
        <f t="shared" si="5"/>
        <v>0</v>
      </c>
      <c r="H53" s="1670">
        <f t="shared" si="5"/>
        <v>272</v>
      </c>
      <c r="I53" s="1670">
        <f t="shared" si="5"/>
        <v>0</v>
      </c>
      <c r="J53" s="1670">
        <f t="shared" si="5"/>
        <v>0</v>
      </c>
      <c r="K53" s="1670">
        <f t="shared" si="5"/>
        <v>62900</v>
      </c>
      <c r="L53" s="1670">
        <f t="shared" si="5"/>
        <v>71465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84066</v>
      </c>
      <c r="D55" s="481">
        <v>14211</v>
      </c>
      <c r="E55" s="481">
        <v>48</v>
      </c>
      <c r="F55" s="481">
        <v>115</v>
      </c>
      <c r="G55" s="481"/>
      <c r="H55" s="481"/>
      <c r="I55" s="467"/>
      <c r="J55" s="467"/>
      <c r="K55" s="1672">
        <f>SUM(C55:J55)</f>
        <v>98440</v>
      </c>
      <c r="L55" s="481">
        <v>95700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84066</v>
      </c>
      <c r="D57" s="1674">
        <f t="shared" ref="D57:K57" si="6">SUM(D55:D56)</f>
        <v>14211</v>
      </c>
      <c r="E57" s="1674">
        <f t="shared" si="6"/>
        <v>48</v>
      </c>
      <c r="F57" s="1674">
        <f t="shared" si="6"/>
        <v>115</v>
      </c>
      <c r="G57" s="1674">
        <f t="shared" si="6"/>
        <v>0</v>
      </c>
      <c r="H57" s="1674">
        <f t="shared" si="6"/>
        <v>0</v>
      </c>
      <c r="I57" s="1674">
        <f t="shared" si="6"/>
        <v>0</v>
      </c>
      <c r="J57" s="1674">
        <f t="shared" si="6"/>
        <v>0</v>
      </c>
      <c r="K57" s="1674">
        <f t="shared" si="6"/>
        <v>98440</v>
      </c>
      <c r="L57" s="1670">
        <f>SUM(L55:L56)</f>
        <v>95700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c r="D60" s="466"/>
      <c r="E60" s="466"/>
      <c r="F60" s="466"/>
      <c r="G60" s="466"/>
      <c r="H60" s="466"/>
      <c r="I60" s="467"/>
      <c r="J60" s="467"/>
      <c r="K60" s="1672">
        <f t="shared" si="7"/>
        <v>0</v>
      </c>
      <c r="L60" s="466"/>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26537</v>
      </c>
      <c r="D63" s="466"/>
      <c r="E63" s="466">
        <v>1239</v>
      </c>
      <c r="F63" s="466">
        <v>22984</v>
      </c>
      <c r="G63" s="466"/>
      <c r="H63" s="466">
        <v>409</v>
      </c>
      <c r="I63" s="467"/>
      <c r="J63" s="467"/>
      <c r="K63" s="1672">
        <f t="shared" si="7"/>
        <v>51169</v>
      </c>
      <c r="L63" s="466">
        <v>52200</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26537</v>
      </c>
      <c r="D65" s="1670">
        <f t="shared" ref="D65:L65" si="8">SUM(D59:D64)</f>
        <v>0</v>
      </c>
      <c r="E65" s="1670">
        <f t="shared" si="8"/>
        <v>1239</v>
      </c>
      <c r="F65" s="1670">
        <f t="shared" si="8"/>
        <v>22984</v>
      </c>
      <c r="G65" s="1670">
        <f t="shared" si="8"/>
        <v>0</v>
      </c>
      <c r="H65" s="1670">
        <f t="shared" si="8"/>
        <v>409</v>
      </c>
      <c r="I65" s="1670">
        <f t="shared" si="8"/>
        <v>0</v>
      </c>
      <c r="J65" s="1670">
        <f t="shared" si="8"/>
        <v>0</v>
      </c>
      <c r="K65" s="1670">
        <f t="shared" si="8"/>
        <v>51169</v>
      </c>
      <c r="L65" s="1670">
        <f t="shared" si="8"/>
        <v>52200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v>8777</v>
      </c>
      <c r="F71" s="466">
        <v>306</v>
      </c>
      <c r="G71" s="466"/>
      <c r="H71" s="466"/>
      <c r="I71" s="467"/>
      <c r="J71" s="467"/>
      <c r="K71" s="1672">
        <f>SUM(C71:J71)</f>
        <v>9083</v>
      </c>
      <c r="L71" s="466">
        <v>8800</v>
      </c>
      <c r="M71" s="609"/>
      <c r="N71" s="609"/>
    </row>
    <row r="72" spans="1:14" s="343" customFormat="1" ht="12.75" customHeight="1" thickBot="1" x14ac:dyDescent="0.25">
      <c r="A72" s="1668" t="s">
        <v>37</v>
      </c>
      <c r="B72" s="1675" t="s">
        <v>36</v>
      </c>
      <c r="C72" s="1670">
        <f>SUM(C67:C71)</f>
        <v>0</v>
      </c>
      <c r="D72" s="1670">
        <f t="shared" ref="D72:K72" si="9">SUM(D67:D71)</f>
        <v>0</v>
      </c>
      <c r="E72" s="1670">
        <f t="shared" si="9"/>
        <v>8777</v>
      </c>
      <c r="F72" s="1670">
        <f t="shared" si="9"/>
        <v>306</v>
      </c>
      <c r="G72" s="1670">
        <f t="shared" si="9"/>
        <v>0</v>
      </c>
      <c r="H72" s="1670">
        <f t="shared" si="9"/>
        <v>0</v>
      </c>
      <c r="I72" s="1670">
        <f t="shared" si="9"/>
        <v>0</v>
      </c>
      <c r="J72" s="1670">
        <f t="shared" si="9"/>
        <v>0</v>
      </c>
      <c r="K72" s="1670">
        <f t="shared" si="9"/>
        <v>9083</v>
      </c>
      <c r="L72" s="1670">
        <f>SUM(L67:L71)</f>
        <v>8800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189473</v>
      </c>
      <c r="D74" s="1677">
        <f t="shared" ref="D74:K74" si="10">SUM(D42,D47,D53,D57,D65,D72,D73)</f>
        <v>34338</v>
      </c>
      <c r="E74" s="1677">
        <f t="shared" si="10"/>
        <v>25263</v>
      </c>
      <c r="F74" s="1677">
        <f t="shared" si="10"/>
        <v>26484</v>
      </c>
      <c r="G74" s="1677">
        <f t="shared" si="10"/>
        <v>0</v>
      </c>
      <c r="H74" s="1677">
        <f t="shared" si="10"/>
        <v>681</v>
      </c>
      <c r="I74" s="1677">
        <f t="shared" si="10"/>
        <v>0</v>
      </c>
      <c r="J74" s="1677">
        <f t="shared" si="10"/>
        <v>0</v>
      </c>
      <c r="K74" s="1677">
        <f t="shared" si="10"/>
        <v>276239</v>
      </c>
      <c r="L74" s="1677">
        <f>SUM(L42,L47,L53,L57,L65,L72,L73)</f>
        <v>282565</v>
      </c>
    </row>
    <row r="75" spans="1:14" s="259" customFormat="1" ht="15.75" customHeight="1" thickTop="1" thickBot="1" x14ac:dyDescent="0.25">
      <c r="A75" s="1610" t="s">
        <v>47</v>
      </c>
      <c r="B75" s="1611" t="s">
        <v>575</v>
      </c>
      <c r="C75" s="573">
        <v>9473</v>
      </c>
      <c r="D75" s="573"/>
      <c r="E75" s="573"/>
      <c r="F75" s="573">
        <v>238</v>
      </c>
      <c r="G75" s="573"/>
      <c r="H75" s="573"/>
      <c r="I75" s="531"/>
      <c r="J75" s="531"/>
      <c r="K75" s="1670">
        <f>SUM(C75:J75)</f>
        <v>9711</v>
      </c>
      <c r="L75" s="576">
        <v>9700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v>31579</v>
      </c>
      <c r="I79" s="477"/>
      <c r="J79" s="477"/>
      <c r="K79" s="1671">
        <f t="shared" si="11"/>
        <v>31579</v>
      </c>
      <c r="L79" s="466">
        <v>30000</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31579</v>
      </c>
      <c r="I84" s="477"/>
      <c r="J84" s="477"/>
      <c r="K84" s="1670">
        <f>SUM(K78:K83)</f>
        <v>31579</v>
      </c>
      <c r="L84" s="1670">
        <f>SUM(L78:L83)</f>
        <v>30000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46923</v>
      </c>
      <c r="I86" s="477"/>
      <c r="J86" s="477"/>
      <c r="K86" s="1677">
        <f t="shared" ref="K86:K98" si="12">H86</f>
        <v>46923</v>
      </c>
      <c r="L86" s="530">
        <v>20000</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46923</v>
      </c>
      <c r="I92" s="477"/>
      <c r="J92" s="477"/>
      <c r="K92" s="1677">
        <f t="shared" si="12"/>
        <v>46923</v>
      </c>
      <c r="L92" s="1670">
        <f>SUM(L85:L91)</f>
        <v>20000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78502</v>
      </c>
      <c r="I102" s="477"/>
      <c r="J102" s="477"/>
      <c r="K102" s="1677">
        <f>SUM(K84,K92,K100,K101)</f>
        <v>78502</v>
      </c>
      <c r="L102" s="1677">
        <f>SUM(L84,L92,L100,L101)</f>
        <v>50000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966064</v>
      </c>
      <c r="D114" s="1670">
        <f t="shared" ref="D114:K114" si="13">SUM(D33,D74,D75,D102,D112,D113)</f>
        <v>203982</v>
      </c>
      <c r="E114" s="1670">
        <f t="shared" si="13"/>
        <v>45801</v>
      </c>
      <c r="F114" s="1670">
        <f t="shared" si="13"/>
        <v>46209</v>
      </c>
      <c r="G114" s="1670">
        <f t="shared" si="13"/>
        <v>0</v>
      </c>
      <c r="H114" s="1670">
        <f>SUM(H33,H74,H75,H102,H112,H113)</f>
        <v>79183</v>
      </c>
      <c r="I114" s="1670">
        <f t="shared" si="13"/>
        <v>0</v>
      </c>
      <c r="J114" s="1670">
        <f t="shared" si="13"/>
        <v>0</v>
      </c>
      <c r="K114" s="1670">
        <f t="shared" si="13"/>
        <v>1341239</v>
      </c>
      <c r="L114" s="1670">
        <f>SUM(L33,L74,L75,L102,L112,L113)</f>
        <v>1325395</v>
      </c>
    </row>
    <row r="115" spans="1:14" ht="13.5" thickTop="1" x14ac:dyDescent="0.2">
      <c r="A115" s="2180" t="s">
        <v>996</v>
      </c>
      <c r="B115" s="2181"/>
      <c r="C115" s="618"/>
      <c r="D115" s="618"/>
      <c r="E115" s="618"/>
      <c r="F115" s="618"/>
      <c r="G115" s="618"/>
      <c r="H115" s="618"/>
      <c r="I115" s="618"/>
      <c r="J115" s="618"/>
      <c r="K115" s="1684">
        <f>'Revenues 9-14'!C268-'Expenditures 15-22'!K114</f>
        <v>-117400</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57000</v>
      </c>
      <c r="D124" s="466">
        <v>9512</v>
      </c>
      <c r="E124" s="466">
        <v>37189</v>
      </c>
      <c r="F124" s="466">
        <v>43031</v>
      </c>
      <c r="G124" s="466"/>
      <c r="H124" s="466">
        <v>514</v>
      </c>
      <c r="I124" s="467"/>
      <c r="J124" s="467"/>
      <c r="K124" s="1670">
        <f>SUM(C124:J124)</f>
        <v>147246</v>
      </c>
      <c r="L124" s="466">
        <v>151700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57000</v>
      </c>
      <c r="D127" s="1670">
        <f t="shared" ref="D127:L127" si="14">SUM(D122:D126)</f>
        <v>9512</v>
      </c>
      <c r="E127" s="1670">
        <f t="shared" si="14"/>
        <v>37189</v>
      </c>
      <c r="F127" s="1670">
        <f t="shared" si="14"/>
        <v>43031</v>
      </c>
      <c r="G127" s="1670">
        <f t="shared" si="14"/>
        <v>0</v>
      </c>
      <c r="H127" s="1670">
        <f t="shared" si="14"/>
        <v>514</v>
      </c>
      <c r="I127" s="1670">
        <f t="shared" si="14"/>
        <v>0</v>
      </c>
      <c r="J127" s="1670">
        <f t="shared" si="14"/>
        <v>0</v>
      </c>
      <c r="K127" s="1670">
        <f t="shared" si="14"/>
        <v>147246</v>
      </c>
      <c r="L127" s="1670">
        <f t="shared" si="14"/>
        <v>151700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57000</v>
      </c>
      <c r="D129" s="1677">
        <f t="shared" ref="D129:L129" si="15">SUM(D120,D127,D128)</f>
        <v>9512</v>
      </c>
      <c r="E129" s="1677">
        <f t="shared" si="15"/>
        <v>37189</v>
      </c>
      <c r="F129" s="1677">
        <f t="shared" si="15"/>
        <v>43031</v>
      </c>
      <c r="G129" s="1677">
        <f t="shared" si="15"/>
        <v>0</v>
      </c>
      <c r="H129" s="1677">
        <f t="shared" si="15"/>
        <v>514</v>
      </c>
      <c r="I129" s="1677">
        <f t="shared" si="15"/>
        <v>0</v>
      </c>
      <c r="J129" s="1677">
        <f t="shared" si="15"/>
        <v>0</v>
      </c>
      <c r="K129" s="1677">
        <f t="shared" si="15"/>
        <v>147246</v>
      </c>
      <c r="L129" s="1677">
        <f t="shared" si="15"/>
        <v>151700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2"/>
      <c r="C151" s="1670">
        <f>SUM(C129,C130,C139,C149,C150)</f>
        <v>57000</v>
      </c>
      <c r="D151" s="1670">
        <f t="shared" ref="D151:K151" si="16">SUM(D129,D130,D139,D149,D150)</f>
        <v>9512</v>
      </c>
      <c r="E151" s="1670">
        <f t="shared" si="16"/>
        <v>37189</v>
      </c>
      <c r="F151" s="1670">
        <f t="shared" si="16"/>
        <v>43031</v>
      </c>
      <c r="G151" s="1670">
        <f t="shared" si="16"/>
        <v>0</v>
      </c>
      <c r="H151" s="1670">
        <f t="shared" si="16"/>
        <v>514</v>
      </c>
      <c r="I151" s="1670">
        <f t="shared" si="16"/>
        <v>0</v>
      </c>
      <c r="J151" s="1670">
        <f t="shared" si="16"/>
        <v>0</v>
      </c>
      <c r="K151" s="1670">
        <f t="shared" si="16"/>
        <v>147246</v>
      </c>
      <c r="L151" s="1670">
        <f>SUM(L129,L130,L139,L149,L150)</f>
        <v>151700</v>
      </c>
    </row>
    <row r="152" spans="1:14" ht="12.75" customHeight="1" thickTop="1" x14ac:dyDescent="0.2">
      <c r="A152" s="2173" t="s">
        <v>1178</v>
      </c>
      <c r="B152" s="2174"/>
      <c r="C152" s="618"/>
      <c r="D152" s="618"/>
      <c r="E152" s="618"/>
      <c r="F152" s="618"/>
      <c r="G152" s="618"/>
      <c r="H152" s="618"/>
      <c r="I152" s="618"/>
      <c r="J152" s="616"/>
      <c r="K152" s="1684">
        <f>'Revenues 9-14'!D268-'Expenditures 15-22'!K151</f>
        <v>1598</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row>
    <row r="170" spans="1:14" ht="33.75" customHeight="1" x14ac:dyDescent="0.2">
      <c r="A170" s="669" t="s">
        <v>1670</v>
      </c>
      <c r="B170" s="671" t="s">
        <v>31</v>
      </c>
      <c r="C170" s="616"/>
      <c r="D170" s="616"/>
      <c r="E170" s="616"/>
      <c r="F170" s="616"/>
      <c r="G170" s="616"/>
      <c r="H170" s="569"/>
      <c r="I170" s="616"/>
      <c r="J170" s="616"/>
      <c r="K170" s="1671">
        <f>SUM(C170:J170)</f>
        <v>0</v>
      </c>
      <c r="L170" s="569"/>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80" t="s">
        <v>996</v>
      </c>
      <c r="B175" s="2181"/>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50792</v>
      </c>
      <c r="D182" s="466"/>
      <c r="E182" s="466">
        <v>11112</v>
      </c>
      <c r="F182" s="466">
        <v>11742</v>
      </c>
      <c r="G182" s="466">
        <v>31658</v>
      </c>
      <c r="H182" s="466">
        <v>1007</v>
      </c>
      <c r="I182" s="467"/>
      <c r="J182" s="467"/>
      <c r="K182" s="1671">
        <f>SUM(C182:J182)</f>
        <v>106311</v>
      </c>
      <c r="L182" s="466">
        <v>98100</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50792</v>
      </c>
      <c r="D184" s="1677">
        <f t="shared" ref="D184:J184" si="17">SUM(D180,D182,D183)</f>
        <v>0</v>
      </c>
      <c r="E184" s="1677">
        <f t="shared" si="17"/>
        <v>11112</v>
      </c>
      <c r="F184" s="1677">
        <f t="shared" si="17"/>
        <v>11742</v>
      </c>
      <c r="G184" s="1677">
        <f t="shared" si="17"/>
        <v>31658</v>
      </c>
      <c r="H184" s="1677">
        <f t="shared" si="17"/>
        <v>1007</v>
      </c>
      <c r="I184" s="1677">
        <f t="shared" si="17"/>
        <v>0</v>
      </c>
      <c r="J184" s="1677">
        <f t="shared" si="17"/>
        <v>0</v>
      </c>
      <c r="K184" s="1677">
        <f>SUM(K180,K182,K183)</f>
        <v>106311</v>
      </c>
      <c r="L184" s="1677">
        <f>SUM(L180, L182:L183)</f>
        <v>98100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50792</v>
      </c>
      <c r="D210" s="1670">
        <f>SUM(D184,D185)</f>
        <v>0</v>
      </c>
      <c r="E210" s="1670">
        <f>SUM(E184,E185,E196)</f>
        <v>11112</v>
      </c>
      <c r="F210" s="1670">
        <f>SUM(F184,F185)</f>
        <v>11742</v>
      </c>
      <c r="G210" s="1670">
        <f>SUM(G184,G185)</f>
        <v>31658</v>
      </c>
      <c r="H210" s="1670">
        <f>SUM(H184,H185,H196,H208,H209)</f>
        <v>1007</v>
      </c>
      <c r="I210" s="1670">
        <f>SUM(I184,I185)</f>
        <v>0</v>
      </c>
      <c r="J210" s="1670">
        <f>SUM(J184,J185)</f>
        <v>0</v>
      </c>
      <c r="K210" s="1671">
        <f>SUM(K184,K185,K196,K208,K209)</f>
        <v>106311</v>
      </c>
      <c r="L210" s="1670">
        <f>SUM(L184,L185,L196,L208,L209)</f>
        <v>98100</v>
      </c>
    </row>
    <row r="211" spans="1:14" ht="13.5" thickTop="1" x14ac:dyDescent="0.2">
      <c r="A211" s="2180" t="s">
        <v>996</v>
      </c>
      <c r="B211" s="2181"/>
      <c r="C211" s="618"/>
      <c r="D211" s="618"/>
      <c r="E211" s="618"/>
      <c r="F211" s="618"/>
      <c r="G211" s="618"/>
      <c r="H211" s="618"/>
      <c r="I211" s="616"/>
      <c r="J211" s="616"/>
      <c r="K211" s="1684">
        <f>'Revenues 9-14'!F268-'Expenditures 15-22'!K210</f>
        <v>-9273</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11313</v>
      </c>
      <c r="E215" s="616"/>
      <c r="F215" s="616"/>
      <c r="G215" s="616"/>
      <c r="H215" s="616"/>
      <c r="I215" s="616"/>
      <c r="J215" s="616"/>
      <c r="K215" s="1671">
        <f>D215</f>
        <v>11313</v>
      </c>
      <c r="L215" s="466">
        <v>12320</v>
      </c>
    </row>
    <row r="216" spans="1:14" x14ac:dyDescent="0.2">
      <c r="A216" s="1504" t="s">
        <v>163</v>
      </c>
      <c r="B216" s="614" t="s">
        <v>967</v>
      </c>
      <c r="C216" s="616"/>
      <c r="D216" s="467">
        <v>3730</v>
      </c>
      <c r="E216" s="616"/>
      <c r="F216" s="616"/>
      <c r="G216" s="616"/>
      <c r="H216" s="616"/>
      <c r="I216" s="616"/>
      <c r="J216" s="616"/>
      <c r="K216" s="1671">
        <f t="shared" ref="K216:K228" si="19">D216</f>
        <v>3730</v>
      </c>
      <c r="L216" s="466">
        <v>3325</v>
      </c>
    </row>
    <row r="217" spans="1:14" x14ac:dyDescent="0.2">
      <c r="A217" s="1504" t="s">
        <v>164</v>
      </c>
      <c r="B217" s="614">
        <v>1200</v>
      </c>
      <c r="C217" s="616"/>
      <c r="D217" s="466">
        <v>3499</v>
      </c>
      <c r="E217" s="616"/>
      <c r="F217" s="616"/>
      <c r="G217" s="616"/>
      <c r="H217" s="616"/>
      <c r="I217" s="616"/>
      <c r="J217" s="616"/>
      <c r="K217" s="1671">
        <f t="shared" si="19"/>
        <v>3499</v>
      </c>
      <c r="L217" s="466">
        <v>2900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460</v>
      </c>
      <c r="E219" s="616"/>
      <c r="F219" s="616"/>
      <c r="G219" s="616"/>
      <c r="H219" s="616"/>
      <c r="I219" s="616"/>
      <c r="J219" s="616"/>
      <c r="K219" s="1671">
        <f t="shared" si="19"/>
        <v>460</v>
      </c>
      <c r="L219" s="466">
        <v>200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v>342</v>
      </c>
      <c r="E223" s="616"/>
      <c r="F223" s="616"/>
      <c r="G223" s="616"/>
      <c r="H223" s="616"/>
      <c r="I223" s="616"/>
      <c r="J223" s="616"/>
      <c r="K223" s="1671">
        <f t="shared" si="19"/>
        <v>342</v>
      </c>
      <c r="L223" s="466">
        <v>300</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19344</v>
      </c>
      <c r="E229" s="616"/>
      <c r="F229" s="616"/>
      <c r="G229" s="616"/>
      <c r="H229" s="616"/>
      <c r="I229" s="616"/>
      <c r="J229" s="616"/>
      <c r="K229" s="1670">
        <f>SUM(K215:K228)</f>
        <v>19344</v>
      </c>
      <c r="L229" s="1670">
        <f>SUM(L215:L228)</f>
        <v>19045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c r="E233" s="616"/>
      <c r="F233" s="616"/>
      <c r="G233" s="616"/>
      <c r="H233" s="616"/>
      <c r="I233" s="616"/>
      <c r="J233" s="616"/>
      <c r="K233" s="1671">
        <f t="shared" si="20"/>
        <v>0</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500</v>
      </c>
      <c r="E236" s="616"/>
      <c r="F236" s="616"/>
      <c r="G236" s="616"/>
      <c r="H236" s="616"/>
      <c r="I236" s="616"/>
      <c r="J236" s="616"/>
      <c r="K236" s="1671">
        <f t="shared" si="20"/>
        <v>500</v>
      </c>
      <c r="L236" s="466">
        <v>510</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500</v>
      </c>
      <c r="E238" s="616"/>
      <c r="F238" s="616"/>
      <c r="G238" s="616"/>
      <c r="H238" s="616"/>
      <c r="I238" s="616"/>
      <c r="J238" s="616"/>
      <c r="K238" s="1670">
        <f>SUM(K232:K237)</f>
        <v>500</v>
      </c>
      <c r="L238" s="1670">
        <f>SUM(L232:L237)</f>
        <v>510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174</v>
      </c>
      <c r="E245" s="616"/>
      <c r="F245" s="616"/>
      <c r="G245" s="616"/>
      <c r="H245" s="616"/>
      <c r="I245" s="616"/>
      <c r="J245" s="616"/>
      <c r="K245" s="1672">
        <f>D245</f>
        <v>174</v>
      </c>
      <c r="L245" s="481">
        <v>175</v>
      </c>
    </row>
    <row r="246" spans="1:12" x14ac:dyDescent="0.2">
      <c r="A246" s="1504" t="s">
        <v>818</v>
      </c>
      <c r="B246" s="614">
        <v>2320</v>
      </c>
      <c r="C246" s="616"/>
      <c r="D246" s="466">
        <v>604</v>
      </c>
      <c r="E246" s="616"/>
      <c r="F246" s="616"/>
      <c r="G246" s="616"/>
      <c r="H246" s="616"/>
      <c r="I246" s="616"/>
      <c r="J246" s="616"/>
      <c r="K246" s="1672">
        <f t="shared" ref="K246:K256" si="21">D246</f>
        <v>604</v>
      </c>
      <c r="L246" s="466">
        <v>660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778</v>
      </c>
      <c r="E257" s="616"/>
      <c r="F257" s="616"/>
      <c r="G257" s="616"/>
      <c r="H257" s="616"/>
      <c r="I257" s="616"/>
      <c r="J257" s="616"/>
      <c r="K257" s="1670">
        <f>SUM(K245:K256)</f>
        <v>778</v>
      </c>
      <c r="L257" s="1670">
        <f>SUM(L245:L256)</f>
        <v>835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7476</v>
      </c>
      <c r="E259" s="616"/>
      <c r="F259" s="616"/>
      <c r="G259" s="616"/>
      <c r="H259" s="616"/>
      <c r="I259" s="616"/>
      <c r="J259" s="616"/>
      <c r="K259" s="1672">
        <f>D259</f>
        <v>7476</v>
      </c>
      <c r="L259" s="481">
        <v>8200</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7476</v>
      </c>
      <c r="E261" s="616"/>
      <c r="F261" s="616"/>
      <c r="G261" s="616"/>
      <c r="H261" s="616"/>
      <c r="I261" s="616"/>
      <c r="J261" s="616"/>
      <c r="K261" s="1670">
        <f>SUM(K259:K260)</f>
        <v>7476</v>
      </c>
      <c r="L261" s="1670">
        <f>SUM(L259:L260)</f>
        <v>8200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9712</v>
      </c>
      <c r="E266" s="616"/>
      <c r="F266" s="616"/>
      <c r="G266" s="616"/>
      <c r="H266" s="616"/>
      <c r="I266" s="616"/>
      <c r="J266" s="616"/>
      <c r="K266" s="1672">
        <f t="shared" si="22"/>
        <v>9712</v>
      </c>
      <c r="L266" s="466">
        <v>10800</v>
      </c>
    </row>
    <row r="267" spans="1:14" x14ac:dyDescent="0.2">
      <c r="A267" s="1504" t="s">
        <v>953</v>
      </c>
      <c r="B267" s="614">
        <v>2550</v>
      </c>
      <c r="C267" s="616"/>
      <c r="D267" s="466">
        <v>8688</v>
      </c>
      <c r="E267" s="616"/>
      <c r="F267" s="616"/>
      <c r="G267" s="616"/>
      <c r="H267" s="616"/>
      <c r="I267" s="616"/>
      <c r="J267" s="616"/>
      <c r="K267" s="1672">
        <f t="shared" si="22"/>
        <v>8688</v>
      </c>
      <c r="L267" s="466">
        <v>9400</v>
      </c>
    </row>
    <row r="268" spans="1:14" x14ac:dyDescent="0.2">
      <c r="A268" s="1504" t="s">
        <v>100</v>
      </c>
      <c r="B268" s="614">
        <v>2560</v>
      </c>
      <c r="C268" s="616"/>
      <c r="D268" s="466">
        <v>4547</v>
      </c>
      <c r="E268" s="616"/>
      <c r="F268" s="616"/>
      <c r="G268" s="616"/>
      <c r="H268" s="616"/>
      <c r="I268" s="616"/>
      <c r="J268" s="616"/>
      <c r="K268" s="1672">
        <f t="shared" si="22"/>
        <v>4547</v>
      </c>
      <c r="L268" s="466">
        <v>4800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22947</v>
      </c>
      <c r="E270" s="616"/>
      <c r="F270" s="616"/>
      <c r="G270" s="616"/>
      <c r="H270" s="616"/>
      <c r="I270" s="616"/>
      <c r="J270" s="616"/>
      <c r="K270" s="1670">
        <f>SUM(K263:K269)</f>
        <v>22947</v>
      </c>
      <c r="L270" s="1670">
        <f>SUM(L263:L269)</f>
        <v>25000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31701</v>
      </c>
      <c r="E279" s="616"/>
      <c r="F279" s="616"/>
      <c r="G279" s="616"/>
      <c r="H279" s="616"/>
      <c r="I279" s="616"/>
      <c r="J279" s="616"/>
      <c r="K279" s="1677">
        <f>SUM(K238,K243,K257,K261,K270,K277,K278)</f>
        <v>31701</v>
      </c>
      <c r="L279" s="1677">
        <f>SUM(L238,L243,L257,L261,L270,L277,L278)</f>
        <v>34545</v>
      </c>
    </row>
    <row r="280" spans="1:12" ht="15.75" customHeight="1" thickTop="1" thickBot="1" x14ac:dyDescent="0.25">
      <c r="A280" s="1624" t="s">
        <v>875</v>
      </c>
      <c r="B280" s="1613">
        <v>3000</v>
      </c>
      <c r="C280" s="616"/>
      <c r="D280" s="576">
        <v>1628</v>
      </c>
      <c r="E280" s="616"/>
      <c r="F280" s="616"/>
      <c r="G280" s="616"/>
      <c r="H280" s="616"/>
      <c r="I280" s="616"/>
      <c r="J280" s="616"/>
      <c r="K280" s="1679">
        <f>D280</f>
        <v>1628</v>
      </c>
      <c r="L280" s="576">
        <v>1730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52673</v>
      </c>
      <c r="E295" s="616"/>
      <c r="F295" s="616"/>
      <c r="G295" s="616"/>
      <c r="H295" s="1670">
        <f>H293</f>
        <v>0</v>
      </c>
      <c r="I295" s="616"/>
      <c r="J295" s="616"/>
      <c r="K295" s="1670">
        <f>SUM(K229,K279,K280,K285,K293,K294)</f>
        <v>52673</v>
      </c>
      <c r="L295" s="1670">
        <f>SUM(L229,L279,L280,L285,L293,L294)</f>
        <v>55320</v>
      </c>
    </row>
    <row r="296" spans="1:14" ht="13.5" thickTop="1" x14ac:dyDescent="0.2">
      <c r="A296" s="2180" t="s">
        <v>996</v>
      </c>
      <c r="B296" s="2181"/>
      <c r="C296" s="616"/>
      <c r="D296" s="618"/>
      <c r="E296" s="616"/>
      <c r="F296" s="616"/>
      <c r="G296" s="616"/>
      <c r="H296" s="687"/>
      <c r="I296" s="616"/>
      <c r="J296" s="616"/>
      <c r="K296" s="1684">
        <f>'Revenues 9-14'!G268-'Expenditures 15-22'!K295</f>
        <v>4325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30952</v>
      </c>
      <c r="F301" s="466">
        <v>5187</v>
      </c>
      <c r="G301" s="466">
        <v>3299</v>
      </c>
      <c r="H301" s="466"/>
      <c r="I301" s="467"/>
      <c r="J301" s="467"/>
      <c r="K301" s="1671">
        <f>SUM(C301:J301)</f>
        <v>39438</v>
      </c>
      <c r="L301" s="467">
        <v>32000</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30952</v>
      </c>
      <c r="F303" s="1677">
        <f t="shared" si="23"/>
        <v>5187</v>
      </c>
      <c r="G303" s="1677">
        <f t="shared" si="23"/>
        <v>3299</v>
      </c>
      <c r="H303" s="1677">
        <f t="shared" si="23"/>
        <v>0</v>
      </c>
      <c r="I303" s="1677">
        <f t="shared" si="23"/>
        <v>0</v>
      </c>
      <c r="J303" s="1677">
        <f t="shared" si="23"/>
        <v>0</v>
      </c>
      <c r="K303" s="1677">
        <f t="shared" si="23"/>
        <v>39438</v>
      </c>
      <c r="L303" s="1677">
        <f t="shared" si="23"/>
        <v>32000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30952</v>
      </c>
      <c r="F312" s="1670">
        <f>SUM(F303)</f>
        <v>5187</v>
      </c>
      <c r="G312" s="1670">
        <f>SUM(G303)</f>
        <v>3299</v>
      </c>
      <c r="H312" s="1670">
        <f>SUM(H303,H310)</f>
        <v>0</v>
      </c>
      <c r="I312" s="1670">
        <f>SUM(I303)</f>
        <v>0</v>
      </c>
      <c r="J312" s="1670">
        <f>SUM(J303)</f>
        <v>0</v>
      </c>
      <c r="K312" s="1670">
        <f>SUM(K303,K310,K311)</f>
        <v>39438</v>
      </c>
      <c r="L312" s="1670">
        <f>SUM(L303,L310,L311)</f>
        <v>32000</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56824</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9233</v>
      </c>
      <c r="F320" s="467"/>
      <c r="G320" s="467"/>
      <c r="H320" s="467"/>
      <c r="I320" s="467"/>
      <c r="J320" s="467"/>
      <c r="K320" s="1671">
        <f t="shared" ref="K320:K327" si="24">SUM(C320:J320)</f>
        <v>9233</v>
      </c>
      <c r="L320" s="467">
        <v>8760</v>
      </c>
      <c r="M320" s="665"/>
      <c r="N320" s="665"/>
    </row>
    <row r="321" spans="1:14" s="674" customFormat="1" x14ac:dyDescent="0.2">
      <c r="A321" s="1519" t="s">
        <v>300</v>
      </c>
      <c r="B321" s="697" t="s">
        <v>283</v>
      </c>
      <c r="C321" s="467"/>
      <c r="D321" s="467"/>
      <c r="E321" s="467">
        <v>2004</v>
      </c>
      <c r="F321" s="467"/>
      <c r="G321" s="467"/>
      <c r="H321" s="467"/>
      <c r="I321" s="467"/>
      <c r="J321" s="467"/>
      <c r="K321" s="1671">
        <f t="shared" si="24"/>
        <v>2004</v>
      </c>
      <c r="L321" s="467">
        <v>2000</v>
      </c>
      <c r="M321" s="665"/>
      <c r="N321" s="665"/>
    </row>
    <row r="322" spans="1:14" s="674" customFormat="1" x14ac:dyDescent="0.2">
      <c r="A322" s="1519" t="s">
        <v>238</v>
      </c>
      <c r="B322" s="697" t="s">
        <v>284</v>
      </c>
      <c r="C322" s="467"/>
      <c r="D322" s="467"/>
      <c r="E322" s="467">
        <v>7002</v>
      </c>
      <c r="F322" s="467"/>
      <c r="G322" s="467"/>
      <c r="H322" s="467"/>
      <c r="I322" s="467"/>
      <c r="J322" s="467"/>
      <c r="K322" s="1671">
        <f t="shared" si="24"/>
        <v>7002</v>
      </c>
      <c r="L322" s="467">
        <v>6000</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600</v>
      </c>
      <c r="F327" s="467"/>
      <c r="G327" s="467"/>
      <c r="H327" s="467"/>
      <c r="I327" s="467"/>
      <c r="J327" s="467"/>
      <c r="K327" s="1671">
        <f t="shared" si="24"/>
        <v>600</v>
      </c>
      <c r="L327" s="467">
        <v>600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18839</v>
      </c>
      <c r="F330" s="1670">
        <f t="shared" si="25"/>
        <v>0</v>
      </c>
      <c r="G330" s="1670">
        <f t="shared" si="25"/>
        <v>0</v>
      </c>
      <c r="H330" s="1670">
        <f t="shared" si="25"/>
        <v>0</v>
      </c>
      <c r="I330" s="1670">
        <f t="shared" si="25"/>
        <v>0</v>
      </c>
      <c r="J330" s="1670">
        <f t="shared" si="25"/>
        <v>0</v>
      </c>
      <c r="K330" s="1670">
        <f>SUM(K319:K329)</f>
        <v>18839</v>
      </c>
      <c r="L330" s="1670">
        <f>SUM(L319:L329)</f>
        <v>17360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18839</v>
      </c>
      <c r="F342" s="1670">
        <f>SUM(F330)</f>
        <v>0</v>
      </c>
      <c r="G342" s="1670">
        <f>SUM(G330)</f>
        <v>0</v>
      </c>
      <c r="H342" s="1670">
        <f>SUM(H330,H334,H340)</f>
        <v>0</v>
      </c>
      <c r="I342" s="1670">
        <f>SUM(I330)</f>
        <v>0</v>
      </c>
      <c r="J342" s="1670">
        <f>SUM(J330)</f>
        <v>0</v>
      </c>
      <c r="K342" s="1670">
        <f>SUM(K330,K334,K340)</f>
        <v>18839</v>
      </c>
      <c r="L342" s="1677">
        <f>SUM(L330,L340,L341)</f>
        <v>17360</v>
      </c>
    </row>
    <row r="343" spans="1:14" ht="12.75" customHeight="1" thickTop="1" x14ac:dyDescent="0.2">
      <c r="A343" s="2166" t="s">
        <v>996</v>
      </c>
      <c r="B343" s="2167"/>
      <c r="C343" s="616"/>
      <c r="D343" s="616"/>
      <c r="E343" s="616"/>
      <c r="F343" s="616"/>
      <c r="G343" s="616"/>
      <c r="H343" s="616"/>
      <c r="I343" s="616"/>
      <c r="J343" s="616"/>
      <c r="K343" s="1684">
        <f>'Revenues 9-14'!J268-'Expenditures 15-22'!K342</f>
        <v>3048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80" t="s">
        <v>996</v>
      </c>
      <c r="B368" s="2181"/>
      <c r="C368" s="654"/>
      <c r="D368" s="654"/>
      <c r="E368" s="626"/>
      <c r="F368" s="626"/>
      <c r="G368" s="626"/>
      <c r="H368" s="626"/>
      <c r="I368" s="626"/>
      <c r="J368" s="623"/>
      <c r="K368" s="1671">
        <f>'Revenues 9-14'!K268-'Expenditures 15-22'!K367</f>
        <v>990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B4" sqref="B4"/>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214135</v>
      </c>
      <c r="C4" s="1524"/>
      <c r="D4" s="1752">
        <f>B4-C4</f>
        <v>214135</v>
      </c>
      <c r="E4" s="1524">
        <v>221652</v>
      </c>
      <c r="F4" s="1752">
        <f>E4-C4</f>
        <v>221652</v>
      </c>
    </row>
    <row r="5" spans="1:6" ht="13.7" customHeight="1" x14ac:dyDescent="0.2">
      <c r="A5" s="715" t="s">
        <v>870</v>
      </c>
      <c r="B5" s="1750">
        <f>'Revenues 9-14'!D5</f>
        <v>24806</v>
      </c>
      <c r="C5" s="585"/>
      <c r="D5" s="1753">
        <f t="shared" ref="D5:D18" si="0">B5-C5</f>
        <v>24806</v>
      </c>
      <c r="E5" s="585">
        <v>24872</v>
      </c>
      <c r="F5" s="1753">
        <f>E5-C5</f>
        <v>24872</v>
      </c>
    </row>
    <row r="6" spans="1:6" ht="13.7" customHeight="1" x14ac:dyDescent="0.2">
      <c r="A6" s="715" t="s">
        <v>411</v>
      </c>
      <c r="B6" s="1750">
        <f>'Revenues 9-14'!E5</f>
        <v>0</v>
      </c>
      <c r="C6" s="585"/>
      <c r="D6" s="1753">
        <f t="shared" si="0"/>
        <v>0</v>
      </c>
      <c r="E6" s="585"/>
      <c r="F6" s="1753">
        <f t="shared" ref="F6:F18" si="1">E6-C6</f>
        <v>0</v>
      </c>
    </row>
    <row r="7" spans="1:6" ht="13.7" customHeight="1" x14ac:dyDescent="0.2">
      <c r="A7" s="715" t="s">
        <v>155</v>
      </c>
      <c r="B7" s="1750">
        <f>'Revenues 9-14'!F5</f>
        <v>11367</v>
      </c>
      <c r="C7" s="585"/>
      <c r="D7" s="1753">
        <f t="shared" si="0"/>
        <v>11367</v>
      </c>
      <c r="E7" s="585">
        <v>11398</v>
      </c>
      <c r="F7" s="1753">
        <f t="shared" si="1"/>
        <v>11398</v>
      </c>
    </row>
    <row r="8" spans="1:6" ht="13.7" customHeight="1" x14ac:dyDescent="0.2">
      <c r="A8" s="715" t="s">
        <v>1179</v>
      </c>
      <c r="B8" s="1750">
        <f>'Revenues 9-14'!G5</f>
        <v>30811</v>
      </c>
      <c r="C8" s="585"/>
      <c r="D8" s="1753">
        <f t="shared" si="0"/>
        <v>30811</v>
      </c>
      <c r="E8" s="585">
        <v>30897</v>
      </c>
      <c r="F8" s="1753">
        <f t="shared" si="1"/>
        <v>30897</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4740</v>
      </c>
      <c r="C10" s="585"/>
      <c r="D10" s="1753">
        <f t="shared" si="0"/>
        <v>4740</v>
      </c>
      <c r="E10" s="585">
        <v>4754</v>
      </c>
      <c r="F10" s="1753">
        <f t="shared" si="1"/>
        <v>4754</v>
      </c>
    </row>
    <row r="11" spans="1:6" x14ac:dyDescent="0.2">
      <c r="A11" s="715" t="s">
        <v>409</v>
      </c>
      <c r="B11" s="1750">
        <f>'Revenues 9-14'!J5</f>
        <v>21887</v>
      </c>
      <c r="C11" s="585"/>
      <c r="D11" s="1753">
        <f t="shared" si="0"/>
        <v>21887</v>
      </c>
      <c r="E11" s="585">
        <v>21948</v>
      </c>
      <c r="F11" s="1753">
        <f t="shared" si="1"/>
        <v>21948</v>
      </c>
    </row>
    <row r="12" spans="1:6" ht="13.7" customHeight="1" x14ac:dyDescent="0.2">
      <c r="A12" s="715" t="s">
        <v>157</v>
      </c>
      <c r="B12" s="1750">
        <f>'Revenues 9-14'!K5</f>
        <v>990</v>
      </c>
      <c r="C12" s="585"/>
      <c r="D12" s="1753">
        <f t="shared" si="0"/>
        <v>990</v>
      </c>
      <c r="E12" s="585">
        <v>993</v>
      </c>
      <c r="F12" s="1753">
        <f t="shared" si="1"/>
        <v>993</v>
      </c>
    </row>
    <row r="13" spans="1:6" ht="13.7" customHeight="1" x14ac:dyDescent="0.2">
      <c r="A13" s="715" t="s">
        <v>936</v>
      </c>
      <c r="B13" s="1750">
        <f>SUM('Revenues 9-14'!C6:D6)</f>
        <v>10187</v>
      </c>
      <c r="C13" s="585"/>
      <c r="D13" s="1753">
        <f t="shared" si="0"/>
        <v>10187</v>
      </c>
      <c r="E13" s="585">
        <v>10218</v>
      </c>
      <c r="F13" s="1753">
        <f t="shared" si="1"/>
        <v>10218</v>
      </c>
    </row>
    <row r="14" spans="1:6" ht="13.7" customHeight="1" x14ac:dyDescent="0.2">
      <c r="A14" s="715" t="s">
        <v>410</v>
      </c>
      <c r="B14" s="1750">
        <f>SUM('Revenues 9-14'!C7:D7,'Revenues 9-14'!F7:H7)</f>
        <v>6524</v>
      </c>
      <c r="C14" s="585"/>
      <c r="D14" s="1753">
        <f t="shared" si="0"/>
        <v>6524</v>
      </c>
      <c r="E14" s="585">
        <v>6543</v>
      </c>
      <c r="F14" s="1753">
        <f t="shared" si="1"/>
        <v>6543</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26163</v>
      </c>
      <c r="C16" s="585"/>
      <c r="D16" s="1753">
        <f t="shared" si="0"/>
        <v>26163</v>
      </c>
      <c r="E16" s="585">
        <v>26236</v>
      </c>
      <c r="F16" s="1753">
        <f t="shared" si="1"/>
        <v>26236</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351610</v>
      </c>
      <c r="C19" s="1751">
        <f>SUM(C4:C18)</f>
        <v>0</v>
      </c>
      <c r="D19" s="1751">
        <f>SUM(D4:D18)</f>
        <v>351610</v>
      </c>
      <c r="E19" s="1751">
        <f>SUM(E4:E18)</f>
        <v>359511</v>
      </c>
      <c r="F19" s="1751">
        <f>SUM(F4:F18)</f>
        <v>359511</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B4" sqref="B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1802</v>
      </c>
      <c r="B2" s="2198"/>
      <c r="C2" s="1884" t="s">
        <v>1956</v>
      </c>
      <c r="D2" s="723" t="s">
        <v>1957</v>
      </c>
      <c r="E2" s="723" t="s">
        <v>1958</v>
      </c>
      <c r="F2" s="1884" t="s">
        <v>1959</v>
      </c>
    </row>
    <row r="3" spans="1:7" ht="15.75" customHeight="1" x14ac:dyDescent="0.2">
      <c r="A3" s="2201" t="s">
        <v>1114</v>
      </c>
      <c r="B3" s="2202"/>
      <c r="C3" s="2190"/>
      <c r="D3" s="2191"/>
      <c r="E3" s="2191"/>
      <c r="F3" s="2192"/>
    </row>
    <row r="4" spans="1:7" ht="12.75" customHeight="1" thickBot="1" x14ac:dyDescent="0.25">
      <c r="A4" s="2199" t="s">
        <v>630</v>
      </c>
      <c r="B4" s="2200"/>
      <c r="C4" s="581"/>
      <c r="D4" s="581"/>
      <c r="E4" s="581"/>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c r="G52" s="2206"/>
      <c r="H52" s="736"/>
      <c r="I52" s="736"/>
      <c r="J52" s="746"/>
    </row>
    <row r="53" spans="1:11" ht="11.25" customHeight="1" x14ac:dyDescent="0.2">
      <c r="A53" s="750" t="s">
        <v>913</v>
      </c>
      <c r="B53" s="751" t="s">
        <v>951</v>
      </c>
      <c r="C53" s="746"/>
      <c r="D53" s="737"/>
      <c r="E53" s="749" t="s">
        <v>497</v>
      </c>
      <c r="F53" s="2207"/>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B4" sqref="B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1812</v>
      </c>
      <c r="K2" s="762" t="s">
        <v>138</v>
      </c>
    </row>
    <row r="3" spans="1:11" x14ac:dyDescent="0.2">
      <c r="A3" s="2219" t="s">
        <v>1964</v>
      </c>
      <c r="B3" s="2220"/>
      <c r="C3" s="2220"/>
      <c r="D3" s="2220"/>
      <c r="E3" s="2221"/>
      <c r="F3" s="763"/>
      <c r="G3" s="764"/>
      <c r="H3" s="764"/>
      <c r="I3" s="764"/>
      <c r="J3" s="765"/>
      <c r="K3" s="765"/>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v>6524</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92984</v>
      </c>
      <c r="K8" s="769"/>
    </row>
    <row r="9" spans="1:11" x14ac:dyDescent="0.2">
      <c r="A9" s="778" t="s">
        <v>138</v>
      </c>
      <c r="B9" s="779"/>
      <c r="C9" s="779"/>
      <c r="D9" s="779"/>
      <c r="E9" s="780"/>
      <c r="F9" s="777" t="s">
        <v>853</v>
      </c>
      <c r="G9" s="782"/>
      <c r="H9" s="771"/>
      <c r="I9" s="771"/>
      <c r="J9" s="781"/>
      <c r="K9" s="765"/>
    </row>
    <row r="10" spans="1:11" x14ac:dyDescent="0.2">
      <c r="A10" s="2240" t="s">
        <v>1813</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6524</v>
      </c>
      <c r="I12" s="1758">
        <f>SUM(I5:I11)</f>
        <v>0</v>
      </c>
      <c r="J12" s="1758">
        <f>SUM(J5:J11)</f>
        <v>92984</v>
      </c>
      <c r="K12" s="1758">
        <f>SUM(K5:K11)</f>
        <v>0</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v>6524</v>
      </c>
      <c r="I14" s="771"/>
      <c r="J14" s="773"/>
      <c r="K14" s="765"/>
    </row>
    <row r="15" spans="1:11" x14ac:dyDescent="0.2">
      <c r="A15" s="2213" t="s">
        <v>4</v>
      </c>
      <c r="B15" s="2213"/>
      <c r="C15" s="2213"/>
      <c r="D15" s="2213"/>
      <c r="E15" s="2241"/>
      <c r="F15" s="789" t="s">
        <v>855</v>
      </c>
      <c r="G15" s="771"/>
      <c r="H15" s="764"/>
      <c r="I15" s="764"/>
      <c r="J15" s="765">
        <v>39438</v>
      </c>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0</v>
      </c>
      <c r="K21" s="793"/>
    </row>
    <row r="22" spans="1:11" ht="13.5" thickTop="1" x14ac:dyDescent="0.2">
      <c r="A22" s="2213" t="s">
        <v>1815</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6524</v>
      </c>
      <c r="I23" s="1758">
        <f>SUM(I14:I16,I21,I22)</f>
        <v>0</v>
      </c>
      <c r="J23" s="1758">
        <f>SUM(J14:J16,J21,J22)</f>
        <v>39438</v>
      </c>
      <c r="K23" s="1758">
        <f>SUM(K14:K16,K21,K22)</f>
        <v>0</v>
      </c>
    </row>
    <row r="24" spans="1:11" ht="14.25" thickTop="1" thickBot="1" x14ac:dyDescent="0.25">
      <c r="A24" s="2234" t="s">
        <v>1965</v>
      </c>
      <c r="B24" s="2233"/>
      <c r="C24" s="2233"/>
      <c r="D24" s="2233"/>
      <c r="E24" s="2233"/>
      <c r="F24" s="1762"/>
      <c r="G24" s="1763">
        <f>SUM(G3,G12)-G23</f>
        <v>0</v>
      </c>
      <c r="H24" s="1763">
        <f>SUM(H3,H12)-H23</f>
        <v>0</v>
      </c>
      <c r="I24" s="1763">
        <f>SUM(I3,I12)-I23</f>
        <v>0</v>
      </c>
      <c r="J24" s="1763">
        <f>SUM(J3,J12)-J23</f>
        <v>53546</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53546</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A4" colorId="8" zoomScale="110" zoomScaleNormal="110" workbookViewId="0">
      <selection activeCell="B4" sqref="B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3200</v>
      </c>
      <c r="D5" s="841"/>
      <c r="E5" s="841"/>
      <c r="F5" s="1760">
        <f>(C5+D5)-E5</f>
        <v>3200</v>
      </c>
      <c r="G5" s="837"/>
      <c r="H5" s="842"/>
      <c r="I5" s="842"/>
      <c r="J5" s="842"/>
      <c r="K5" s="793"/>
      <c r="L5" s="1769">
        <f>F5-K5</f>
        <v>3200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811546</v>
      </c>
      <c r="D8" s="844">
        <v>3299</v>
      </c>
      <c r="E8" s="844"/>
      <c r="F8" s="1760">
        <f>(C8+D8)-E8</f>
        <v>814845</v>
      </c>
      <c r="G8" s="843">
        <v>50</v>
      </c>
      <c r="H8" s="765">
        <v>499853</v>
      </c>
      <c r="I8" s="765">
        <v>17730</v>
      </c>
      <c r="J8" s="765"/>
      <c r="K8" s="1769">
        <f>(H8+I8)-J8</f>
        <v>517583</v>
      </c>
      <c r="L8" s="1769">
        <f>F8-K8</f>
        <v>297262</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618719</v>
      </c>
      <c r="D12" s="844"/>
      <c r="E12" s="844"/>
      <c r="F12" s="1760">
        <f>(C12+D12)-E12</f>
        <v>618719</v>
      </c>
      <c r="G12" s="843">
        <v>10</v>
      </c>
      <c r="H12" s="765">
        <v>567340</v>
      </c>
      <c r="I12" s="765">
        <v>51379</v>
      </c>
      <c r="J12" s="765"/>
      <c r="K12" s="1769">
        <f>(H12+I12)-J12</f>
        <v>618719</v>
      </c>
      <c r="L12" s="1769">
        <f>F12-K12</f>
        <v>0</v>
      </c>
    </row>
    <row r="13" spans="1:14" ht="14.25" thickTop="1" thickBot="1" x14ac:dyDescent="0.25">
      <c r="A13" s="848" t="s">
        <v>1122</v>
      </c>
      <c r="B13" s="840">
        <v>252</v>
      </c>
      <c r="C13" s="844">
        <v>243475</v>
      </c>
      <c r="D13" s="844">
        <v>216699</v>
      </c>
      <c r="E13" s="844">
        <v>194675</v>
      </c>
      <c r="F13" s="1760">
        <f>(C13+D13)-E13</f>
        <v>265499</v>
      </c>
      <c r="G13" s="843">
        <v>5</v>
      </c>
      <c r="H13" s="765">
        <v>243475</v>
      </c>
      <c r="I13" s="765">
        <v>1873</v>
      </c>
      <c r="J13" s="765">
        <v>194675</v>
      </c>
      <c r="K13" s="1769">
        <f>(H13+I13)-J13</f>
        <v>50673</v>
      </c>
      <c r="L13" s="1769">
        <f>F13-K13</f>
        <v>214826</v>
      </c>
    </row>
    <row r="14" spans="1:14" ht="14.25" thickTop="1" thickBot="1" x14ac:dyDescent="0.25">
      <c r="A14" s="848" t="s">
        <v>1123</v>
      </c>
      <c r="B14" s="840">
        <v>253</v>
      </c>
      <c r="C14" s="765">
        <v>8017</v>
      </c>
      <c r="D14" s="765"/>
      <c r="E14" s="765"/>
      <c r="F14" s="1760">
        <f>(C14+D14)-E14</f>
        <v>8017</v>
      </c>
      <c r="G14" s="843">
        <v>3</v>
      </c>
      <c r="H14" s="765">
        <v>6345</v>
      </c>
      <c r="I14" s="765">
        <v>1672</v>
      </c>
      <c r="J14" s="765"/>
      <c r="K14" s="1769">
        <f>(H14+I14)-J14</f>
        <v>8017</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1684957</v>
      </c>
      <c r="D16" s="1760">
        <f>SUM(D3,D5:D6,D8:D10,D12:D15)</f>
        <v>219998</v>
      </c>
      <c r="E16" s="1760">
        <f>SUM(E3,E5:E6,E8:E10,E12:E15)</f>
        <v>194675</v>
      </c>
      <c r="F16" s="1760">
        <f>SUM(F3,F5:F6,F8:F10,F12:F15)</f>
        <v>1710280</v>
      </c>
      <c r="G16" s="843"/>
      <c r="H16" s="1760">
        <f>SUM(H3,H6,H8:H10,H12:H14,)</f>
        <v>1317013</v>
      </c>
      <c r="I16" s="1760">
        <f>SUM(I3,I6,I8:I10,I12:I14,)</f>
        <v>72654</v>
      </c>
      <c r="J16" s="1760">
        <f>SUM(J3,J6,J8:J10,J12:J14,)</f>
        <v>194675</v>
      </c>
      <c r="K16" s="1760">
        <f>(H16+I16)-J16</f>
        <v>1194992</v>
      </c>
      <c r="L16" s="1760">
        <f>F16-K16</f>
        <v>515288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72654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0" activePane="bottomLeft" state="frozen"/>
      <selection activeCell="B4" sqref="B4"/>
      <selection pane="bottomLeft" activeCell="B4" sqref="B4"/>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1341239</v>
      </c>
      <c r="G8" s="865"/>
    </row>
    <row r="9" spans="1:7" x14ac:dyDescent="0.2">
      <c r="A9" s="869" t="s">
        <v>460</v>
      </c>
      <c r="B9" s="870" t="s">
        <v>1877</v>
      </c>
      <c r="C9" s="871"/>
      <c r="D9" s="869" t="s">
        <v>501</v>
      </c>
      <c r="E9" s="868"/>
      <c r="F9" s="1909">
        <f>'Expenditures 15-22'!K151</f>
        <v>147246</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106311</v>
      </c>
      <c r="G11" s="872"/>
    </row>
    <row r="12" spans="1:7" x14ac:dyDescent="0.2">
      <c r="A12" s="869" t="s">
        <v>462</v>
      </c>
      <c r="B12" s="870" t="s">
        <v>1880</v>
      </c>
      <c r="C12" s="871"/>
      <c r="D12" s="869" t="s">
        <v>501</v>
      </c>
      <c r="E12" s="868"/>
      <c r="F12" s="1909">
        <f>'Expenditures 15-22'!K295</f>
        <v>52673</v>
      </c>
      <c r="G12" s="872"/>
    </row>
    <row r="13" spans="1:7" x14ac:dyDescent="0.2">
      <c r="A13" s="869" t="s">
        <v>106</v>
      </c>
      <c r="B13" s="870" t="s">
        <v>1881</v>
      </c>
      <c r="C13" s="871"/>
      <c r="D13" s="869" t="s">
        <v>501</v>
      </c>
      <c r="E13" s="868"/>
      <c r="F13" s="1909">
        <f>'Expenditures 15-22'!K342</f>
        <v>18839</v>
      </c>
      <c r="G13" s="873"/>
    </row>
    <row r="14" spans="1:7" ht="12" customHeight="1" thickBot="1" x14ac:dyDescent="0.25">
      <c r="A14" s="1770"/>
      <c r="B14" s="1771"/>
      <c r="C14" s="1772"/>
      <c r="D14" s="1773" t="s">
        <v>501</v>
      </c>
      <c r="E14" s="1774" t="s">
        <v>958</v>
      </c>
      <c r="F14" s="1775">
        <f>SUM(F8:F13)</f>
        <v>1666308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26304</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85912</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9711</v>
      </c>
      <c r="G52" s="865"/>
    </row>
    <row r="53" spans="1:7" x14ac:dyDescent="0.2">
      <c r="A53" s="869" t="s">
        <v>459</v>
      </c>
      <c r="B53" s="869" t="s">
        <v>1475</v>
      </c>
      <c r="C53" s="889">
        <f>'Expenditures 15-22'!B102</f>
        <v>4000</v>
      </c>
      <c r="D53" s="888" t="str">
        <f>'Expenditures 15-22'!A102</f>
        <v>Total Payments to Other Govt Units</v>
      </c>
      <c r="E53" s="868"/>
      <c r="F53" s="1913">
        <f>'Expenditures 15-22'!K102</f>
        <v>78502</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31658</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3730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1628</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237445</v>
      </c>
      <c r="G76" s="865"/>
    </row>
    <row r="77" spans="1:8" s="893" customFormat="1" ht="12" customHeight="1" thickTop="1" thickBot="1" x14ac:dyDescent="0.25">
      <c r="A77" s="1779"/>
      <c r="B77" s="1776"/>
      <c r="C77" s="1772"/>
      <c r="D77" s="1777" t="s">
        <v>1900</v>
      </c>
      <c r="E77" s="1774"/>
      <c r="F77" s="1780">
        <f>(F14-F76)</f>
        <v>1428863</v>
      </c>
      <c r="G77" s="869"/>
    </row>
    <row r="78" spans="1:8" s="893" customFormat="1" ht="12" customHeight="1" thickTop="1" x14ac:dyDescent="0.2">
      <c r="A78" s="1781"/>
      <c r="B78" s="1776"/>
      <c r="C78" s="1772"/>
      <c r="D78" s="1777" t="s">
        <v>2062</v>
      </c>
      <c r="E78" s="1774"/>
      <c r="F78" s="898">
        <v>135.30000000000001</v>
      </c>
      <c r="G78" s="899"/>
      <c r="H78" s="869"/>
    </row>
    <row r="79" spans="1:8" s="893" customFormat="1" ht="12" customHeight="1" thickBot="1" x14ac:dyDescent="0.25">
      <c r="A79" s="1782"/>
      <c r="B79" s="1776"/>
      <c r="C79" s="1772"/>
      <c r="D79" s="1777" t="s">
        <v>1901</v>
      </c>
      <c r="E79" s="1774" t="s">
        <v>958</v>
      </c>
      <c r="F79" s="1783">
        <f>IF(F78&gt;0,F77/F78," Complete Line 78")</f>
        <v>10560.70214338507</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24381</v>
      </c>
      <c r="G94" s="912"/>
    </row>
    <row r="95" spans="1:7" x14ac:dyDescent="0.2">
      <c r="A95" s="908" t="s">
        <v>140</v>
      </c>
      <c r="B95" s="908" t="s">
        <v>175</v>
      </c>
      <c r="C95" s="910">
        <v>1700</v>
      </c>
      <c r="D95" s="918" t="str">
        <f>'Revenues 9-14'!A82</f>
        <v>Total District/School Activity Income</v>
      </c>
      <c r="E95" s="906"/>
      <c r="F95" s="1789">
        <f>SUM('Revenues 9-14'!C82,'Revenues 9-14'!D82)</f>
        <v>8446</v>
      </c>
      <c r="G95" s="912"/>
    </row>
    <row r="96" spans="1:7" x14ac:dyDescent="0.2">
      <c r="A96" s="908" t="s">
        <v>459</v>
      </c>
      <c r="B96" s="908" t="s">
        <v>176</v>
      </c>
      <c r="C96" s="910">
        <f>'Revenues 9-14'!B84</f>
        <v>1811</v>
      </c>
      <c r="D96" s="911" t="str">
        <f>'Revenues 9-14'!A84</f>
        <v>Rentals - Regular Textbooks</v>
      </c>
      <c r="E96" s="906"/>
      <c r="F96" s="1789">
        <f>'Revenues 9-14'!C84</f>
        <v>4652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240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11368</v>
      </c>
      <c r="G104" s="912"/>
    </row>
    <row r="105" spans="1:7" x14ac:dyDescent="0.2">
      <c r="A105" s="908" t="s">
        <v>503</v>
      </c>
      <c r="B105" s="908" t="s">
        <v>2003</v>
      </c>
      <c r="C105" s="913">
        <v>3100</v>
      </c>
      <c r="D105" s="919" t="str">
        <f>'Revenues 9-14'!A132</f>
        <v>Total Special Education</v>
      </c>
      <c r="E105" s="906"/>
      <c r="F105" s="1789">
        <f>SUM('Revenues 9-14'!C132:D132,'Revenues 9-14'!F132)</f>
        <v>14549</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806</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58161</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50725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39292</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32203</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1245</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2667</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4158</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11628</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264521</v>
      </c>
    </row>
    <row r="175" spans="1:7" ht="12" customHeight="1" x14ac:dyDescent="0.2">
      <c r="A175" s="1770"/>
      <c r="B175" s="1784"/>
      <c r="C175" s="1785"/>
      <c r="D175" s="1786" t="s">
        <v>2057</v>
      </c>
      <c r="E175" s="1787"/>
      <c r="F175" s="1789">
        <f>'PCTC-OEPP 27-28'!F77-F174</f>
        <v>1164342</v>
      </c>
    </row>
    <row r="176" spans="1:7" ht="12" customHeight="1" x14ac:dyDescent="0.2">
      <c r="A176" s="1770"/>
      <c r="B176" s="1784"/>
      <c r="C176" s="1785"/>
      <c r="D176" s="1786" t="s">
        <v>1817</v>
      </c>
      <c r="E176" s="1787"/>
      <c r="F176" s="1789">
        <f>'Cap Outlay Deprec 26'!I18</f>
        <v>72654</v>
      </c>
    </row>
    <row r="177" spans="1:7" ht="12" customHeight="1" x14ac:dyDescent="0.2">
      <c r="A177" s="1770"/>
      <c r="B177" s="1784"/>
      <c r="C177" s="1785"/>
      <c r="D177" s="1786" t="s">
        <v>2058</v>
      </c>
      <c r="E177" s="1787"/>
      <c r="F177" s="1789">
        <f>F175+F176</f>
        <v>1236996</v>
      </c>
    </row>
    <row r="178" spans="1:7" ht="12" customHeight="1" x14ac:dyDescent="0.2">
      <c r="A178" s="1770"/>
      <c r="B178" s="1790"/>
      <c r="C178" s="1785"/>
      <c r="D178" s="1786" t="str">
        <f>D78</f>
        <v>9 Month ADA from District Average Daily Attendance/Prior General State Aid Inquiry 2018-2019</v>
      </c>
      <c r="E178" s="1787"/>
      <c r="F178" s="1791">
        <f>'PCTC-OEPP 27-28'!F78</f>
        <v>135.30000000000001</v>
      </c>
      <c r="G178" s="930"/>
    </row>
    <row r="179" spans="1:7" ht="12" customHeight="1" thickBot="1" x14ac:dyDescent="0.25">
      <c r="A179" s="1770"/>
      <c r="B179" s="1790"/>
      <c r="C179" s="1785"/>
      <c r="D179" s="1786" t="s">
        <v>2059</v>
      </c>
      <c r="E179" s="1787" t="s">
        <v>1545</v>
      </c>
      <c r="F179" s="1792">
        <f>F177/F178</f>
        <v>9142.6164079822611</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13" zoomScaleNormal="100" workbookViewId="0">
      <selection activeCell="A4" sqref="A4:G5"/>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2092</v>
      </c>
      <c r="B17" s="1938" t="s">
        <v>2093</v>
      </c>
      <c r="C17" s="1939" t="s">
        <v>2094</v>
      </c>
      <c r="D17" s="1844">
        <v>10872</v>
      </c>
      <c r="E17" s="1540">
        <f t="shared" ref="E17:E141" si="0">IF(D17&lt;=25000,D17,IF(D17&gt;25000,25000,0))</f>
        <v>10872</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937" t="s">
        <v>2095</v>
      </c>
      <c r="B18" s="1938" t="s">
        <v>2096</v>
      </c>
      <c r="C18" s="1939" t="s">
        <v>2097</v>
      </c>
      <c r="D18" s="1844">
        <v>3964</v>
      </c>
      <c r="E18" s="1540">
        <f t="shared" ref="E18:E140" si="2">IF(D18&lt;=25000,D18,IF(D18&gt;25000,25000,0))</f>
        <v>3964</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14836</v>
      </c>
      <c r="E141" s="1541">
        <f t="shared" si="0"/>
        <v>14836</v>
      </c>
      <c r="F141" s="1933">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B4" sqref="B4"/>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f>9712+147246</f>
        <v>156958</v>
      </c>
      <c r="F9" s="974"/>
      <c r="G9" s="975"/>
      <c r="H9" s="162"/>
      <c r="I9" s="162"/>
    </row>
    <row r="10" spans="1:9" s="668" customFormat="1" ht="12" customHeight="1" x14ac:dyDescent="0.2">
      <c r="A10" s="970" t="s">
        <v>1933</v>
      </c>
      <c r="B10" s="971"/>
      <c r="C10" s="976"/>
      <c r="D10" s="972"/>
      <c r="E10" s="973">
        <f>4537+51169</f>
        <v>55706</v>
      </c>
      <c r="F10" s="974"/>
      <c r="G10" s="975"/>
      <c r="H10" s="162"/>
      <c r="I10" s="162"/>
    </row>
    <row r="11" spans="1:9" s="668" customFormat="1" ht="22.5" customHeight="1" x14ac:dyDescent="0.2">
      <c r="A11" s="2286" t="s">
        <v>1977</v>
      </c>
      <c r="B11" s="2287"/>
      <c r="C11" s="2287"/>
      <c r="D11" s="2288"/>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v>9083</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996131</v>
      </c>
      <c r="F19" s="1799"/>
      <c r="G19" s="1801">
        <f>'Expenditures 15-22'!K33-SUM('Expenditures 15-22'!G33,'Expenditures 15-22'!I33)+'Expenditures 15-22'!D229</f>
        <v>996131</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50904</v>
      </c>
      <c r="F21" s="1802"/>
      <c r="G21" s="1805">
        <f>'Expenditures 15-22'!K42-SUM('Expenditures 15-22'!G42,'Expenditures 15-22'!I42)+'Expenditures 15-22'!K120-SUM('Expenditures 15-22'!G120,'Expenditures 15-22'!I120)+'Expenditures 15-22'!K180-SUM('Expenditures 15-22'!G180,'Expenditures 15-22'!I180)+'Expenditures 15-22'!D238</f>
        <v>50904</v>
      </c>
      <c r="H21" s="987"/>
      <c r="I21" s="162"/>
    </row>
    <row r="22" spans="1:9" s="668" customFormat="1" ht="12" customHeight="1" x14ac:dyDescent="0.2">
      <c r="A22" s="994" t="s">
        <v>564</v>
      </c>
      <c r="B22" s="995"/>
      <c r="C22" s="993">
        <v>2200</v>
      </c>
      <c r="D22" s="1802"/>
      <c r="E22" s="1804">
        <f>'Expenditures 15-22'!K47-SUM('Expenditures 15-22'!G47,'Expenditures 15-22'!I47)+'Expenditures 15-22'!D243</f>
        <v>4243</v>
      </c>
      <c r="F22" s="1802"/>
      <c r="G22" s="1805">
        <f>'Expenditures 15-22'!K47-SUM('Expenditures 15-22'!G47,'Expenditures 15-22'!I47)+'Expenditures 15-22'!D243</f>
        <v>4243</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82517</v>
      </c>
      <c r="F23" s="1802"/>
      <c r="G23" s="1804">
        <f>'Expenditures 15-22'!K53-SUM('Expenditures 15-22'!G53,'Expenditures 15-22'!I53)+'Expenditures 15-22'!D257+'Expenditures 15-22'!K330-SUM('Expenditures 15-22'!G330,'Expenditures 15-22'!I330)</f>
        <v>82517</v>
      </c>
      <c r="H23" s="987"/>
      <c r="I23" s="162"/>
    </row>
    <row r="24" spans="1:9" s="668" customFormat="1" ht="12" customHeight="1" x14ac:dyDescent="0.2">
      <c r="A24" s="994" t="s">
        <v>566</v>
      </c>
      <c r="B24" s="995"/>
      <c r="C24" s="993">
        <v>2400</v>
      </c>
      <c r="D24" s="1802"/>
      <c r="E24" s="1804">
        <f>'Expenditures 15-22'!K57-SUM('Expenditures 15-22'!G57,'Expenditures 15-22'!I57)+'Expenditures 15-22'!D261</f>
        <v>105916</v>
      </c>
      <c r="F24" s="1802"/>
      <c r="G24" s="1805">
        <f>'Expenditures 15-22'!K57-SUM('Expenditures 15-22'!G57,'Expenditures 15-22'!I57)+'Expenditures 15-22'!D261</f>
        <v>105916</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156958</v>
      </c>
      <c r="F28" s="1806">
        <f>'Expenditures 15-22'!K61-SUM('Expenditures 15-22'!G61,'Expenditures 15-22'!I61)+'Expenditures 15-22'!K124-SUM('Expenditures 15-22'!G124,'Expenditures 15-22'!I124)+'Expenditures 15-22'!D266-E9</f>
        <v>0</v>
      </c>
      <c r="G28" s="1805">
        <f>E9</f>
        <v>156958</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83341</v>
      </c>
      <c r="F29" s="1802"/>
      <c r="G29" s="1805">
        <f>'Expenditures 15-22'!K62-SUM('Expenditures 15-22'!G62,'Expenditures 15-22'!I62)+'Expenditures 15-22'!K125-SUM('Expenditures 15-22'!G125,'Expenditures 15-22'!I125)+'Expenditures 15-22'!K182-SUM('Expenditures 15-22'!G182,'Expenditures 15-22'!I182)+'Expenditures 15-22'!D267</f>
        <v>83341</v>
      </c>
      <c r="H29" s="985"/>
    </row>
    <row r="30" spans="1:9" ht="12" customHeight="1" x14ac:dyDescent="0.2">
      <c r="A30" s="994" t="s">
        <v>100</v>
      </c>
      <c r="B30" s="997"/>
      <c r="C30" s="993">
        <v>2560</v>
      </c>
      <c r="D30" s="1802"/>
      <c r="E30" s="1804">
        <f>'Expenditures 15-22'!K63-SUM('Expenditures 15-22'!G63,'Expenditures 15-22'!I63)+'Expenditures 15-22'!D268-E10</f>
        <v>10</v>
      </c>
      <c r="F30" s="1802"/>
      <c r="G30" s="1804">
        <f>'Expenditures 15-22'!K63-SUM('Expenditures 15-22'!G63,'Expenditures 15-22'!I63)+'Expenditures 15-22'!D268-E10</f>
        <v>10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9083</v>
      </c>
      <c r="F37" s="1804">
        <f>'Expenditures 15-22'!K71-SUM('Expenditures 15-22'!G71,'Expenditures 15-22'!I71)+'Expenditures 15-22'!D276-E14</f>
        <v>0</v>
      </c>
      <c r="G37" s="1804">
        <f>E14</f>
        <v>9083</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11339</v>
      </c>
      <c r="F39" s="1802"/>
      <c r="G39" s="1804">
        <f>'Expenditures 15-22'!K75-SUM('Expenditures 15-22'!G75,'Expenditures 15-22'!I75)+'Expenditures 15-22'!K130-SUM('Expenditures 15-22'!G130,'Expenditures 15-22'!I130)+'Expenditures 15-22'!K185-SUM('Expenditures 15-22'!G185,'Expenditures 15-22'!I185)+'Expenditures 15-22'!D280</f>
        <v>11339</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1500442</v>
      </c>
      <c r="F41" s="1806">
        <f>SUM(F19:F39)</f>
        <v>0</v>
      </c>
      <c r="G41" s="1806">
        <f>SUM(G19:G40)</f>
        <v>1500442</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0</v>
      </c>
      <c r="F43" s="1807" t="s">
        <v>473</v>
      </c>
      <c r="G43" s="1808">
        <f>F41</f>
        <v>0</v>
      </c>
    </row>
    <row r="44" spans="1:7" ht="12" customHeight="1" x14ac:dyDescent="0.2">
      <c r="A44" s="987"/>
      <c r="B44" s="162"/>
      <c r="C44" s="1001"/>
      <c r="D44" s="1807" t="s">
        <v>474</v>
      </c>
      <c r="E44" s="1808">
        <f>E41</f>
        <v>1500442</v>
      </c>
      <c r="F44" s="1807" t="s">
        <v>474</v>
      </c>
      <c r="G44" s="1808">
        <f>G41</f>
        <v>1500442</v>
      </c>
    </row>
    <row r="45" spans="1:7" ht="12" customHeight="1" x14ac:dyDescent="0.2">
      <c r="A45" s="987"/>
      <c r="B45" s="162"/>
      <c r="C45" s="162"/>
      <c r="D45" s="1809" t="s">
        <v>1006</v>
      </c>
      <c r="E45" s="1810">
        <f>(E43/E44)</f>
        <v>0</v>
      </c>
      <c r="F45" s="1809" t="s">
        <v>1006</v>
      </c>
      <c r="G45" s="1810">
        <f>(G43/G44)</f>
        <v>0</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7" activePane="bottomLeft" state="frozen"/>
      <selection activeCell="B4" sqref="B4"/>
      <selection pane="bottomLeft" activeCell="B4" sqref="B4"/>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Prairie Du Rocher CCSD 134</v>
      </c>
      <c r="D6" s="2296"/>
      <c r="E6" s="2296"/>
      <c r="F6" s="1852"/>
    </row>
    <row r="7" spans="1:10" ht="11.25" customHeight="1" thickBot="1" x14ac:dyDescent="0.3">
      <c r="A7" s="1850"/>
      <c r="B7" s="1851"/>
      <c r="C7" s="2297">
        <f>COVER!A13</f>
        <v>45079134004</v>
      </c>
      <c r="D7" s="2297"/>
      <c r="E7" s="2297"/>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t="s">
        <v>2064</v>
      </c>
      <c r="F26" s="1867" t="s">
        <v>2090</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t="s">
        <v>2064</v>
      </c>
      <c r="D29" s="1865" t="s">
        <v>2064</v>
      </c>
      <c r="E29" s="1868" t="s">
        <v>2064</v>
      </c>
      <c r="F29" s="1867" t="s">
        <v>2091</v>
      </c>
      <c r="H29" s="1878">
        <f t="shared" si="0"/>
        <v>5</v>
      </c>
      <c r="I29" s="1878">
        <f t="shared" si="1"/>
        <v>5</v>
      </c>
      <c r="J29" s="1878">
        <f t="shared" si="2"/>
        <v>5</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10</v>
      </c>
      <c r="I34" s="1878">
        <f>SUM(I11:I32)</f>
        <v>10</v>
      </c>
      <c r="J34" s="1878">
        <f>SUM(J11:J32)</f>
        <v>10</v>
      </c>
      <c r="K34" s="1878">
        <f>SUM(H34:J34)</f>
        <v>30</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4" colorId="8" zoomScale="110" zoomScaleNormal="110" workbookViewId="0">
      <selection activeCell="B4" sqref="B4"/>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Prairie Du Rocher CCSD 134</v>
      </c>
      <c r="J6" s="2317"/>
      <c r="Q6" s="1664"/>
    </row>
    <row r="7" spans="1:17" x14ac:dyDescent="0.2">
      <c r="A7" s="2318" t="s">
        <v>869</v>
      </c>
      <c r="B7" s="2319"/>
      <c r="C7" s="2319"/>
      <c r="D7" s="2319"/>
      <c r="E7" s="2320"/>
      <c r="F7" s="1017"/>
      <c r="G7" s="1009"/>
      <c r="H7" s="1016" t="s">
        <v>372</v>
      </c>
      <c r="I7" s="2321">
        <f>COVER!A13</f>
        <v>45079134004</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47291</v>
      </c>
      <c r="F12" s="1039"/>
      <c r="G12" s="1811">
        <f t="shared" ref="G12:G18" si="0">SUM(E12:F12)</f>
        <v>47291</v>
      </c>
      <c r="H12" s="1040">
        <f>45000+3965</f>
        <v>48965</v>
      </c>
      <c r="I12" s="1039"/>
      <c r="J12" s="1811">
        <f t="shared" ref="J12:J18" si="1">SUM(H12:I12)</f>
        <v>48965</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47291</v>
      </c>
      <c r="F19" s="1813">
        <f t="shared" si="2"/>
        <v>0</v>
      </c>
      <c r="G19" s="1813">
        <f t="shared" si="2"/>
        <v>47291</v>
      </c>
      <c r="H19" s="1813">
        <f t="shared" si="2"/>
        <v>48965</v>
      </c>
      <c r="I19" s="1813">
        <f t="shared" si="2"/>
        <v>0</v>
      </c>
      <c r="J19" s="1813">
        <f t="shared" si="2"/>
        <v>48965</v>
      </c>
    </row>
    <row r="20" spans="1:10" ht="13.5" thickTop="1" x14ac:dyDescent="0.2">
      <c r="A20" s="1035">
        <v>9</v>
      </c>
      <c r="B20" s="2328" t="s">
        <v>1981</v>
      </c>
      <c r="C20" s="2328"/>
      <c r="D20" s="2329"/>
      <c r="E20" s="1046"/>
      <c r="F20" s="1046"/>
      <c r="G20" s="1046"/>
      <c r="H20" s="1046"/>
      <c r="I20" s="1046"/>
      <c r="J20" s="1814">
        <f>IF(AND(G19&gt;0,J19&gt;0),(((J19-G19)/G19)),"Enter Budget Data")</f>
        <v>3.5397855828804635E-2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4" sqref="B4"/>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2085</v>
      </c>
    </row>
    <row r="6" spans="1:2" x14ac:dyDescent="0.2">
      <c r="A6" s="1068">
        <v>2</v>
      </c>
      <c r="B6" s="329" t="s">
        <v>2086</v>
      </c>
    </row>
    <row r="7" spans="1:2" x14ac:dyDescent="0.2">
      <c r="A7" s="1068">
        <v>3</v>
      </c>
      <c r="B7" s="329" t="s">
        <v>2087</v>
      </c>
    </row>
    <row r="8" spans="1:2" x14ac:dyDescent="0.2">
      <c r="A8" s="1068">
        <v>4</v>
      </c>
      <c r="B8" s="329" t="s">
        <v>2088</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Prairie Du Rocher CCSD 134</v>
      </c>
    </row>
    <row r="65" spans="2:2" x14ac:dyDescent="0.2">
      <c r="B65" s="1070">
        <f>COVER!A13</f>
        <v>45079134004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B4" sqref="B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4" sqref="B4"/>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B4" sqref="B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1223839</v>
      </c>
      <c r="C8" s="1815">
        <f>'Acct Summary 7-8'!D8</f>
        <v>148844</v>
      </c>
      <c r="D8" s="1815">
        <f>'Acct Summary 7-8'!F8</f>
        <v>97038</v>
      </c>
      <c r="E8" s="1815">
        <f>'Acct Summary 7-8'!I8</f>
        <v>5494</v>
      </c>
      <c r="F8" s="1815">
        <f>SUM(B8:E8)</f>
        <v>1475215</v>
      </c>
    </row>
    <row r="9" spans="1:8" s="1079" customFormat="1" ht="14.25" customHeight="1" thickBot="1" x14ac:dyDescent="0.25">
      <c r="A9" s="1078" t="s">
        <v>1369</v>
      </c>
      <c r="B9" s="1816">
        <f>'Acct Summary 7-8'!C17</f>
        <v>1341239</v>
      </c>
      <c r="C9" s="1816">
        <f>'Acct Summary 7-8'!D17</f>
        <v>147246</v>
      </c>
      <c r="D9" s="1816">
        <f>'Acct Summary 7-8'!F17</f>
        <v>106311</v>
      </c>
      <c r="E9" s="1815"/>
      <c r="F9" s="1815">
        <f>SUM(B9:E9)</f>
        <v>1594796</v>
      </c>
    </row>
    <row r="10" spans="1:8" s="1079" customFormat="1" ht="14.25" thickTop="1" thickBot="1" x14ac:dyDescent="0.25">
      <c r="A10" s="1080" t="s">
        <v>1370</v>
      </c>
      <c r="B10" s="1817">
        <f>(B8-B9)</f>
        <v>-117400</v>
      </c>
      <c r="C10" s="1817">
        <f>(C8-C9)</f>
        <v>1598</v>
      </c>
      <c r="D10" s="1817">
        <f>(D8-D9)</f>
        <v>-9273</v>
      </c>
      <c r="E10" s="1816">
        <f>(E8-E9)</f>
        <v>5494</v>
      </c>
      <c r="F10" s="1818">
        <f>SUM(F8-F9)</f>
        <v>-119581</v>
      </c>
    </row>
    <row r="11" spans="1:8" s="1079" customFormat="1" ht="14.25" thickTop="1" thickBot="1" x14ac:dyDescent="0.25">
      <c r="A11" s="1081" t="s">
        <v>1985</v>
      </c>
      <c r="B11" s="1819">
        <f>'Acct Summary 7-8'!C81</f>
        <v>12112</v>
      </c>
      <c r="C11" s="1819">
        <f>'Acct Summary 7-8'!D81</f>
        <v>108756</v>
      </c>
      <c r="D11" s="1819">
        <f>'Acct Summary 7-8'!F81</f>
        <v>67019</v>
      </c>
      <c r="E11" s="1819">
        <f>'Acct Summary 7-8'!I81</f>
        <v>51954</v>
      </c>
      <c r="F11" s="1820">
        <f>SUM(B11:E11)</f>
        <v>239841</v>
      </c>
    </row>
    <row r="12" spans="1:8" ht="16.5" customHeight="1" thickTop="1" x14ac:dyDescent="0.2">
      <c r="A12" s="1082"/>
      <c r="B12" s="1083"/>
      <c r="C12" s="2340"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2" colorId="8" zoomScale="110" zoomScaleNormal="110" workbookViewId="0">
      <selection activeCell="D82" sqref="D82"/>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45079134004</v>
      </c>
    </row>
    <row r="3" spans="1:2" x14ac:dyDescent="0.2">
      <c r="A3" t="s">
        <v>956</v>
      </c>
      <c r="B3" s="138" t="str">
        <f>COVER!A15</f>
        <v>Randolph</v>
      </c>
    </row>
    <row r="4" spans="1:2" x14ac:dyDescent="0.2">
      <c r="A4" t="s">
        <v>1007</v>
      </c>
      <c r="B4" s="138" t="str">
        <f>COVER!A17</f>
        <v>Prairie Du Rocher CCSD 134</v>
      </c>
    </row>
    <row r="5" spans="1:2" x14ac:dyDescent="0.2">
      <c r="A5" t="s">
        <v>704</v>
      </c>
      <c r="B5" s="138" t="str">
        <f>COVER!A38</f>
        <v>Dr. Larry Beattie</v>
      </c>
    </row>
    <row r="6" spans="1:2" x14ac:dyDescent="0.2">
      <c r="A6" t="s">
        <v>709</v>
      </c>
      <c r="B6" s="138">
        <f>COVER!P35</f>
        <v>0</v>
      </c>
    </row>
    <row r="7" spans="1:2" x14ac:dyDescent="0.2">
      <c r="A7" t="s">
        <v>705</v>
      </c>
      <c r="B7" s="138">
        <f>COVER!I38</f>
        <v>0</v>
      </c>
    </row>
    <row r="8" spans="1:2" x14ac:dyDescent="0.2">
      <c r="A8" t="s">
        <v>706</v>
      </c>
      <c r="B8" s="138" t="str">
        <f>COVER!T38</f>
        <v>Kelton Davis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066-003932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t="str">
        <f>COVER!T25</f>
        <v>jim@stcpa.com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37226</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12112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12112</v>
      </c>
      <c r="D92" s="2" t="str">
        <f t="shared" si="0"/>
        <v>Error?</v>
      </c>
    </row>
    <row r="93" spans="1:4" x14ac:dyDescent="0.2">
      <c r="A93" s="5">
        <v>32</v>
      </c>
      <c r="B93" s="138">
        <f>'Assets-Liab 5-6'!C41</f>
        <v>12112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108734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108756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108756</v>
      </c>
      <c r="D123" s="2" t="str">
        <f t="shared" si="0"/>
        <v>Error?</v>
      </c>
    </row>
    <row r="124" spans="1:4" x14ac:dyDescent="0.2">
      <c r="A124" s="5">
        <v>63</v>
      </c>
      <c r="B124" s="138">
        <f>'Assets-Liab 5-6'!D41</f>
        <v>108756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55820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67019</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67019</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67808</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67808</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164333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339731</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339731</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3200</v>
      </c>
      <c r="D273" s="2" t="str">
        <f t="shared" si="3"/>
        <v>Error?</v>
      </c>
    </row>
    <row r="274" spans="1:4" x14ac:dyDescent="0.2">
      <c r="A274" s="5">
        <v>213</v>
      </c>
      <c r="B274" s="138">
        <f>'Assets-Liab 5-6'!M17</f>
        <v>297262</v>
      </c>
      <c r="D274" s="2" t="str">
        <f t="shared" si="3"/>
        <v>Error?</v>
      </c>
    </row>
    <row r="275" spans="1:4" x14ac:dyDescent="0.2">
      <c r="A275" s="5">
        <v>214</v>
      </c>
      <c r="B275" s="138">
        <f>'Assets-Liab 5-6'!M18</f>
        <v>0</v>
      </c>
      <c r="D275" s="2" t="str">
        <f t="shared" si="3"/>
        <v>Error?</v>
      </c>
    </row>
    <row r="276" spans="1:4" x14ac:dyDescent="0.2">
      <c r="A276" s="5">
        <v>215</v>
      </c>
      <c r="B276" s="138">
        <f>'Assets-Liab 5-6'!M19</f>
        <v>214826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515288</v>
      </c>
      <c r="C279" s="2" t="s">
        <v>573</v>
      </c>
      <c r="D279" s="2" t="str">
        <f t="shared" si="3"/>
        <v>Error?</v>
      </c>
    </row>
    <row r="280" spans="1:4" x14ac:dyDescent="0.2">
      <c r="A280" s="5">
        <v>219</v>
      </c>
      <c r="B280" s="138">
        <f>'Assets-Liab 5-6'!M40</f>
        <v>515288</v>
      </c>
      <c r="D280" s="2" t="str">
        <f t="shared" si="3"/>
        <v>Error?</v>
      </c>
    </row>
    <row r="281" spans="1:4" x14ac:dyDescent="0.2">
      <c r="A281" s="5">
        <v>220</v>
      </c>
      <c r="B281" s="138">
        <f>'Assets-Liab 5-6'!M41</f>
        <v>515288</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35050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553194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12800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767118</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34967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34967</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2272</v>
      </c>
      <c r="D732" s="2" t="str">
        <f t="shared" si="10"/>
        <v>Error?</v>
      </c>
    </row>
    <row r="733" spans="1:4" x14ac:dyDescent="0.2">
      <c r="A733" s="5">
        <v>672</v>
      </c>
      <c r="B733" s="138">
        <f>'Expenditures 15-22'!C50</f>
        <v>41631</v>
      </c>
      <c r="D733" s="2" t="str">
        <f t="shared" si="10"/>
        <v>Error?</v>
      </c>
    </row>
    <row r="734" spans="1:4" x14ac:dyDescent="0.2">
      <c r="A734" s="5">
        <v>673</v>
      </c>
      <c r="B734" s="138">
        <f>'Expenditures 15-22'!C53</f>
        <v>43903</v>
      </c>
      <c r="C734" s="2" t="s">
        <v>573</v>
      </c>
      <c r="D734" s="2" t="str">
        <f t="shared" si="10"/>
        <v>Error?</v>
      </c>
    </row>
    <row r="735" spans="1:4" x14ac:dyDescent="0.2">
      <c r="A735" s="5">
        <v>674</v>
      </c>
      <c r="B735" s="138">
        <f>'Expenditures 15-22'!C55</f>
        <v>84066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84066</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26537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26537</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189473</v>
      </c>
      <c r="C755" s="2" t="s">
        <v>573</v>
      </c>
      <c r="D755" s="2" t="str">
        <f t="shared" si="10"/>
        <v>Error?</v>
      </c>
    </row>
    <row r="756" spans="1:4" x14ac:dyDescent="0.2">
      <c r="A756" s="5">
        <v>695</v>
      </c>
      <c r="B756" s="138">
        <f>'Expenditures 15-22'!C75</f>
        <v>9473</v>
      </c>
      <c r="D756" s="2" t="str">
        <f t="shared" si="10"/>
        <v>Error?</v>
      </c>
    </row>
    <row r="757" spans="1:4" x14ac:dyDescent="0.2">
      <c r="A757" s="5">
        <v>696</v>
      </c>
      <c r="B757" s="138">
        <f>'Expenditures 15-22'!C114</f>
        <v>966064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131968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1326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169644</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15301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15301</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4826</v>
      </c>
      <c r="D791" s="2" t="str">
        <f t="shared" si="11"/>
        <v>Error?</v>
      </c>
    </row>
    <row r="792" spans="1:4" x14ac:dyDescent="0.2">
      <c r="A792" s="5">
        <v>731</v>
      </c>
      <c r="B792" s="138">
        <f>'Expenditures 15-22'!D53</f>
        <v>4826</v>
      </c>
      <c r="C792" s="2" t="s">
        <v>573</v>
      </c>
      <c r="D792" s="2" t="str">
        <f t="shared" si="11"/>
        <v>Error?</v>
      </c>
    </row>
    <row r="793" spans="1:4" x14ac:dyDescent="0.2">
      <c r="A793" s="5">
        <v>732</v>
      </c>
      <c r="B793" s="138">
        <f>'Expenditures 15-22'!D55</f>
        <v>14211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14211</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34338</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203982</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15379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3451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20538</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2291</v>
      </c>
      <c r="D844" s="2" t="str">
        <f t="shared" si="12"/>
        <v>Error?</v>
      </c>
    </row>
    <row r="845" spans="1:4" x14ac:dyDescent="0.2">
      <c r="A845" s="5">
        <v>784</v>
      </c>
      <c r="B845" s="138">
        <f>'Expenditures 15-22'!E45</f>
        <v>0</v>
      </c>
      <c r="D845" s="2" t="str">
        <f t="shared" si="12"/>
        <v>Error?</v>
      </c>
    </row>
    <row r="846" spans="1:4" x14ac:dyDescent="0.2">
      <c r="A846" s="5">
        <v>785</v>
      </c>
      <c r="B846" s="138">
        <f>'Expenditures 15-22'!E46</f>
        <v>1952</v>
      </c>
      <c r="D846" s="2" t="str">
        <f t="shared" si="12"/>
        <v>Error?</v>
      </c>
    </row>
    <row r="847" spans="1:4" x14ac:dyDescent="0.2">
      <c r="A847" s="5">
        <v>786</v>
      </c>
      <c r="B847" s="138">
        <f>'Expenditures 15-22'!E47</f>
        <v>4243</v>
      </c>
      <c r="C847" s="2" t="s">
        <v>573</v>
      </c>
      <c r="D847" s="2" t="str">
        <f t="shared" si="12"/>
        <v>Error?</v>
      </c>
    </row>
    <row r="848" spans="1:4" x14ac:dyDescent="0.2">
      <c r="A848" s="5">
        <v>787</v>
      </c>
      <c r="B848" s="138">
        <f>'Expenditures 15-22'!E49</f>
        <v>10956</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10956</v>
      </c>
      <c r="C850" s="2" t="s">
        <v>573</v>
      </c>
      <c r="D850" s="2" t="str">
        <f t="shared" si="12"/>
        <v>Error?</v>
      </c>
    </row>
    <row r="851" spans="1:4" x14ac:dyDescent="0.2">
      <c r="A851" s="5">
        <v>790</v>
      </c>
      <c r="B851" s="138">
        <f>'Expenditures 15-22'!E55</f>
        <v>48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48</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1239</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1239</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8777</v>
      </c>
      <c r="D867" s="2" t="str">
        <f t="shared" si="12"/>
        <v>Error?</v>
      </c>
    </row>
    <row r="868" spans="1:4" x14ac:dyDescent="0.2">
      <c r="A868" s="10">
        <v>807</v>
      </c>
      <c r="D868" s="2" t="str">
        <f t="shared" si="12"/>
        <v>OK</v>
      </c>
    </row>
    <row r="869" spans="1:4" x14ac:dyDescent="0.2">
      <c r="A869" s="5">
        <v>808</v>
      </c>
      <c r="B869" s="138">
        <f>'Expenditures 15-22'!E72</f>
        <v>8777</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25263</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45801</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16468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2217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19487</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136</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136</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2381</v>
      </c>
      <c r="D906" s="2" t="str">
        <f t="shared" si="13"/>
        <v>Error?</v>
      </c>
    </row>
    <row r="907" spans="1:4" x14ac:dyDescent="0.2">
      <c r="A907" s="5">
        <v>846</v>
      </c>
      <c r="B907" s="138">
        <f>'Expenditures 15-22'!F50</f>
        <v>562</v>
      </c>
      <c r="D907" s="2" t="str">
        <f t="shared" si="13"/>
        <v>Error?</v>
      </c>
    </row>
    <row r="908" spans="1:4" x14ac:dyDescent="0.2">
      <c r="A908" s="5">
        <v>847</v>
      </c>
      <c r="B908" s="138">
        <f>'Expenditures 15-22'!F53</f>
        <v>2943</v>
      </c>
      <c r="C908" s="2" t="s">
        <v>573</v>
      </c>
      <c r="D908" s="2" t="str">
        <f t="shared" si="13"/>
        <v>Error?</v>
      </c>
    </row>
    <row r="909" spans="1:4" x14ac:dyDescent="0.2">
      <c r="A909" s="5">
        <v>848</v>
      </c>
      <c r="B909" s="138">
        <f>'Expenditures 15-22'!F55</f>
        <v>115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115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22984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22984</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306</v>
      </c>
      <c r="D925" s="2" t="str">
        <f t="shared" si="13"/>
        <v>Error?</v>
      </c>
    </row>
    <row r="926" spans="1:4" x14ac:dyDescent="0.2">
      <c r="A926" s="10">
        <v>865</v>
      </c>
      <c r="D926" s="2" t="str">
        <f t="shared" si="13"/>
        <v>OK</v>
      </c>
    </row>
    <row r="927" spans="1:4" x14ac:dyDescent="0.2">
      <c r="A927" s="5">
        <v>866</v>
      </c>
      <c r="B927" s="138">
        <f>'Expenditures 15-22'!F72</f>
        <v>306</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26484</v>
      </c>
      <c r="C929" s="2" t="s">
        <v>573</v>
      </c>
      <c r="D929" s="2" t="str">
        <f t="shared" si="13"/>
        <v>Error?</v>
      </c>
    </row>
    <row r="930" spans="1:4" x14ac:dyDescent="0.2">
      <c r="A930" s="5">
        <v>869</v>
      </c>
      <c r="B930" s="138">
        <f>'Expenditures 15-22'!F75</f>
        <v>238</v>
      </c>
      <c r="D930" s="2" t="str">
        <f t="shared" si="13"/>
        <v>Error?</v>
      </c>
    </row>
    <row r="931" spans="1:4" x14ac:dyDescent="0.2">
      <c r="A931" s="5">
        <v>870</v>
      </c>
      <c r="B931" s="138">
        <f>'Expenditures 15-22'!F114</f>
        <v>46209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272</v>
      </c>
      <c r="D1023" s="2" t="str">
        <f t="shared" ref="D1023:D1086" si="15">IF(ISBLANK(B1023),"OK",IF(A1023-B1023=0,"OK","Error?"))</f>
        <v>Error?</v>
      </c>
    </row>
    <row r="1024" spans="1:4" x14ac:dyDescent="0.2">
      <c r="A1024" s="5">
        <v>963</v>
      </c>
      <c r="B1024" s="138">
        <f>'Expenditures 15-22'!H53</f>
        <v>272</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409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409</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681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78502</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79183</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717009</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19794</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976787</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50404</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50404</v>
      </c>
      <c r="C1115" s="2" t="s">
        <v>573</v>
      </c>
      <c r="D1115" s="2" t="str">
        <f t="shared" si="16"/>
        <v>Error?</v>
      </c>
    </row>
    <row r="1116" spans="1:4" x14ac:dyDescent="0.2">
      <c r="A1116" s="5">
        <v>1055</v>
      </c>
      <c r="B1116" s="138">
        <f>'Expenditures 15-22'!K44</f>
        <v>2291</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1952</v>
      </c>
      <c r="C1118" s="2" t="s">
        <v>573</v>
      </c>
      <c r="D1118" s="2" t="str">
        <f t="shared" si="16"/>
        <v>Error?</v>
      </c>
    </row>
    <row r="1119" spans="1:4" x14ac:dyDescent="0.2">
      <c r="A1119" s="5">
        <v>1058</v>
      </c>
      <c r="B1119" s="138">
        <f>'Expenditures 15-22'!K47</f>
        <v>4243</v>
      </c>
      <c r="C1119" s="2" t="s">
        <v>573</v>
      </c>
      <c r="D1119" s="2" t="str">
        <f t="shared" si="16"/>
        <v>Error?</v>
      </c>
    </row>
    <row r="1120" spans="1:4" x14ac:dyDescent="0.2">
      <c r="A1120" s="5">
        <v>1059</v>
      </c>
      <c r="B1120" s="138">
        <f>'Expenditures 15-22'!K49</f>
        <v>15609</v>
      </c>
      <c r="C1120" s="2" t="s">
        <v>573</v>
      </c>
      <c r="D1120" s="2" t="str">
        <f t="shared" si="16"/>
        <v>Error?</v>
      </c>
    </row>
    <row r="1121" spans="1:4" x14ac:dyDescent="0.2">
      <c r="A1121" s="5">
        <v>1060</v>
      </c>
      <c r="B1121" s="138">
        <f>'Expenditures 15-22'!K50</f>
        <v>47291</v>
      </c>
      <c r="C1121" s="2" t="s">
        <v>573</v>
      </c>
      <c r="D1121" s="2" t="str">
        <f t="shared" si="16"/>
        <v>Error?</v>
      </c>
    </row>
    <row r="1122" spans="1:4" x14ac:dyDescent="0.2">
      <c r="A1122" s="5">
        <v>1061</v>
      </c>
      <c r="B1122" s="138">
        <f>'Expenditures 15-22'!K53</f>
        <v>62900</v>
      </c>
      <c r="C1122" s="2" t="s">
        <v>573</v>
      </c>
      <c r="D1122" s="2" t="str">
        <f t="shared" si="16"/>
        <v>Error?</v>
      </c>
    </row>
    <row r="1123" spans="1:4" x14ac:dyDescent="0.2">
      <c r="A1123" s="5">
        <v>1062</v>
      </c>
      <c r="B1123" s="138">
        <f>'Expenditures 15-22'!K55</f>
        <v>98440</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98440</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51169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51169</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9083</v>
      </c>
      <c r="C1139" s="2" t="s">
        <v>573</v>
      </c>
      <c r="D1139" s="2" t="str">
        <f t="shared" si="16"/>
        <v>Error?</v>
      </c>
    </row>
    <row r="1140" spans="1:4" x14ac:dyDescent="0.2">
      <c r="A1140" s="10">
        <v>1079</v>
      </c>
      <c r="D1140" s="2" t="str">
        <f t="shared" si="16"/>
        <v>OK</v>
      </c>
    </row>
    <row r="1141" spans="1:4" x14ac:dyDescent="0.2">
      <c r="A1141" s="5">
        <v>1080</v>
      </c>
      <c r="B1141" s="138">
        <f>'Expenditures 15-22'!K72</f>
        <v>9083</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276239</v>
      </c>
      <c r="C1143" s="2" t="s">
        <v>573</v>
      </c>
      <c r="D1143" s="2" t="str">
        <f t="shared" si="16"/>
        <v>Error?</v>
      </c>
    </row>
    <row r="1144" spans="1:4" x14ac:dyDescent="0.2">
      <c r="A1144" s="5">
        <v>1083</v>
      </c>
      <c r="B1144" s="138">
        <f>'Expenditures 15-22'!K75</f>
        <v>9711</v>
      </c>
      <c r="C1144" s="2" t="s">
        <v>573</v>
      </c>
      <c r="D1144" s="2" t="str">
        <f t="shared" si="16"/>
        <v>Error?</v>
      </c>
    </row>
    <row r="1145" spans="1:4" x14ac:dyDescent="0.2">
      <c r="A1145" s="5">
        <v>1084</v>
      </c>
      <c r="B1145" s="138">
        <f>'Expenditures 15-22'!K102</f>
        <v>78502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1341239</v>
      </c>
      <c r="C1152" s="2" t="s">
        <v>573</v>
      </c>
      <c r="D1152" s="2" t="str">
        <f t="shared" si="17"/>
        <v>Error?</v>
      </c>
    </row>
    <row r="1153" spans="1:4" x14ac:dyDescent="0.2">
      <c r="A1153" s="5">
        <v>1092</v>
      </c>
      <c r="B1153" s="138">
        <f>'Expenditures 15-22'!K115</f>
        <v>-117400</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57000</v>
      </c>
      <c r="D1221" s="2" t="str">
        <f t="shared" si="18"/>
        <v>Error?</v>
      </c>
    </row>
    <row r="1222" spans="1:4" x14ac:dyDescent="0.2">
      <c r="A1222" s="10">
        <v>1161</v>
      </c>
      <c r="D1222" s="2" t="str">
        <f t="shared" si="18"/>
        <v>OK</v>
      </c>
    </row>
    <row r="1223" spans="1:4" x14ac:dyDescent="0.2">
      <c r="A1223" s="5">
        <v>1162</v>
      </c>
      <c r="B1223" s="138">
        <f>'Expenditures 15-22'!C127</f>
        <v>57000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57000</v>
      </c>
      <c r="C1225" s="2" t="s">
        <v>573</v>
      </c>
      <c r="D1225" s="2" t="str">
        <f t="shared" si="18"/>
        <v>Error?</v>
      </c>
    </row>
    <row r="1226" spans="1:4" x14ac:dyDescent="0.2">
      <c r="A1226" s="5">
        <v>1165</v>
      </c>
      <c r="B1226" s="138">
        <f>'Expenditures 15-22'!C151</f>
        <v>57000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9512</v>
      </c>
      <c r="D1229" s="2" t="str">
        <f t="shared" si="18"/>
        <v>Error?</v>
      </c>
    </row>
    <row r="1230" spans="1:4" x14ac:dyDescent="0.2">
      <c r="A1230" s="10">
        <v>1169</v>
      </c>
      <c r="D1230" s="2" t="str">
        <f t="shared" si="18"/>
        <v>OK</v>
      </c>
    </row>
    <row r="1231" spans="1:4" x14ac:dyDescent="0.2">
      <c r="A1231" s="5">
        <v>1170</v>
      </c>
      <c r="B1231" s="138">
        <f>'Expenditures 15-22'!D127</f>
        <v>9512</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9512</v>
      </c>
      <c r="C1233" s="2" t="s">
        <v>573</v>
      </c>
      <c r="D1233" s="2" t="str">
        <f t="shared" si="18"/>
        <v>Error?</v>
      </c>
    </row>
    <row r="1234" spans="1:4" x14ac:dyDescent="0.2">
      <c r="A1234" s="5">
        <v>1173</v>
      </c>
      <c r="B1234" s="138">
        <f>'Expenditures 15-22'!D151</f>
        <v>9512</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37189</v>
      </c>
      <c r="D1237" s="2" t="str">
        <f t="shared" si="18"/>
        <v>Error?</v>
      </c>
    </row>
    <row r="1238" spans="1:4" x14ac:dyDescent="0.2">
      <c r="A1238" s="10">
        <v>1177</v>
      </c>
      <c r="D1238" s="2" t="str">
        <f t="shared" si="18"/>
        <v>OK</v>
      </c>
    </row>
    <row r="1239" spans="1:4" x14ac:dyDescent="0.2">
      <c r="A1239" s="5">
        <v>1178</v>
      </c>
      <c r="B1239" s="138">
        <f>'Expenditures 15-22'!E127</f>
        <v>37189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37189</v>
      </c>
      <c r="C1241" s="2" t="s">
        <v>573</v>
      </c>
      <c r="D1241" s="2" t="str">
        <f t="shared" si="18"/>
        <v>Error?</v>
      </c>
    </row>
    <row r="1242" spans="1:4" x14ac:dyDescent="0.2">
      <c r="A1242" s="5">
        <v>1181</v>
      </c>
      <c r="B1242" s="138">
        <f>'Expenditures 15-22'!E151</f>
        <v>37189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43031</v>
      </c>
      <c r="D1245" s="2" t="str">
        <f t="shared" si="18"/>
        <v>Error?</v>
      </c>
    </row>
    <row r="1246" spans="1:4" x14ac:dyDescent="0.2">
      <c r="A1246" s="10">
        <v>1185</v>
      </c>
      <c r="D1246" s="2" t="str">
        <f t="shared" si="18"/>
        <v>OK</v>
      </c>
    </row>
    <row r="1247" spans="1:4" x14ac:dyDescent="0.2">
      <c r="A1247" s="5">
        <v>1186</v>
      </c>
      <c r="B1247" s="138">
        <f>'Expenditures 15-22'!F127</f>
        <v>43031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43031</v>
      </c>
      <c r="C1249" s="2" t="s">
        <v>573</v>
      </c>
      <c r="D1249" s="2" t="str">
        <f t="shared" si="18"/>
        <v>Error?</v>
      </c>
    </row>
    <row r="1250" spans="1:4" x14ac:dyDescent="0.2">
      <c r="A1250" s="5">
        <v>1189</v>
      </c>
      <c r="B1250" s="138">
        <f>'Expenditures 15-22'!F151</f>
        <v>43031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514</v>
      </c>
      <c r="D1262" s="2" t="str">
        <f t="shared" si="18"/>
        <v>Error?</v>
      </c>
    </row>
    <row r="1263" spans="1:4" x14ac:dyDescent="0.2">
      <c r="A1263" s="10">
        <v>1202</v>
      </c>
      <c r="D1263" s="2" t="str">
        <f t="shared" si="18"/>
        <v>OK</v>
      </c>
    </row>
    <row r="1264" spans="1:4" x14ac:dyDescent="0.2">
      <c r="A1264" s="5">
        <v>1203</v>
      </c>
      <c r="B1264" s="138">
        <f>'Expenditures 15-22'!H127</f>
        <v>514</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514</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514</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147246</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147246</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147246</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147246</v>
      </c>
      <c r="C1288" s="2" t="s">
        <v>573</v>
      </c>
      <c r="D1288" s="2" t="str">
        <f t="shared" si="19"/>
        <v>Error?</v>
      </c>
    </row>
    <row r="1289" spans="1:4" x14ac:dyDescent="0.2">
      <c r="A1289" s="5">
        <v>1228</v>
      </c>
      <c r="B1289" s="138">
        <f>'Expenditures 15-22'!K152</f>
        <v>1598</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50792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50792</v>
      </c>
      <c r="C1339" s="2" t="s">
        <v>573</v>
      </c>
      <c r="D1339" s="2" t="str">
        <f t="shared" si="19"/>
        <v>Error?</v>
      </c>
    </row>
    <row r="1340" spans="1:4" x14ac:dyDescent="0.2">
      <c r="A1340" s="5">
        <v>1279</v>
      </c>
      <c r="B1340" s="138">
        <f>'Expenditures 15-22'!C210</f>
        <v>50792</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11112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11112</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11112</v>
      </c>
      <c r="C1353" s="2" t="s">
        <v>573</v>
      </c>
      <c r="D1353" s="2" t="str">
        <f t="shared" si="20"/>
        <v>Error?</v>
      </c>
    </row>
    <row r="1354" spans="1:4" x14ac:dyDescent="0.2">
      <c r="A1354" s="5">
        <v>1293</v>
      </c>
      <c r="B1354" s="138">
        <f>'Expenditures 15-22'!F182</f>
        <v>11742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11742</v>
      </c>
      <c r="C1358" s="2" t="s">
        <v>573</v>
      </c>
      <c r="D1358" s="2" t="str">
        <f t="shared" si="20"/>
        <v>Error?</v>
      </c>
    </row>
    <row r="1359" spans="1:4" x14ac:dyDescent="0.2">
      <c r="A1359" s="5">
        <v>1298</v>
      </c>
      <c r="B1359" s="138">
        <f>'Expenditures 15-22'!F210</f>
        <v>11742</v>
      </c>
      <c r="C1359" s="2" t="s">
        <v>573</v>
      </c>
      <c r="D1359" s="2" t="str">
        <f t="shared" si="20"/>
        <v>Error?</v>
      </c>
    </row>
    <row r="1360" spans="1:4" x14ac:dyDescent="0.2">
      <c r="A1360" s="5">
        <v>1299</v>
      </c>
      <c r="B1360" s="138">
        <f>'Expenditures 15-22'!G182</f>
        <v>31658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31658</v>
      </c>
      <c r="C1364" s="2" t="s">
        <v>573</v>
      </c>
      <c r="D1364" s="2" t="str">
        <f t="shared" si="20"/>
        <v>Error?</v>
      </c>
    </row>
    <row r="1365" spans="1:4" x14ac:dyDescent="0.2">
      <c r="A1365" s="5">
        <v>1304</v>
      </c>
      <c r="B1365" s="138">
        <f>'Expenditures 15-22'!G210</f>
        <v>31658</v>
      </c>
      <c r="C1365" s="2" t="s">
        <v>573</v>
      </c>
      <c r="D1365" s="2" t="str">
        <f t="shared" si="20"/>
        <v>Error?</v>
      </c>
    </row>
    <row r="1366" spans="1:4" x14ac:dyDescent="0.2">
      <c r="A1366" s="5">
        <v>1305</v>
      </c>
      <c r="B1366" s="138">
        <f>'Expenditures 15-22'!H182</f>
        <v>1007</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1007</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1007</v>
      </c>
      <c r="C1376" s="2" t="s">
        <v>573</v>
      </c>
      <c r="D1376" s="2" t="str">
        <f t="shared" si="20"/>
        <v>Error?</v>
      </c>
    </row>
    <row r="1377" spans="1:4" x14ac:dyDescent="0.2">
      <c r="A1377" s="5">
        <v>1316</v>
      </c>
      <c r="B1377" s="138">
        <f>'Expenditures 15-22'!K182</f>
        <v>106311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106311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106311</v>
      </c>
      <c r="C1388" s="2" t="s">
        <v>573</v>
      </c>
      <c r="D1388" s="2" t="str">
        <f t="shared" si="20"/>
        <v>Error?</v>
      </c>
    </row>
    <row r="1389" spans="1:4" x14ac:dyDescent="0.2">
      <c r="A1389" s="5">
        <v>1328</v>
      </c>
      <c r="B1389" s="138">
        <f>'Expenditures 15-22'!K211</f>
        <v>-9273</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342</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19344</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500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500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174</v>
      </c>
      <c r="D1422" s="2" t="str">
        <f t="shared" si="21"/>
        <v>Error?</v>
      </c>
    </row>
    <row r="1423" spans="1:4" x14ac:dyDescent="0.2">
      <c r="A1423" s="5">
        <v>1362</v>
      </c>
      <c r="B1423" s="138">
        <f>'Expenditures 15-22'!D246</f>
        <v>604</v>
      </c>
      <c r="D1423" s="2" t="str">
        <f t="shared" si="21"/>
        <v>Error?</v>
      </c>
    </row>
    <row r="1424" spans="1:4" x14ac:dyDescent="0.2">
      <c r="A1424" s="5">
        <v>1363</v>
      </c>
      <c r="B1424" s="138">
        <f>'Expenditures 15-22'!D257</f>
        <v>778</v>
      </c>
      <c r="C1424" s="2" t="s">
        <v>573</v>
      </c>
      <c r="D1424" s="2" t="str">
        <f t="shared" si="21"/>
        <v>Error?</v>
      </c>
    </row>
    <row r="1425" spans="1:4" x14ac:dyDescent="0.2">
      <c r="A1425" s="5">
        <v>1364</v>
      </c>
      <c r="B1425" s="138">
        <f>'Expenditures 15-22'!D259</f>
        <v>7476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7476</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9712</v>
      </c>
      <c r="D1431" s="2" t="str">
        <f t="shared" si="21"/>
        <v>Error?</v>
      </c>
    </row>
    <row r="1432" spans="1:4" x14ac:dyDescent="0.2">
      <c r="A1432" s="5">
        <v>1371</v>
      </c>
      <c r="B1432" s="138">
        <f>'Expenditures 15-22'!D267</f>
        <v>8688</v>
      </c>
      <c r="D1432" s="2" t="str">
        <f t="shared" si="21"/>
        <v>Error?</v>
      </c>
    </row>
    <row r="1433" spans="1:4" x14ac:dyDescent="0.2">
      <c r="A1433" s="5">
        <v>1372</v>
      </c>
      <c r="B1433" s="138">
        <f>'Expenditures 15-22'!D268</f>
        <v>4547</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22947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31701</v>
      </c>
      <c r="C1446" s="2" t="s">
        <v>573</v>
      </c>
      <c r="D1446" s="2" t="str">
        <f t="shared" si="21"/>
        <v>Error?</v>
      </c>
    </row>
    <row r="1447" spans="1:4" x14ac:dyDescent="0.2">
      <c r="A1447" s="5">
        <v>1386</v>
      </c>
      <c r="B1447" s="138">
        <f>'Expenditures 15-22'!D280</f>
        <v>1628</v>
      </c>
      <c r="D1447" s="2" t="str">
        <f t="shared" si="21"/>
        <v>Error?</v>
      </c>
    </row>
    <row r="1448" spans="1:4" x14ac:dyDescent="0.2">
      <c r="A1448" s="5">
        <v>1387</v>
      </c>
      <c r="B1448" s="138">
        <f>'Expenditures 15-22'!D295</f>
        <v>52673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342</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19344</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500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500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174</v>
      </c>
      <c r="C1486" s="2" t="s">
        <v>573</v>
      </c>
      <c r="D1486" s="2" t="str">
        <f t="shared" si="22"/>
        <v>Error?</v>
      </c>
    </row>
    <row r="1487" spans="1:4" x14ac:dyDescent="0.2">
      <c r="A1487" s="5">
        <v>1426</v>
      </c>
      <c r="B1487" s="138">
        <f>'Expenditures 15-22'!K246</f>
        <v>604</v>
      </c>
      <c r="C1487" s="2" t="s">
        <v>573</v>
      </c>
      <c r="D1487" s="2" t="str">
        <f t="shared" si="22"/>
        <v>Error?</v>
      </c>
    </row>
    <row r="1488" spans="1:4" x14ac:dyDescent="0.2">
      <c r="A1488" s="5">
        <v>1427</v>
      </c>
      <c r="B1488" s="138">
        <f>'Expenditures 15-22'!K257</f>
        <v>778</v>
      </c>
      <c r="C1488" s="2" t="s">
        <v>573</v>
      </c>
      <c r="D1488" s="2" t="str">
        <f t="shared" si="22"/>
        <v>Error?</v>
      </c>
    </row>
    <row r="1489" spans="1:4" x14ac:dyDescent="0.2">
      <c r="A1489" s="5">
        <v>1428</v>
      </c>
      <c r="B1489" s="138">
        <f>'Expenditures 15-22'!K259</f>
        <v>7476</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7476</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9712</v>
      </c>
      <c r="C1495" s="2" t="s">
        <v>573</v>
      </c>
      <c r="D1495" s="2" t="str">
        <f t="shared" si="22"/>
        <v>Error?</v>
      </c>
    </row>
    <row r="1496" spans="1:4" x14ac:dyDescent="0.2">
      <c r="A1496" s="5">
        <v>1435</v>
      </c>
      <c r="B1496" s="138">
        <f>'Expenditures 15-22'!K267</f>
        <v>8688</v>
      </c>
      <c r="C1496" s="2" t="s">
        <v>573</v>
      </c>
      <c r="D1496" s="2" t="str">
        <f t="shared" si="22"/>
        <v>Error?</v>
      </c>
    </row>
    <row r="1497" spans="1:4" x14ac:dyDescent="0.2">
      <c r="A1497" s="5">
        <v>1436</v>
      </c>
      <c r="B1497" s="138">
        <f>'Expenditures 15-22'!K268</f>
        <v>4547</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22947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31701</v>
      </c>
      <c r="C1510" s="2" t="s">
        <v>573</v>
      </c>
      <c r="D1510" s="2" t="str">
        <f t="shared" si="22"/>
        <v>Error?</v>
      </c>
    </row>
    <row r="1511" spans="1:4" x14ac:dyDescent="0.2">
      <c r="A1511" s="5">
        <v>1450</v>
      </c>
      <c r="B1511" s="138">
        <f>'Expenditures 15-22'!K280</f>
        <v>1628</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52673</v>
      </c>
      <c r="C1517" s="2" t="s">
        <v>573</v>
      </c>
      <c r="D1517" s="2" t="str">
        <f t="shared" si="22"/>
        <v>Error?</v>
      </c>
    </row>
    <row r="1518" spans="1:4" x14ac:dyDescent="0.2">
      <c r="A1518" s="5">
        <v>1457</v>
      </c>
      <c r="B1518" s="138">
        <f>'Expenditures 15-22'!K296</f>
        <v>4325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30952</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30952</v>
      </c>
      <c r="C1535" s="2" t="s">
        <v>573</v>
      </c>
      <c r="D1535" s="2" t="str">
        <f t="shared" ref="D1535:D1598" si="23">IF(ISBLANK(B1535),"OK",IF(A1535-B1535=0,"OK","Error?"))</f>
        <v>Error?</v>
      </c>
    </row>
    <row r="1536" spans="1:4" x14ac:dyDescent="0.2">
      <c r="A1536" s="5">
        <v>1475</v>
      </c>
      <c r="B1536" s="138">
        <f>'Expenditures 15-22'!E312</f>
        <v>30952</v>
      </c>
      <c r="C1536" s="2" t="s">
        <v>573</v>
      </c>
      <c r="D1536" s="2" t="str">
        <f t="shared" si="23"/>
        <v>Error?</v>
      </c>
    </row>
    <row r="1537" spans="1:4" x14ac:dyDescent="0.2">
      <c r="A1537" s="5">
        <v>1476</v>
      </c>
      <c r="B1537" s="138">
        <f>'Expenditures 15-22'!F301</f>
        <v>5187</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5187</v>
      </c>
      <c r="C1541" s="2" t="s">
        <v>573</v>
      </c>
      <c r="D1541" s="2" t="str">
        <f t="shared" si="23"/>
        <v>Error?</v>
      </c>
    </row>
    <row r="1542" spans="1:4" x14ac:dyDescent="0.2">
      <c r="A1542" s="5">
        <v>1481</v>
      </c>
      <c r="B1542" s="138">
        <f>'Expenditures 15-22'!F312</f>
        <v>5187</v>
      </c>
      <c r="C1542" s="2" t="s">
        <v>573</v>
      </c>
      <c r="D1542" s="2" t="str">
        <f t="shared" si="23"/>
        <v>Error?</v>
      </c>
    </row>
    <row r="1543" spans="1:4" x14ac:dyDescent="0.2">
      <c r="A1543" s="5">
        <v>1482</v>
      </c>
      <c r="B1543" s="138">
        <f>'Expenditures 15-22'!G301</f>
        <v>3299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3299</v>
      </c>
      <c r="C1547" s="2" t="s">
        <v>573</v>
      </c>
      <c r="D1547" s="2" t="str">
        <f t="shared" si="23"/>
        <v>Error?</v>
      </c>
    </row>
    <row r="1548" spans="1:4" x14ac:dyDescent="0.2">
      <c r="A1548" s="5">
        <v>1487</v>
      </c>
      <c r="B1548" s="138">
        <f>'Expenditures 15-22'!G312</f>
        <v>3299</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39438</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39438</v>
      </c>
      <c r="C1559" s="2" t="s">
        <v>573</v>
      </c>
      <c r="D1559" s="2" t="str">
        <f t="shared" si="23"/>
        <v>Error?</v>
      </c>
    </row>
    <row r="1560" spans="1:4" x14ac:dyDescent="0.2">
      <c r="A1560" s="5">
        <v>1499</v>
      </c>
      <c r="B1560" s="138">
        <f>'Expenditures 15-22'!K312</f>
        <v>39438</v>
      </c>
      <c r="C1560" s="2" t="s">
        <v>573</v>
      </c>
      <c r="D1560" s="2" t="str">
        <f t="shared" si="23"/>
        <v>Error?</v>
      </c>
    </row>
    <row r="1561" spans="1:4" x14ac:dyDescent="0.2">
      <c r="A1561" s="5">
        <v>1500</v>
      </c>
      <c r="B1561" s="138">
        <f>'Expenditures 15-22'!K313</f>
        <v>56824</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94462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12112</v>
      </c>
      <c r="C1630" s="2" t="s">
        <v>573</v>
      </c>
      <c r="D1630" s="2" t="str">
        <f t="shared" si="24"/>
        <v>Error?</v>
      </c>
    </row>
    <row r="1631" spans="1:4" x14ac:dyDescent="0.2">
      <c r="A1631" s="5">
        <v>1570</v>
      </c>
      <c r="B1631" s="138">
        <f>'Acct Summary 7-8'!D79</f>
        <v>107158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108756</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76292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67019</v>
      </c>
      <c r="C1672" s="2" t="s">
        <v>573</v>
      </c>
      <c r="D1672" s="2" t="str">
        <f t="shared" si="25"/>
        <v>Error?</v>
      </c>
    </row>
    <row r="1673" spans="1:4" x14ac:dyDescent="0.2">
      <c r="A1673" s="5">
        <v>1612</v>
      </c>
      <c r="B1673" s="138">
        <f>'Acct Summary 7-8'!G79</f>
        <v>63483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67808</v>
      </c>
      <c r="C1686" s="2" t="s">
        <v>573</v>
      </c>
      <c r="D1686" s="2" t="str">
        <f t="shared" si="25"/>
        <v>Error?</v>
      </c>
    </row>
    <row r="1687" spans="1:4" x14ac:dyDescent="0.2">
      <c r="A1687" s="5">
        <v>1626</v>
      </c>
      <c r="B1687" s="138">
        <f>'Acct Summary 7-8'!H79</f>
        <v>282907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339731</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214135</v>
      </c>
      <c r="C1744" s="2" t="s">
        <v>573</v>
      </c>
      <c r="D1744" s="2" t="str">
        <f t="shared" si="26"/>
        <v>Error?</v>
      </c>
    </row>
    <row r="1745" spans="1:5" x14ac:dyDescent="0.2">
      <c r="A1745" s="5">
        <v>1684</v>
      </c>
      <c r="B1745" s="138">
        <f>'Tax Sched 23'!B5</f>
        <v>24806</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11367</v>
      </c>
      <c r="C1747" s="2" t="s">
        <v>573</v>
      </c>
      <c r="D1747" s="2" t="str">
        <f t="shared" si="26"/>
        <v>Error?</v>
      </c>
    </row>
    <row r="1748" spans="1:5" x14ac:dyDescent="0.2">
      <c r="A1748" s="5">
        <v>1687</v>
      </c>
      <c r="B1748" s="138">
        <f>'Tax Sched 23'!B8</f>
        <v>30811</v>
      </c>
      <c r="C1748" s="2" t="s">
        <v>573</v>
      </c>
      <c r="D1748" s="2" t="str">
        <f t="shared" si="26"/>
        <v>Error?</v>
      </c>
    </row>
    <row r="1749" spans="1:5" x14ac:dyDescent="0.2">
      <c r="A1749" s="5">
        <v>1688</v>
      </c>
      <c r="B1749" s="138">
        <f>'Tax Sched 23'!B10</f>
        <v>4740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21887</v>
      </c>
      <c r="C1752" s="2" t="s">
        <v>573</v>
      </c>
      <c r="D1752" s="2" t="str">
        <f t="shared" si="26"/>
        <v>Error?</v>
      </c>
    </row>
    <row r="1753" spans="1:5" x14ac:dyDescent="0.2">
      <c r="A1753" s="5">
        <v>1692</v>
      </c>
      <c r="B1753" s="138">
        <f>'Tax Sched 23'!B12</f>
        <v>990</v>
      </c>
      <c r="C1753" s="2" t="s">
        <v>573</v>
      </c>
      <c r="D1753" s="2" t="str">
        <f t="shared" si="26"/>
        <v>Error?</v>
      </c>
    </row>
    <row r="1754" spans="1:5" x14ac:dyDescent="0.2">
      <c r="A1754" s="5">
        <v>1693</v>
      </c>
      <c r="B1754" s="138">
        <f>'Tax Sched 23'!B14</f>
        <v>6524</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351610</v>
      </c>
      <c r="C1759" s="2" t="s">
        <v>573</v>
      </c>
      <c r="D1759" s="2" t="str">
        <f t="shared" si="26"/>
        <v>Error?</v>
      </c>
    </row>
    <row r="1760" spans="1:5" x14ac:dyDescent="0.2">
      <c r="A1760" s="5">
        <v>1699</v>
      </c>
      <c r="B1760" s="138">
        <f>'Tax Sched 23'!D4</f>
        <v>214135</v>
      </c>
      <c r="C1760" s="2" t="s">
        <v>573</v>
      </c>
      <c r="D1760" s="2" t="str">
        <f t="shared" si="26"/>
        <v>Error?</v>
      </c>
    </row>
    <row r="1761" spans="1:5" x14ac:dyDescent="0.2">
      <c r="A1761" s="5">
        <v>1700</v>
      </c>
      <c r="B1761" s="138">
        <f>'Tax Sched 23'!D5</f>
        <v>24806</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11367</v>
      </c>
      <c r="C1763" s="2" t="s">
        <v>573</v>
      </c>
      <c r="D1763" s="2" t="str">
        <f t="shared" si="26"/>
        <v>Error?</v>
      </c>
    </row>
    <row r="1764" spans="1:5" x14ac:dyDescent="0.2">
      <c r="A1764" s="5">
        <v>1703</v>
      </c>
      <c r="B1764" s="138">
        <f>'Tax Sched 23'!D8</f>
        <v>30811</v>
      </c>
      <c r="C1764" s="2" t="s">
        <v>573</v>
      </c>
      <c r="D1764" s="2" t="str">
        <f t="shared" si="26"/>
        <v>Error?</v>
      </c>
    </row>
    <row r="1765" spans="1:5" x14ac:dyDescent="0.2">
      <c r="A1765" s="5">
        <v>1704</v>
      </c>
      <c r="B1765" s="138">
        <f>'Tax Sched 23'!D10</f>
        <v>4740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21887</v>
      </c>
      <c r="C1768" s="2" t="s">
        <v>573</v>
      </c>
      <c r="D1768" s="2" t="str">
        <f t="shared" si="26"/>
        <v>Error?</v>
      </c>
    </row>
    <row r="1769" spans="1:5" x14ac:dyDescent="0.2">
      <c r="A1769" s="5">
        <v>1708</v>
      </c>
      <c r="B1769" s="138">
        <f>'Tax Sched 23'!D12</f>
        <v>990</v>
      </c>
      <c r="C1769" s="2" t="s">
        <v>573</v>
      </c>
      <c r="D1769" s="2" t="str">
        <f t="shared" si="26"/>
        <v>Error?</v>
      </c>
    </row>
    <row r="1770" spans="1:5" x14ac:dyDescent="0.2">
      <c r="A1770" s="5">
        <v>1709</v>
      </c>
      <c r="B1770" s="138">
        <f>'Tax Sched 23'!D14</f>
        <v>6524</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351610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221652</v>
      </c>
      <c r="C1792" s="2" t="s">
        <v>573</v>
      </c>
      <c r="D1792" s="2" t="str">
        <f t="shared" si="27"/>
        <v>Error?</v>
      </c>
    </row>
    <row r="1793" spans="1:4" x14ac:dyDescent="0.2">
      <c r="A1793" s="5">
        <v>1732</v>
      </c>
      <c r="B1793" s="138">
        <f>'Tax Sched 23'!F5</f>
        <v>24872</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11398</v>
      </c>
      <c r="C1795" s="2" t="s">
        <v>573</v>
      </c>
      <c r="D1795" s="2" t="str">
        <f t="shared" si="27"/>
        <v>Error?</v>
      </c>
    </row>
    <row r="1796" spans="1:4" x14ac:dyDescent="0.2">
      <c r="A1796" s="5">
        <v>1735</v>
      </c>
      <c r="B1796" s="138">
        <f>'Tax Sched 23'!F8</f>
        <v>30897</v>
      </c>
      <c r="C1796" s="2" t="s">
        <v>573</v>
      </c>
      <c r="D1796" s="2" t="str">
        <f t="shared" si="27"/>
        <v>Error?</v>
      </c>
    </row>
    <row r="1797" spans="1:4" x14ac:dyDescent="0.2">
      <c r="A1797" s="5">
        <v>1736</v>
      </c>
      <c r="B1797" s="138">
        <f>'Tax Sched 23'!F10</f>
        <v>4754</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21948</v>
      </c>
      <c r="C1800" s="2" t="s">
        <v>573</v>
      </c>
      <c r="D1800" s="2" t="str">
        <f t="shared" si="27"/>
        <v>Error?</v>
      </c>
    </row>
    <row r="1801" spans="1:4" x14ac:dyDescent="0.2">
      <c r="A1801" s="5">
        <v>1740</v>
      </c>
      <c r="B1801" s="138">
        <f>'Tax Sched 23'!F12</f>
        <v>993</v>
      </c>
      <c r="C1801" s="2" t="s">
        <v>573</v>
      </c>
      <c r="D1801" s="2" t="str">
        <f t="shared" si="27"/>
        <v>Error?</v>
      </c>
    </row>
    <row r="1802" spans="1:4" x14ac:dyDescent="0.2">
      <c r="A1802" s="5">
        <v>1741</v>
      </c>
      <c r="B1802" s="138">
        <f>'Tax Sched 23'!F14</f>
        <v>6543</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359511</v>
      </c>
      <c r="C1807" s="2" t="s">
        <v>573</v>
      </c>
      <c r="D1807" s="2" t="str">
        <f t="shared" si="27"/>
        <v>Error?</v>
      </c>
    </row>
    <row r="1808" spans="1:4" x14ac:dyDescent="0.2">
      <c r="A1808" s="5">
        <v>1747</v>
      </c>
      <c r="B1808" s="138">
        <f>'Tax Sched 23'!E4</f>
        <v>221652</v>
      </c>
      <c r="D1808" s="2" t="str">
        <f t="shared" si="27"/>
        <v>Error?</v>
      </c>
    </row>
    <row r="1809" spans="1:4" x14ac:dyDescent="0.2">
      <c r="A1809" s="5">
        <v>1748</v>
      </c>
      <c r="B1809" s="138">
        <f>'Tax Sched 23'!E5</f>
        <v>24872</v>
      </c>
      <c r="D1809" s="2" t="str">
        <f t="shared" si="27"/>
        <v>Error?</v>
      </c>
    </row>
    <row r="1810" spans="1:4" x14ac:dyDescent="0.2">
      <c r="A1810" s="5">
        <v>1749</v>
      </c>
      <c r="B1810" s="138">
        <f>'Tax Sched 23'!E6</f>
        <v>0</v>
      </c>
      <c r="D1810" s="2" t="str">
        <f t="shared" si="27"/>
        <v>Error?</v>
      </c>
    </row>
    <row r="1811" spans="1:4" x14ac:dyDescent="0.2">
      <c r="A1811" s="5">
        <v>1750</v>
      </c>
      <c r="B1811" s="138">
        <f>'Tax Sched 23'!E7</f>
        <v>11398</v>
      </c>
      <c r="D1811" s="2" t="str">
        <f t="shared" si="27"/>
        <v>Error?</v>
      </c>
    </row>
    <row r="1812" spans="1:4" x14ac:dyDescent="0.2">
      <c r="A1812" s="5">
        <v>1751</v>
      </c>
      <c r="B1812" s="138">
        <f>'Tax Sched 23'!E8</f>
        <v>30897</v>
      </c>
      <c r="D1812" s="2" t="str">
        <f t="shared" si="27"/>
        <v>Error?</v>
      </c>
    </row>
    <row r="1813" spans="1:4" x14ac:dyDescent="0.2">
      <c r="A1813" s="5">
        <v>1752</v>
      </c>
      <c r="B1813" s="138">
        <f>'Tax Sched 23'!E10</f>
        <v>4754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21948</v>
      </c>
      <c r="D1816" s="2" t="str">
        <f t="shared" si="27"/>
        <v>Error?</v>
      </c>
    </row>
    <row r="1817" spans="1:4" x14ac:dyDescent="0.2">
      <c r="A1817" s="5">
        <v>1756</v>
      </c>
      <c r="B1817" s="138">
        <f>'Tax Sched 23'!E12</f>
        <v>993</v>
      </c>
      <c r="D1817" s="2" t="str">
        <f t="shared" si="27"/>
        <v>Error?</v>
      </c>
    </row>
    <row r="1818" spans="1:4" x14ac:dyDescent="0.2">
      <c r="A1818" s="5">
        <v>1757</v>
      </c>
      <c r="B1818" s="138">
        <f>'Tax Sched 23'!E14</f>
        <v>6543</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359511</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6524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6524</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6524</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3200</v>
      </c>
      <c r="D2008" s="2" t="str">
        <f t="shared" si="30"/>
        <v>Error?</v>
      </c>
    </row>
    <row r="2009" spans="1:4" x14ac:dyDescent="0.2">
      <c r="A2009" s="5">
        <v>1948</v>
      </c>
      <c r="B2009" s="138">
        <f>'Cap Outlay Deprec 26'!C8</f>
        <v>811546</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618719</v>
      </c>
      <c r="D2011" s="2" t="str">
        <f t="shared" si="30"/>
        <v>Error?</v>
      </c>
    </row>
    <row r="2012" spans="1:4" x14ac:dyDescent="0.2">
      <c r="A2012" s="5">
        <v>1951</v>
      </c>
      <c r="B2012" s="138">
        <f>'Cap Outlay Deprec 26'!C13</f>
        <v>243475</v>
      </c>
      <c r="D2012" s="2" t="str">
        <f t="shared" si="30"/>
        <v>Error?</v>
      </c>
    </row>
    <row r="2013" spans="1:4" x14ac:dyDescent="0.2">
      <c r="A2013" s="5">
        <v>1952</v>
      </c>
      <c r="B2013" s="138">
        <f>'Cap Outlay Deprec 26'!C16</f>
        <v>1684957</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3299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216699</v>
      </c>
      <c r="D2018" s="2" t="str">
        <f t="shared" si="30"/>
        <v>Error?</v>
      </c>
    </row>
    <row r="2019" spans="1:4" x14ac:dyDescent="0.2">
      <c r="A2019" s="5">
        <v>1958</v>
      </c>
      <c r="B2019" s="138">
        <f>'Cap Outlay Deprec 26'!D16</f>
        <v>219998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194675</v>
      </c>
      <c r="D2024" s="2" t="str">
        <f t="shared" si="30"/>
        <v>Error?</v>
      </c>
    </row>
    <row r="2025" spans="1:4" x14ac:dyDescent="0.2">
      <c r="A2025" s="5">
        <v>1964</v>
      </c>
      <c r="B2025" s="138">
        <f>'Cap Outlay Deprec 26'!E16</f>
        <v>194675</v>
      </c>
      <c r="C2025" s="2" t="s">
        <v>573</v>
      </c>
      <c r="D2025" s="2" t="str">
        <f t="shared" si="30"/>
        <v>Error?</v>
      </c>
    </row>
    <row r="2026" spans="1:4" x14ac:dyDescent="0.2">
      <c r="A2026" s="5">
        <v>1965</v>
      </c>
      <c r="B2026" s="138">
        <f>'Cap Outlay Deprec 26'!F5</f>
        <v>3200</v>
      </c>
      <c r="C2026" s="2" t="s">
        <v>573</v>
      </c>
      <c r="D2026" s="2" t="str">
        <f t="shared" si="30"/>
        <v>Error?</v>
      </c>
    </row>
    <row r="2027" spans="1:4" x14ac:dyDescent="0.2">
      <c r="A2027" s="5">
        <v>1966</v>
      </c>
      <c r="B2027" s="138">
        <f>'Cap Outlay Deprec 26'!F8</f>
        <v>814845</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618719</v>
      </c>
      <c r="C2029" s="2" t="s">
        <v>573</v>
      </c>
      <c r="D2029" s="2" t="str">
        <f t="shared" si="30"/>
        <v>Error?</v>
      </c>
    </row>
    <row r="2030" spans="1:4" x14ac:dyDescent="0.2">
      <c r="A2030" s="5">
        <v>1969</v>
      </c>
      <c r="B2030" s="138">
        <f>'Cap Outlay Deprec 26'!F13</f>
        <v>265499</v>
      </c>
      <c r="C2030" s="2" t="s">
        <v>573</v>
      </c>
      <c r="D2030" s="2" t="str">
        <f t="shared" si="30"/>
        <v>Error?</v>
      </c>
    </row>
    <row r="2031" spans="1:4" x14ac:dyDescent="0.2">
      <c r="A2031" s="5">
        <v>1970</v>
      </c>
      <c r="B2031" s="138">
        <f>'Cap Outlay Deprec 26'!F16</f>
        <v>1710280</v>
      </c>
      <c r="C2031" s="2" t="s">
        <v>573</v>
      </c>
      <c r="D2031" s="2" t="str">
        <f t="shared" si="30"/>
        <v>Error?</v>
      </c>
    </row>
    <row r="2032" spans="1:4" x14ac:dyDescent="0.2">
      <c r="A2032" s="10">
        <v>1971</v>
      </c>
      <c r="D2032" s="2" t="str">
        <f t="shared" si="30"/>
        <v>OK</v>
      </c>
    </row>
    <row r="2033" spans="1:4" x14ac:dyDescent="0.2">
      <c r="A2033" s="5">
        <v>1972</v>
      </c>
      <c r="B2033" s="138">
        <f>'Cap Outlay Deprec 26'!H8</f>
        <v>499853</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567340</v>
      </c>
      <c r="D2035" s="2" t="str">
        <f t="shared" si="30"/>
        <v>Error?</v>
      </c>
    </row>
    <row r="2036" spans="1:4" x14ac:dyDescent="0.2">
      <c r="A2036" s="5">
        <v>1975</v>
      </c>
      <c r="B2036" s="138">
        <f>'Cap Outlay Deprec 26'!H13</f>
        <v>243475</v>
      </c>
      <c r="D2036" s="2" t="str">
        <f t="shared" si="30"/>
        <v>Error?</v>
      </c>
    </row>
    <row r="2037" spans="1:4" x14ac:dyDescent="0.2">
      <c r="A2037" s="5">
        <v>1976</v>
      </c>
      <c r="B2037" s="138">
        <f>'Cap Outlay Deprec 26'!H16</f>
        <v>1317013</v>
      </c>
      <c r="C2037" s="2" t="s">
        <v>573</v>
      </c>
      <c r="D2037" s="2" t="str">
        <f t="shared" si="30"/>
        <v>Error?</v>
      </c>
    </row>
    <row r="2038" spans="1:4" x14ac:dyDescent="0.2">
      <c r="A2038" s="10">
        <v>1977</v>
      </c>
      <c r="D2038" s="2" t="str">
        <f t="shared" si="30"/>
        <v>OK</v>
      </c>
    </row>
    <row r="2039" spans="1:4" x14ac:dyDescent="0.2">
      <c r="A2039" s="5">
        <v>1978</v>
      </c>
      <c r="B2039" s="138">
        <f>'Cap Outlay Deprec 26'!I8</f>
        <v>17730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51379</v>
      </c>
      <c r="D2041" s="2" t="str">
        <f t="shared" si="30"/>
        <v>Error?</v>
      </c>
    </row>
    <row r="2042" spans="1:4" x14ac:dyDescent="0.2">
      <c r="A2042" s="5">
        <v>1981</v>
      </c>
      <c r="B2042" s="138">
        <f>'Cap Outlay Deprec 26'!I13</f>
        <v>1873</v>
      </c>
      <c r="D2042" s="2" t="str">
        <f t="shared" si="30"/>
        <v>Error?</v>
      </c>
    </row>
    <row r="2043" spans="1:4" x14ac:dyDescent="0.2">
      <c r="A2043" s="5">
        <v>1982</v>
      </c>
      <c r="B2043" s="138">
        <f>'Cap Outlay Deprec 26'!I16</f>
        <v>72654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194675</v>
      </c>
      <c r="D2048" s="2" t="str">
        <f t="shared" si="31"/>
        <v>Error?</v>
      </c>
    </row>
    <row r="2049" spans="1:4" x14ac:dyDescent="0.2">
      <c r="A2049" s="5">
        <v>1988</v>
      </c>
      <c r="B2049" s="138">
        <f>'Cap Outlay Deprec 26'!J16</f>
        <v>194675</v>
      </c>
      <c r="C2049" s="2" t="s">
        <v>573</v>
      </c>
      <c r="D2049" s="2" t="str">
        <f t="shared" si="31"/>
        <v>Error?</v>
      </c>
    </row>
    <row r="2050" spans="1:4" x14ac:dyDescent="0.2">
      <c r="A2050" s="10">
        <v>1989</v>
      </c>
      <c r="D2050" s="2" t="str">
        <f t="shared" si="31"/>
        <v>OK</v>
      </c>
    </row>
    <row r="2051" spans="1:4" x14ac:dyDescent="0.2">
      <c r="A2051" s="5">
        <v>1990</v>
      </c>
      <c r="B2051" s="138">
        <f>'Cap Outlay Deprec 26'!K8</f>
        <v>517583</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618719</v>
      </c>
      <c r="C2053" s="2" t="s">
        <v>573</v>
      </c>
      <c r="D2053" s="2" t="str">
        <f t="shared" si="31"/>
        <v>Error?</v>
      </c>
    </row>
    <row r="2054" spans="1:4" x14ac:dyDescent="0.2">
      <c r="A2054" s="5">
        <v>1993</v>
      </c>
      <c r="B2054" s="138">
        <f>'Cap Outlay Deprec 26'!K13</f>
        <v>50673</v>
      </c>
      <c r="C2054" s="2" t="s">
        <v>573</v>
      </c>
      <c r="D2054" s="2" t="str">
        <f t="shared" si="31"/>
        <v>Error?</v>
      </c>
    </row>
    <row r="2055" spans="1:4" x14ac:dyDescent="0.2">
      <c r="A2055" s="5">
        <v>1994</v>
      </c>
      <c r="B2055" s="138">
        <f>'Cap Outlay Deprec 26'!K16</f>
        <v>1194992</v>
      </c>
      <c r="C2055" s="2" t="s">
        <v>573</v>
      </c>
      <c r="D2055" s="2" t="str">
        <f t="shared" si="31"/>
        <v>Error?</v>
      </c>
    </row>
    <row r="2056" spans="1:4" x14ac:dyDescent="0.2">
      <c r="A2056" s="5">
        <v>1995</v>
      </c>
      <c r="B2056" s="138">
        <f>'Cap Outlay Deprec 26'!L5</f>
        <v>3200</v>
      </c>
      <c r="C2056" s="2" t="s">
        <v>573</v>
      </c>
      <c r="D2056" s="2" t="str">
        <f t="shared" si="31"/>
        <v>Error?</v>
      </c>
    </row>
    <row r="2057" spans="1:4" x14ac:dyDescent="0.2">
      <c r="A2057" s="5">
        <v>1996</v>
      </c>
      <c r="B2057" s="138">
        <f>'Cap Outlay Deprec 26'!L8</f>
        <v>297262</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214826</v>
      </c>
      <c r="C2060" s="2" t="s">
        <v>573</v>
      </c>
      <c r="D2060" s="2" t="str">
        <f t="shared" si="31"/>
        <v>Error?</v>
      </c>
    </row>
    <row r="2061" spans="1:4" x14ac:dyDescent="0.2">
      <c r="A2061" s="5">
        <v>2000</v>
      </c>
      <c r="B2061" s="138">
        <f>'Cap Outlay Deprec 26'!L16</f>
        <v>515288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31579</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31579</v>
      </c>
      <c r="C2088" s="2" t="s">
        <v>573</v>
      </c>
      <c r="D2088" s="2" t="str">
        <f t="shared" si="31"/>
        <v>Error?</v>
      </c>
    </row>
    <row r="2089" spans="1:4" x14ac:dyDescent="0.2">
      <c r="A2089" s="5">
        <v>2028</v>
      </c>
      <c r="B2089" s="138">
        <f>'Expenditures 15-22'!K92</f>
        <v>46923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35050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67019</v>
      </c>
      <c r="D2475" s="2" t="str">
        <f t="shared" si="37"/>
        <v>Error?</v>
      </c>
    </row>
    <row r="2476" spans="1:4" x14ac:dyDescent="0.2">
      <c r="A2476" s="10">
        <v>2415</v>
      </c>
      <c r="D2476" s="2" t="str">
        <f t="shared" si="37"/>
        <v>OK</v>
      </c>
    </row>
    <row r="2477" spans="1:4" x14ac:dyDescent="0.2">
      <c r="A2477" s="5">
        <v>2416</v>
      </c>
      <c r="B2477" s="138">
        <f>'Assets-Liab 5-6'!G38</f>
        <v>67808</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339731</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356049</v>
      </c>
      <c r="C2551" s="2" t="s">
        <v>573</v>
      </c>
      <c r="D2551" s="2" t="str">
        <f t="shared" si="38"/>
        <v>Error?</v>
      </c>
    </row>
    <row r="2552" spans="1:4" x14ac:dyDescent="0.2">
      <c r="A2552" s="10">
        <v>2491</v>
      </c>
      <c r="D2552" s="2" t="str">
        <f t="shared" si="38"/>
        <v>OK</v>
      </c>
    </row>
    <row r="2553" spans="1:4" x14ac:dyDescent="0.2">
      <c r="A2553" s="5">
        <v>2492</v>
      </c>
      <c r="B2553" s="138">
        <f>'Acct Summary 7-8'!C6</f>
        <v>725872</v>
      </c>
      <c r="C2553" s="2" t="s">
        <v>573</v>
      </c>
      <c r="D2553" s="2" t="str">
        <f t="shared" si="38"/>
        <v>Error?</v>
      </c>
    </row>
    <row r="2554" spans="1:4" x14ac:dyDescent="0.2">
      <c r="A2554" s="5">
        <v>2493</v>
      </c>
      <c r="B2554" s="138">
        <f>'Acct Summary 7-8'!C7</f>
        <v>141918</v>
      </c>
      <c r="C2554" s="2" t="s">
        <v>573</v>
      </c>
      <c r="D2554" s="2" t="str">
        <f t="shared" si="38"/>
        <v>Error?</v>
      </c>
    </row>
    <row r="2555" spans="1:4" x14ac:dyDescent="0.2">
      <c r="A2555" s="5">
        <v>2494</v>
      </c>
      <c r="B2555" s="138">
        <f>'Acct Summary 7-8'!C8</f>
        <v>1223839</v>
      </c>
      <c r="C2555" s="2" t="s">
        <v>573</v>
      </c>
      <c r="D2555" s="2" t="str">
        <f t="shared" si="38"/>
        <v>Error?</v>
      </c>
    </row>
    <row r="2556" spans="1:4" x14ac:dyDescent="0.2">
      <c r="A2556" s="5">
        <v>2495</v>
      </c>
      <c r="B2556" s="138">
        <f>'Acct Summary 7-8'!C12</f>
        <v>976787</v>
      </c>
      <c r="C2556" s="2" t="s">
        <v>573</v>
      </c>
      <c r="D2556" s="2" t="str">
        <f t="shared" si="38"/>
        <v>Error?</v>
      </c>
    </row>
    <row r="2557" spans="1:4" x14ac:dyDescent="0.2">
      <c r="A2557" s="5">
        <v>2496</v>
      </c>
      <c r="B2557" s="138">
        <f>'Acct Summary 7-8'!C13</f>
        <v>276239</v>
      </c>
      <c r="C2557" s="2" t="s">
        <v>573</v>
      </c>
      <c r="D2557" s="2" t="str">
        <f t="shared" si="38"/>
        <v>Error?</v>
      </c>
    </row>
    <row r="2558" spans="1:4" x14ac:dyDescent="0.2">
      <c r="A2558" s="5">
        <v>2497</v>
      </c>
      <c r="B2558" s="138">
        <f>'Acct Summary 7-8'!C14</f>
        <v>9711</v>
      </c>
      <c r="C2558" s="2" t="s">
        <v>573</v>
      </c>
      <c r="D2558" s="2" t="str">
        <f t="shared" si="38"/>
        <v>Error?</v>
      </c>
    </row>
    <row r="2559" spans="1:4" x14ac:dyDescent="0.2">
      <c r="A2559" s="5">
        <v>2498</v>
      </c>
      <c r="B2559" s="138">
        <f>'Acct Summary 7-8'!C15</f>
        <v>78502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1341239</v>
      </c>
      <c r="C2561" s="2" t="s">
        <v>573</v>
      </c>
      <c r="D2561" s="2" t="str">
        <f t="shared" si="39"/>
        <v>Error?</v>
      </c>
    </row>
    <row r="2562" spans="1:4" x14ac:dyDescent="0.2">
      <c r="A2562" s="5">
        <v>2501</v>
      </c>
      <c r="B2562" s="138">
        <f>'Acct Summary 7-8'!C20</f>
        <v>-117400</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37844</v>
      </c>
      <c r="C2564" s="2" t="s">
        <v>573</v>
      </c>
      <c r="D2564" s="2" t="str">
        <f t="shared" si="39"/>
        <v>Error?</v>
      </c>
    </row>
    <row r="2565" spans="1:4" x14ac:dyDescent="0.2">
      <c r="A2565" s="10">
        <v>2504</v>
      </c>
      <c r="D2565" s="2" t="str">
        <f t="shared" si="39"/>
        <v>OK</v>
      </c>
    </row>
    <row r="2566" spans="1:4" x14ac:dyDescent="0.2">
      <c r="A2566" s="5">
        <v>2505</v>
      </c>
      <c r="B2566" s="138">
        <f>'Acct Summary 7-8'!D6</f>
        <v>111000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148844</v>
      </c>
      <c r="C2568" s="2" t="s">
        <v>573</v>
      </c>
      <c r="D2568" s="2" t="str">
        <f t="shared" si="39"/>
        <v>Error?</v>
      </c>
    </row>
    <row r="2569" spans="1:4" x14ac:dyDescent="0.2">
      <c r="A2569" s="5">
        <v>2508</v>
      </c>
      <c r="B2569" s="138">
        <f>'Acct Summary 7-8'!D13</f>
        <v>147246</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147246</v>
      </c>
      <c r="C2573" s="2" t="s">
        <v>573</v>
      </c>
      <c r="D2573" s="2" t="str">
        <f t="shared" si="39"/>
        <v>Error?</v>
      </c>
    </row>
    <row r="2574" spans="1:4" x14ac:dyDescent="0.2">
      <c r="A2574" s="5">
        <v>2513</v>
      </c>
      <c r="B2574" s="138">
        <f>'Acct Summary 7-8'!D20</f>
        <v>1598</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38877</v>
      </c>
      <c r="C2591" s="2" t="s">
        <v>573</v>
      </c>
      <c r="D2591" s="2" t="str">
        <f t="shared" si="39"/>
        <v>Error?</v>
      </c>
    </row>
    <row r="2592" spans="1:4" x14ac:dyDescent="0.2">
      <c r="A2592" s="10">
        <v>2531</v>
      </c>
      <c r="D2592" s="2" t="str">
        <f t="shared" si="39"/>
        <v>OK</v>
      </c>
    </row>
    <row r="2593" spans="1:4" x14ac:dyDescent="0.2">
      <c r="A2593" s="5">
        <v>2532</v>
      </c>
      <c r="B2593" s="138">
        <f>'Acct Summary 7-8'!F6</f>
        <v>58161</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97038</v>
      </c>
      <c r="C2595" s="2" t="s">
        <v>573</v>
      </c>
      <c r="D2595" s="2" t="str">
        <f t="shared" si="39"/>
        <v>Error?</v>
      </c>
    </row>
    <row r="2596" spans="1:4" x14ac:dyDescent="0.2">
      <c r="A2596" s="5">
        <v>2535</v>
      </c>
      <c r="B2596" s="138">
        <f>'Acct Summary 7-8'!F13</f>
        <v>106311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106311</v>
      </c>
      <c r="C2600" s="2" t="s">
        <v>573</v>
      </c>
      <c r="D2600" s="2" t="str">
        <f t="shared" si="39"/>
        <v>Error?</v>
      </c>
    </row>
    <row r="2601" spans="1:4" x14ac:dyDescent="0.2">
      <c r="A2601" s="5">
        <v>2540</v>
      </c>
      <c r="B2601" s="138">
        <f>'Acct Summary 7-8'!F20</f>
        <v>-9273</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56998</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56998</v>
      </c>
      <c r="C2606" s="2" t="s">
        <v>573</v>
      </c>
      <c r="D2606" s="2" t="str">
        <f t="shared" si="39"/>
        <v>Error?</v>
      </c>
    </row>
    <row r="2607" spans="1:4" x14ac:dyDescent="0.2">
      <c r="A2607" s="5">
        <v>2546</v>
      </c>
      <c r="B2607" s="138">
        <f>'Acct Summary 7-8'!G12</f>
        <v>19344</v>
      </c>
      <c r="C2607" s="2" t="s">
        <v>573</v>
      </c>
      <c r="D2607" s="2" t="str">
        <f t="shared" si="39"/>
        <v>Error?</v>
      </c>
    </row>
    <row r="2608" spans="1:4" x14ac:dyDescent="0.2">
      <c r="A2608" s="5">
        <v>2547</v>
      </c>
      <c r="B2608" s="138">
        <f>'Acct Summary 7-8'!G13</f>
        <v>31701</v>
      </c>
      <c r="C2608" s="2" t="s">
        <v>573</v>
      </c>
      <c r="D2608" s="2" t="str">
        <f t="shared" si="39"/>
        <v>Error?</v>
      </c>
    </row>
    <row r="2609" spans="1:4" x14ac:dyDescent="0.2">
      <c r="A2609" s="5">
        <v>2548</v>
      </c>
      <c r="B2609" s="138">
        <f>'Acct Summary 7-8'!G14</f>
        <v>1628</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52673</v>
      </c>
      <c r="C2612" s="2" t="s">
        <v>573</v>
      </c>
      <c r="D2612" s="2" t="str">
        <f t="shared" si="39"/>
        <v>Error?</v>
      </c>
    </row>
    <row r="2613" spans="1:4" x14ac:dyDescent="0.2">
      <c r="A2613" s="5">
        <v>2552</v>
      </c>
      <c r="B2613" s="138">
        <f>'Acct Summary 7-8'!G20</f>
        <v>4325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96262</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96262</v>
      </c>
      <c r="C2658" s="2" t="s">
        <v>573</v>
      </c>
      <c r="D2658" s="2" t="str">
        <f t="shared" si="40"/>
        <v>Error?</v>
      </c>
    </row>
    <row r="2659" spans="1:4" x14ac:dyDescent="0.2">
      <c r="A2659" s="5">
        <v>2598</v>
      </c>
      <c r="B2659" s="138">
        <f>'Acct Summary 7-8'!H13</f>
        <v>39438</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39438</v>
      </c>
      <c r="C2661" s="2" t="s">
        <v>573</v>
      </c>
      <c r="D2661" s="2" t="str">
        <f t="shared" si="40"/>
        <v>Error?</v>
      </c>
    </row>
    <row r="2662" spans="1:4" x14ac:dyDescent="0.2">
      <c r="A2662" s="5">
        <v>2601</v>
      </c>
      <c r="B2662" s="138">
        <f>'Acct Summary 7-8'!H20</f>
        <v>56824</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9083</v>
      </c>
      <c r="D2860" s="2" t="str">
        <f t="shared" si="43"/>
        <v>Error?</v>
      </c>
    </row>
    <row r="2861" spans="1:4" x14ac:dyDescent="0.2">
      <c r="A2861" s="10">
        <v>2800</v>
      </c>
      <c r="D2861" s="2" t="str">
        <f t="shared" si="43"/>
        <v>OK</v>
      </c>
    </row>
    <row r="2862" spans="1:4" x14ac:dyDescent="0.2">
      <c r="A2862" s="5">
        <v>2801</v>
      </c>
      <c r="B2862" s="138">
        <f>'ICR Computation 30'!E9</f>
        <v>156958</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51877</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51954</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7090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51954</v>
      </c>
      <c r="D2912" s="2" t="str">
        <f t="shared" si="44"/>
        <v>Error?</v>
      </c>
    </row>
    <row r="2913" spans="1:4" x14ac:dyDescent="0.2">
      <c r="A2913" s="5">
        <v>2852</v>
      </c>
      <c r="B2913" s="138">
        <f>'Assets-Liab 5-6'!I41</f>
        <v>51954</v>
      </c>
      <c r="C2913" s="2" t="s">
        <v>573</v>
      </c>
      <c r="D2913" s="2" t="str">
        <f t="shared" si="44"/>
        <v>Error?</v>
      </c>
    </row>
    <row r="2914" spans="1:4" x14ac:dyDescent="0.2">
      <c r="A2914" s="5">
        <v>2853</v>
      </c>
      <c r="B2914" s="138">
        <f>'Assets-Liab 5-6'!L33</f>
        <v>7090</v>
      </c>
      <c r="D2914" s="2" t="str">
        <f t="shared" si="44"/>
        <v>Error?</v>
      </c>
    </row>
    <row r="2915" spans="1:4" x14ac:dyDescent="0.2">
      <c r="A2915" s="10">
        <v>2854</v>
      </c>
      <c r="D2915" s="2" t="str">
        <f t="shared" si="44"/>
        <v>OK</v>
      </c>
    </row>
    <row r="2916" spans="1:4" x14ac:dyDescent="0.2">
      <c r="A2916" s="5">
        <v>2855</v>
      </c>
      <c r="B2916" s="138">
        <f>'Assets-Liab 5-6'!L34</f>
        <v>7090</v>
      </c>
      <c r="C2916" s="2" t="s">
        <v>573</v>
      </c>
      <c r="D2916" s="2" t="str">
        <f t="shared" si="44"/>
        <v>Error?</v>
      </c>
    </row>
    <row r="2917" spans="1:4" x14ac:dyDescent="0.2">
      <c r="A2917" s="5">
        <v>2856</v>
      </c>
      <c r="B2917" s="138">
        <f>'Assets-Liab 5-6'!L41</f>
        <v>7090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31579</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31579</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31750</v>
      </c>
      <c r="D3055" s="2" t="str">
        <f t="shared" si="46"/>
        <v>Error?</v>
      </c>
    </row>
    <row r="3056" spans="1:4" x14ac:dyDescent="0.2">
      <c r="A3056" s="5">
        <v>2995</v>
      </c>
      <c r="B3056" s="138">
        <f>'Expenditures 15-22'!D10</f>
        <v>6772</v>
      </c>
      <c r="D3056" s="2" t="str">
        <f t="shared" si="46"/>
        <v>Error?</v>
      </c>
    </row>
    <row r="3057" spans="1:4" x14ac:dyDescent="0.2">
      <c r="A3057" s="5">
        <v>2996</v>
      </c>
      <c r="B3057" s="138">
        <f>'Expenditures 15-22'!E10</f>
        <v>1708</v>
      </c>
      <c r="D3057" s="2" t="str">
        <f t="shared" si="46"/>
        <v>Error?</v>
      </c>
    </row>
    <row r="3058" spans="1:4" x14ac:dyDescent="0.2">
      <c r="A3058" s="5">
        <v>2997</v>
      </c>
      <c r="B3058" s="138">
        <f>'Expenditures 15-22'!F10</f>
        <v>472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40702</v>
      </c>
      <c r="C3062" s="2" t="s">
        <v>573</v>
      </c>
      <c r="D3062" s="2" t="str">
        <f t="shared" si="46"/>
        <v>Error?</v>
      </c>
    </row>
    <row r="3063" spans="1:4" x14ac:dyDescent="0.2">
      <c r="A3063" s="10">
        <v>3002</v>
      </c>
      <c r="D3063" s="2" t="str">
        <f t="shared" si="46"/>
        <v>OK</v>
      </c>
    </row>
    <row r="3064" spans="1:4" x14ac:dyDescent="0.2">
      <c r="A3064" s="5">
        <v>3003</v>
      </c>
      <c r="B3064" s="138">
        <f>'Expenditures 15-22'!D219</f>
        <v>460</v>
      </c>
      <c r="D3064" s="2" t="str">
        <f t="shared" si="46"/>
        <v>Error?</v>
      </c>
    </row>
    <row r="3065" spans="1:4" x14ac:dyDescent="0.2">
      <c r="A3065" s="5">
        <v>3004</v>
      </c>
      <c r="B3065" s="138">
        <f>'Expenditures 15-22'!K219</f>
        <v>460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5494</v>
      </c>
      <c r="C3225" s="2" t="s">
        <v>573</v>
      </c>
      <c r="D3225" s="2" t="str">
        <f t="shared" si="49"/>
        <v>Error?</v>
      </c>
    </row>
    <row r="3226" spans="1:4" x14ac:dyDescent="0.2">
      <c r="A3226" s="5">
        <v>3165</v>
      </c>
      <c r="B3226" s="138">
        <f>'Acct Summary 7-8'!I8</f>
        <v>5494</v>
      </c>
      <c r="C3226" s="2" t="s">
        <v>573</v>
      </c>
      <c r="D3226" s="2" t="str">
        <f t="shared" si="49"/>
        <v>Error?</v>
      </c>
    </row>
    <row r="3227" spans="1:4" x14ac:dyDescent="0.2">
      <c r="A3227" s="5">
        <v>3166</v>
      </c>
      <c r="B3227" s="138">
        <f>'Acct Summary 7-8'!I20</f>
        <v>5494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35050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35050</v>
      </c>
      <c r="C3232" s="2" t="s">
        <v>573</v>
      </c>
      <c r="D3232" s="2" t="str">
        <f t="shared" si="49"/>
        <v>Error?</v>
      </c>
    </row>
    <row r="3233" spans="1:4" x14ac:dyDescent="0.2">
      <c r="A3233" s="5">
        <v>3172</v>
      </c>
      <c r="B3233" s="138">
        <f>'Acct Summary 7-8'!C78</f>
        <v>-82350</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1598</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-9273</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4325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56824</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35050</v>
      </c>
      <c r="C3318" s="2" t="s">
        <v>573</v>
      </c>
      <c r="D3318" s="2" t="str">
        <f t="shared" si="50"/>
        <v>Error?</v>
      </c>
    </row>
    <row r="3319" spans="1:4" x14ac:dyDescent="0.2">
      <c r="A3319" s="5">
        <v>3258</v>
      </c>
      <c r="B3319" s="138">
        <f>'Acct Summary 7-8'!I77</f>
        <v>-35050</v>
      </c>
      <c r="C3319" s="2" t="s">
        <v>573</v>
      </c>
      <c r="D3319" s="2" t="str">
        <f t="shared" si="50"/>
        <v>Error?</v>
      </c>
    </row>
    <row r="3320" spans="1:4" x14ac:dyDescent="0.2">
      <c r="A3320" s="5">
        <v>3259</v>
      </c>
      <c r="B3320" s="138">
        <f>'Acct Summary 7-8'!I78</f>
        <v>-29556</v>
      </c>
      <c r="C3320" s="2" t="s">
        <v>573</v>
      </c>
      <c r="D3320" s="2" t="str">
        <f t="shared" si="50"/>
        <v>Error?</v>
      </c>
    </row>
    <row r="3321" spans="1:4" x14ac:dyDescent="0.2">
      <c r="A3321" s="5">
        <v>3260</v>
      </c>
      <c r="B3321" s="138">
        <f>'Acct Summary 7-8'!I79</f>
        <v>81510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51954</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100942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12428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113370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11313</v>
      </c>
      <c r="D3387" s="2" t="str">
        <f t="shared" si="51"/>
        <v>Error?</v>
      </c>
    </row>
    <row r="3388" spans="1:4" x14ac:dyDescent="0.2">
      <c r="A3388" s="5">
        <v>3327</v>
      </c>
      <c r="B3388" s="138">
        <f>'Expenditures 15-22'!D217</f>
        <v>3499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11313</v>
      </c>
      <c r="C3390" s="2" t="s">
        <v>573</v>
      </c>
      <c r="D3390" s="2" t="str">
        <f t="shared" si="51"/>
        <v>Error?</v>
      </c>
    </row>
    <row r="3391" spans="1:4" x14ac:dyDescent="0.2">
      <c r="A3391" s="5">
        <v>3330</v>
      </c>
      <c r="B3391" s="138">
        <f>'Expenditures 15-22'!K217</f>
        <v>3499</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12112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11199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67808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175398</v>
      </c>
      <c r="D3425" s="2" t="str">
        <f t="shared" si="52"/>
        <v>Error?</v>
      </c>
    </row>
    <row r="3426" spans="1:4" x14ac:dyDescent="0.2">
      <c r="A3426" s="10">
        <v>3365</v>
      </c>
      <c r="D3426" s="2" t="str">
        <f t="shared" si="52"/>
        <v>OK</v>
      </c>
    </row>
    <row r="3427" spans="1:4" x14ac:dyDescent="0.2">
      <c r="A3427" s="5">
        <v>3366</v>
      </c>
      <c r="B3427" s="138">
        <f>'Assets-Liab 5-6'!I4</f>
        <v>77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7090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26163</v>
      </c>
      <c r="C3446" s="2" t="s">
        <v>573</v>
      </c>
      <c r="D3446" s="2" t="str">
        <f t="shared" si="52"/>
        <v>Error?</v>
      </c>
    </row>
    <row r="3447" spans="1:4" x14ac:dyDescent="0.2">
      <c r="A3447" s="5">
        <v>3386</v>
      </c>
      <c r="B3447" s="138">
        <f>'Tax Sched 23'!D16</f>
        <v>26163</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26236</v>
      </c>
      <c r="C3449" s="2" t="s">
        <v>573</v>
      </c>
      <c r="D3449" s="2" t="str">
        <f t="shared" si="52"/>
        <v>Error?</v>
      </c>
    </row>
    <row r="3450" spans="1:4" x14ac:dyDescent="0.2">
      <c r="A3450" s="5">
        <v>3389</v>
      </c>
      <c r="B3450" s="138">
        <f>'Tax Sched 23'!E16</f>
        <v>26236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22603</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22603</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22603</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22603</v>
      </c>
      <c r="C3568" s="2" t="s">
        <v>573</v>
      </c>
      <c r="D3568" s="2" t="str">
        <f t="shared" si="54"/>
        <v>Error?</v>
      </c>
    </row>
    <row r="3569" spans="1:4" x14ac:dyDescent="0.2">
      <c r="A3569" s="5">
        <v>3508</v>
      </c>
      <c r="B3569" s="138">
        <f>'Acct Summary 7-8'!K4</f>
        <v>990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990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990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990</v>
      </c>
      <c r="C3588" s="2" t="s">
        <v>573</v>
      </c>
      <c r="D3588" s="2" t="str">
        <f t="shared" si="55"/>
        <v>Error?</v>
      </c>
    </row>
    <row r="3589" spans="1:4" x14ac:dyDescent="0.2">
      <c r="A3589" s="5">
        <v>3528</v>
      </c>
      <c r="B3589" s="138">
        <f>'Acct Summary 7-8'!K79</f>
        <v>21613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22603</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990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10187</v>
      </c>
      <c r="C3725" s="2" t="s">
        <v>573</v>
      </c>
      <c r="D3725" s="2" t="str">
        <f t="shared" si="57"/>
        <v>Error?</v>
      </c>
    </row>
    <row r="3726" spans="1:4" x14ac:dyDescent="0.2">
      <c r="A3726" s="5">
        <v>3665</v>
      </c>
      <c r="B3726" s="138">
        <f>'Tax Sched 23'!D13</f>
        <v>10187</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10218</v>
      </c>
      <c r="C3728" s="2" t="s">
        <v>573</v>
      </c>
      <c r="D3728" s="2" t="str">
        <f t="shared" si="57"/>
        <v>Error?</v>
      </c>
    </row>
    <row r="3729" spans="1:4" x14ac:dyDescent="0.2">
      <c r="A3729" s="5">
        <v>3668</v>
      </c>
      <c r="B3729" s="138">
        <f>'Tax Sched 23'!E13</f>
        <v>10218</v>
      </c>
      <c r="D3729" s="2" t="str">
        <f t="shared" si="57"/>
        <v>Error?</v>
      </c>
    </row>
    <row r="3730" spans="1:4" x14ac:dyDescent="0.2">
      <c r="A3730" s="5">
        <v>3669</v>
      </c>
      <c r="B3730" s="138">
        <f>'ICR Computation 30'!E10</f>
        <v>55706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742863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1966702</v>
      </c>
      <c r="C4122" s="2" t="s">
        <v>573</v>
      </c>
      <c r="D4122" s="2" t="str">
        <f t="shared" si="63"/>
        <v>Error?</v>
      </c>
    </row>
    <row r="4123" spans="1:4" x14ac:dyDescent="0.2">
      <c r="A4123" s="5">
        <v>4062</v>
      </c>
      <c r="B4123" s="138">
        <f>'Acct Summary 7-8'!D10</f>
        <v>148844</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97038</v>
      </c>
      <c r="C4125" s="2" t="s">
        <v>573</v>
      </c>
      <c r="D4125" s="2" t="str">
        <f t="shared" si="63"/>
        <v>Error?</v>
      </c>
    </row>
    <row r="4126" spans="1:4" x14ac:dyDescent="0.2">
      <c r="A4126" s="5">
        <v>4065</v>
      </c>
      <c r="B4126" s="138">
        <f>'Acct Summary 7-8'!G10</f>
        <v>56998</v>
      </c>
      <c r="C4126" s="2" t="s">
        <v>573</v>
      </c>
      <c r="D4126" s="2" t="str">
        <f t="shared" si="63"/>
        <v>Error?</v>
      </c>
    </row>
    <row r="4127" spans="1:4" x14ac:dyDescent="0.2">
      <c r="A4127" s="5">
        <v>4066</v>
      </c>
      <c r="B4127" s="138">
        <f>'Acct Summary 7-8'!H10</f>
        <v>96262</v>
      </c>
      <c r="C4127" s="2" t="s">
        <v>573</v>
      </c>
      <c r="D4127" s="2" t="str">
        <f t="shared" si="63"/>
        <v>Error?</v>
      </c>
    </row>
    <row r="4128" spans="1:4" x14ac:dyDescent="0.2">
      <c r="A4128" s="5">
        <v>4067</v>
      </c>
      <c r="B4128" s="138">
        <f>'Acct Summary 7-8'!I10</f>
        <v>5494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990</v>
      </c>
      <c r="C4130" s="2" t="s">
        <v>573</v>
      </c>
      <c r="D4130" s="2" t="str">
        <f t="shared" si="63"/>
        <v>Error?</v>
      </c>
    </row>
    <row r="4131" spans="1:4" x14ac:dyDescent="0.2">
      <c r="A4131" s="5">
        <v>4070</v>
      </c>
      <c r="B4131" s="138">
        <f>'Acct Summary 7-8'!C18</f>
        <v>742863</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2084102</v>
      </c>
      <c r="C4136" s="2" t="s">
        <v>573</v>
      </c>
      <c r="D4136" s="2" t="str">
        <f t="shared" si="63"/>
        <v>Error?</v>
      </c>
    </row>
    <row r="4137" spans="1:4" x14ac:dyDescent="0.2">
      <c r="A4137" s="5">
        <v>4076</v>
      </c>
      <c r="B4137" s="138">
        <f>'Acct Summary 7-8'!D19</f>
        <v>147246</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106311</v>
      </c>
      <c r="C4139" s="2" t="s">
        <v>573</v>
      </c>
      <c r="D4139" s="2" t="str">
        <f t="shared" si="63"/>
        <v>Error?</v>
      </c>
    </row>
    <row r="4140" spans="1:4" x14ac:dyDescent="0.2">
      <c r="A4140" s="5">
        <v>4079</v>
      </c>
      <c r="B4140" s="138">
        <f>'Acct Summary 7-8'!G19</f>
        <v>52673</v>
      </c>
      <c r="C4140" s="2" t="s">
        <v>573</v>
      </c>
      <c r="D4140" s="2" t="str">
        <f t="shared" si="63"/>
        <v>Error?</v>
      </c>
    </row>
    <row r="4141" spans="1:4" x14ac:dyDescent="0.2">
      <c r="A4141" s="5">
        <v>4080</v>
      </c>
      <c r="B4141" s="138">
        <f>'Acct Summary 7-8'!H19</f>
        <v>39438</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1651.5800000000002</v>
      </c>
      <c r="C4265" s="2" t="s">
        <v>573</v>
      </c>
      <c r="D4265" s="2" t="str">
        <f t="shared" si="65"/>
        <v>Error?</v>
      </c>
      <c r="E4265" s="128"/>
    </row>
    <row r="4266" spans="1:5" x14ac:dyDescent="0.2">
      <c r="A4266" s="12">
        <v>4205</v>
      </c>
      <c r="B4266" s="138">
        <f>('FP Info 3'!F10)*100000</f>
        <v>185.33</v>
      </c>
      <c r="C4266" s="2" t="s">
        <v>573</v>
      </c>
      <c r="D4266" s="2" t="str">
        <f t="shared" si="65"/>
        <v>Error?</v>
      </c>
      <c r="E4266" s="128"/>
    </row>
    <row r="4267" spans="1:5" x14ac:dyDescent="0.2">
      <c r="A4267" s="12">
        <v>4206</v>
      </c>
      <c r="B4267" s="138">
        <f>('FP Info 3'!H10)*100000</f>
        <v>84.929999999999993</v>
      </c>
      <c r="C4267" s="2" t="s">
        <v>573</v>
      </c>
      <c r="D4267" s="2" t="str">
        <f t="shared" si="65"/>
        <v>Error?</v>
      </c>
      <c r="E4267" s="128"/>
    </row>
    <row r="4268" spans="1:5" x14ac:dyDescent="0.2">
      <c r="A4268" s="12">
        <v>4207</v>
      </c>
      <c r="B4268" s="138">
        <f>('FP Info 3'!J10)*100000</f>
        <v>1922</v>
      </c>
      <c r="C4268" s="2" t="s">
        <v>573</v>
      </c>
      <c r="D4268" s="2" t="str">
        <f t="shared" si="65"/>
        <v>Error?</v>
      </c>
    </row>
    <row r="4269" spans="1:5" x14ac:dyDescent="0.2">
      <c r="A4269" s="12">
        <v>4208</v>
      </c>
      <c r="B4269" s="138">
        <f>'FP Info 3'!J16</f>
        <v>239841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4158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11628</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2667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35.42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13420624</v>
      </c>
      <c r="D4995" s="2" t="str">
        <f t="shared" si="77"/>
        <v>Error?</v>
      </c>
    </row>
    <row r="4996" spans="1:4" x14ac:dyDescent="0.2">
      <c r="A4996" s="12">
        <v>4935</v>
      </c>
      <c r="B4996" s="138">
        <f>'FP Info 3'!H31</f>
        <v>926023.0560000001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214135</v>
      </c>
      <c r="D5061" s="2" t="str">
        <f t="shared" si="78"/>
        <v>Error?</v>
      </c>
    </row>
    <row r="5062" spans="1:4" x14ac:dyDescent="0.2">
      <c r="A5062" s="10">
        <v>5001</v>
      </c>
      <c r="D5062" s="2" t="str">
        <f t="shared" si="78"/>
        <v>OK</v>
      </c>
    </row>
    <row r="5063" spans="1:4" x14ac:dyDescent="0.2">
      <c r="A5063" s="5">
        <v>5002</v>
      </c>
      <c r="B5063" s="138">
        <f>'Revenues 9-14'!C7</f>
        <v>6524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220659</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51545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51545</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2398</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2398</v>
      </c>
      <c r="C5087" s="2" t="s">
        <v>573</v>
      </c>
      <c r="D5087" s="2" t="str">
        <f t="shared" si="78"/>
        <v>Error?</v>
      </c>
    </row>
    <row r="5088" spans="1:4" x14ac:dyDescent="0.2">
      <c r="A5088" s="5">
        <v>5027</v>
      </c>
      <c r="B5088" s="138">
        <f>'Revenues 9-14'!C65</f>
        <v>1847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1847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3921</v>
      </c>
      <c r="D5093" s="2" t="str">
        <f t="shared" si="78"/>
        <v>Error?</v>
      </c>
    </row>
    <row r="5094" spans="1:4" x14ac:dyDescent="0.2">
      <c r="A5094" s="5">
        <v>5033</v>
      </c>
      <c r="B5094" s="138">
        <f>'Revenues 9-14'!C73</f>
        <v>899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24381</v>
      </c>
      <c r="C5096" s="2" t="s">
        <v>573</v>
      </c>
      <c r="D5096" s="2" t="str">
        <f t="shared" si="78"/>
        <v>Error?</v>
      </c>
    </row>
    <row r="5097" spans="1:4" x14ac:dyDescent="0.2">
      <c r="A5097" s="5">
        <v>5036</v>
      </c>
      <c r="B5097" s="138">
        <f>'Revenues 9-14'!C77</f>
        <v>6376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2070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8446</v>
      </c>
      <c r="C5102" s="2" t="s">
        <v>573</v>
      </c>
      <c r="D5102" s="2" t="str">
        <f t="shared" si="78"/>
        <v>Error?</v>
      </c>
    </row>
    <row r="5103" spans="1:4" x14ac:dyDescent="0.2">
      <c r="A5103" s="5">
        <v>5042</v>
      </c>
      <c r="B5103" s="138">
        <f>'Revenues 9-14'!C84</f>
        <v>4652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4652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11368</v>
      </c>
      <c r="D5118" s="2" t="str">
        <f t="shared" si="78"/>
        <v>Error?</v>
      </c>
    </row>
    <row r="5119" spans="1:4" x14ac:dyDescent="0.2">
      <c r="A5119" s="5">
        <v>5058</v>
      </c>
      <c r="B5119" s="138">
        <f>'Revenues 9-14'!C107</f>
        <v>30753</v>
      </c>
      <c r="D5119" s="2" t="str">
        <f t="shared" ref="D5119:D5182" si="79">IF(ISBLANK(B5119),"OK",IF(A5119-B5119=0,"OK","Error?"))</f>
        <v>Error?</v>
      </c>
    </row>
    <row r="5120" spans="1:4" x14ac:dyDescent="0.2">
      <c r="A5120" s="5">
        <v>5059</v>
      </c>
      <c r="B5120" s="138">
        <f>'Revenues 9-14'!C108</f>
        <v>42121</v>
      </c>
      <c r="C5120" s="2" t="s">
        <v>573</v>
      </c>
      <c r="D5120" s="2" t="str">
        <f t="shared" si="79"/>
        <v>Error?</v>
      </c>
    </row>
    <row r="5121" spans="1:4" x14ac:dyDescent="0.2">
      <c r="A5121" s="5">
        <v>5060</v>
      </c>
      <c r="B5121" s="138">
        <f>'Revenues 9-14'!C109</f>
        <v>356049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698727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698727</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13882</v>
      </c>
      <c r="D5137" s="2" t="str">
        <f t="shared" si="79"/>
        <v>Error?</v>
      </c>
    </row>
    <row r="5138" spans="1:4" x14ac:dyDescent="0.2">
      <c r="A5138" s="10">
        <v>5077</v>
      </c>
      <c r="D5138" s="2" t="str">
        <f t="shared" si="79"/>
        <v>OK</v>
      </c>
    </row>
    <row r="5139" spans="1:4" x14ac:dyDescent="0.2">
      <c r="A5139" s="5">
        <v>5078</v>
      </c>
      <c r="B5139" s="138">
        <f>'Revenues 9-14'!C129</f>
        <v>667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14549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806</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11790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27145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725872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35880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14845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50725</v>
      </c>
      <c r="C5246" s="2" t="s">
        <v>573</v>
      </c>
      <c r="D5246" s="2" t="str">
        <f t="shared" si="80"/>
        <v>Error?</v>
      </c>
    </row>
    <row r="5247" spans="1:4" x14ac:dyDescent="0.2">
      <c r="A5247" s="5">
        <v>5186</v>
      </c>
      <c r="B5247" s="138">
        <f>'Revenues 9-14'!C200</f>
        <v>39292</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39292</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32203</v>
      </c>
      <c r="D5278" s="2" t="str">
        <f t="shared" si="81"/>
        <v>Error?</v>
      </c>
    </row>
    <row r="5279" spans="1:4" x14ac:dyDescent="0.2">
      <c r="A5279" s="5">
        <v>5218</v>
      </c>
      <c r="B5279" s="138">
        <f>'Revenues 9-14'!C214</f>
        <v>1245</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33448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141918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141918</v>
      </c>
      <c r="C5326" s="2" t="s">
        <v>573</v>
      </c>
      <c r="D5326" s="2" t="str">
        <f t="shared" si="82"/>
        <v>Error?</v>
      </c>
    </row>
    <row r="5327" spans="1:5" x14ac:dyDescent="0.2">
      <c r="A5327" s="5">
        <v>5266</v>
      </c>
      <c r="B5327" s="138">
        <f>'Revenues 9-14'!C268</f>
        <v>1223839</v>
      </c>
      <c r="C5327" s="2" t="s">
        <v>573</v>
      </c>
      <c r="D5327" s="2" t="str">
        <f t="shared" si="82"/>
        <v>Error?</v>
      </c>
    </row>
    <row r="5328" spans="1:5" x14ac:dyDescent="0.2">
      <c r="A5328" s="5">
        <v>5267</v>
      </c>
      <c r="B5328" s="138">
        <f>'Revenues 9-14'!D5</f>
        <v>24806</v>
      </c>
      <c r="D5328" s="2" t="str">
        <f t="shared" si="82"/>
        <v>Error?</v>
      </c>
    </row>
    <row r="5329" spans="1:4" x14ac:dyDescent="0.2">
      <c r="A5329" s="10">
        <v>5268</v>
      </c>
      <c r="D5329" s="2" t="str">
        <f t="shared" si="82"/>
        <v>OK</v>
      </c>
    </row>
    <row r="5330" spans="1:4" x14ac:dyDescent="0.2">
      <c r="A5330" s="5">
        <v>5269</v>
      </c>
      <c r="B5330" s="138">
        <f>'Revenues 9-14'!D6</f>
        <v>10187</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34993</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1774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1774</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240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837</v>
      </c>
      <c r="D5354" s="2" t="str">
        <f t="shared" si="82"/>
        <v>Error?</v>
      </c>
    </row>
    <row r="5355" spans="1:4" x14ac:dyDescent="0.2">
      <c r="A5355" s="5">
        <v>5294</v>
      </c>
      <c r="B5355" s="138">
        <f>'Revenues 9-14'!D108</f>
        <v>1077</v>
      </c>
      <c r="C5355" s="2" t="s">
        <v>573</v>
      </c>
      <c r="D5355" s="2" t="str">
        <f t="shared" si="82"/>
        <v>Error?</v>
      </c>
    </row>
    <row r="5356" spans="1:4" x14ac:dyDescent="0.2">
      <c r="A5356" s="5">
        <v>5295</v>
      </c>
      <c r="B5356" s="138">
        <f>'Revenues 9-14'!D109</f>
        <v>37844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111000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111000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111000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148844</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11367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11367</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26304</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26304</v>
      </c>
      <c r="C5579" s="2" t="s">
        <v>573</v>
      </c>
      <c r="D5579" s="2" t="str">
        <f t="shared" si="86"/>
        <v>Error?</v>
      </c>
    </row>
    <row r="5580" spans="1:4" x14ac:dyDescent="0.2">
      <c r="A5580" s="5">
        <v>5519</v>
      </c>
      <c r="B5580" s="138">
        <f>'Revenues 9-14'!F65</f>
        <v>1106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1106</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100</v>
      </c>
      <c r="D5586" s="2" t="str">
        <f t="shared" si="86"/>
        <v>Error?</v>
      </c>
    </row>
    <row r="5587" spans="1:4" x14ac:dyDescent="0.2">
      <c r="A5587" s="5">
        <v>5526</v>
      </c>
      <c r="B5587" s="138">
        <f>'Revenues 9-14'!F108</f>
        <v>100</v>
      </c>
      <c r="C5587" s="2" t="s">
        <v>573</v>
      </c>
      <c r="D5587" s="2" t="str">
        <f t="shared" si="86"/>
        <v>Error?</v>
      </c>
    </row>
    <row r="5588" spans="1:4" x14ac:dyDescent="0.2">
      <c r="A5588" s="5">
        <v>5527</v>
      </c>
      <c r="B5588" s="138">
        <f>'Revenues 9-14'!F109</f>
        <v>38877</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50466</v>
      </c>
      <c r="D5615" s="2" t="str">
        <f t="shared" si="86"/>
        <v>Error?</v>
      </c>
    </row>
    <row r="5616" spans="1:4" x14ac:dyDescent="0.2">
      <c r="A5616" s="10">
        <v>5555</v>
      </c>
      <c r="D5616" s="2" t="str">
        <f t="shared" si="86"/>
        <v>OK</v>
      </c>
    </row>
    <row r="5617" spans="1:5" x14ac:dyDescent="0.2">
      <c r="A5617" s="5">
        <v>5556</v>
      </c>
      <c r="B5617" s="138">
        <f>'Revenues 9-14'!F153</f>
        <v>7695</v>
      </c>
      <c r="D5617" s="2" t="str">
        <f t="shared" si="86"/>
        <v>Error?</v>
      </c>
    </row>
    <row r="5618" spans="1:5" x14ac:dyDescent="0.2">
      <c r="A5618" s="5">
        <v>5557</v>
      </c>
      <c r="B5618" s="138">
        <f>'Revenues 9-14'!F155</f>
        <v>58161</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58161</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58161</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97038</v>
      </c>
      <c r="C5720" s="2" t="s">
        <v>573</v>
      </c>
      <c r="D5720" s="2" t="str">
        <f t="shared" si="88"/>
        <v>Error?</v>
      </c>
    </row>
    <row r="5721" spans="1:4" x14ac:dyDescent="0.2">
      <c r="A5721" s="5">
        <v>5660</v>
      </c>
      <c r="B5721" s="138">
        <f>'Revenues 9-14'!G5</f>
        <v>30811</v>
      </c>
      <c r="D5721" s="2" t="str">
        <f t="shared" si="88"/>
        <v>Error?</v>
      </c>
    </row>
    <row r="5722" spans="1:4" x14ac:dyDescent="0.2">
      <c r="A5722" s="5">
        <v>5661</v>
      </c>
      <c r="B5722" s="138">
        <f>'Revenues 9-14'!G7</f>
        <v>0</v>
      </c>
      <c r="D5722" s="2" t="str">
        <f t="shared" si="88"/>
        <v>Error?</v>
      </c>
    </row>
    <row r="5723" spans="1:4" x14ac:dyDescent="0.2">
      <c r="A5723" s="5">
        <v>5662</v>
      </c>
      <c r="B5723" s="138">
        <f>'Revenues 9-14'!G8</f>
        <v>26163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56974</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24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24</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56998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3278</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3278</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92984</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96262</v>
      </c>
      <c r="C5915" s="2" t="s">
        <v>573</v>
      </c>
      <c r="D5915" s="2" t="str">
        <f t="shared" si="91"/>
        <v>Error?</v>
      </c>
    </row>
    <row r="5916" spans="1:4" x14ac:dyDescent="0.2">
      <c r="A5916" s="5">
        <v>5855</v>
      </c>
      <c r="B5916" s="138">
        <f>'Revenues 9-14'!I5</f>
        <v>4740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4740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754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754</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5494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990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990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990</v>
      </c>
      <c r="C6023" s="2" t="s">
        <v>573</v>
      </c>
      <c r="D6023" s="2" t="str">
        <f t="shared" si="93"/>
        <v>Error?</v>
      </c>
    </row>
    <row r="6024" spans="1:5" x14ac:dyDescent="0.2">
      <c r="A6024" s="5">
        <v>5963</v>
      </c>
      <c r="B6024" s="138">
        <f>'Revenues 9-14'!G109</f>
        <v>56998</v>
      </c>
      <c r="C6024" s="2" t="s">
        <v>573</v>
      </c>
      <c r="D6024" s="2" t="str">
        <f t="shared" si="93"/>
        <v>Error?</v>
      </c>
    </row>
    <row r="6025" spans="1:5" x14ac:dyDescent="0.2">
      <c r="A6025" s="5">
        <v>5964</v>
      </c>
      <c r="B6025" s="138">
        <f>'Revenues 9-14'!H109</f>
        <v>96262</v>
      </c>
      <c r="C6025" s="2" t="s">
        <v>573</v>
      </c>
      <c r="D6025" s="2" t="str">
        <f t="shared" si="93"/>
        <v>Error?</v>
      </c>
    </row>
    <row r="6026" spans="1:5" x14ac:dyDescent="0.2">
      <c r="A6026" s="5">
        <v>5965</v>
      </c>
      <c r="B6026" s="138">
        <f>'Revenues 9-14'!I109</f>
        <v>5494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990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19561</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135.30000000000001</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10841</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10841</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10841</v>
      </c>
      <c r="D6216" s="2" t="str">
        <f t="shared" si="96"/>
        <v>Error?</v>
      </c>
      <c r="E6216" s="2" t="s">
        <v>190</v>
      </c>
    </row>
    <row r="6217" spans="1:5" x14ac:dyDescent="0.2">
      <c r="A6217">
        <v>6156</v>
      </c>
      <c r="B6217" s="138">
        <f>'Assets-Liab 5-6'!J4</f>
        <v>10841</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21887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21887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21887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18839</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18839</v>
      </c>
      <c r="D6229" s="2" t="str">
        <f t="shared" si="96"/>
        <v>Error?</v>
      </c>
      <c r="E6229" s="2" t="s">
        <v>190</v>
      </c>
    </row>
    <row r="6230" spans="1:5" x14ac:dyDescent="0.2">
      <c r="A6230">
        <v>6169</v>
      </c>
      <c r="B6230" s="138">
        <f>'Acct Summary 7-8'!J20</f>
        <v>3048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3048</v>
      </c>
      <c r="D6263" s="2" t="str">
        <f t="shared" si="96"/>
        <v>Error?</v>
      </c>
      <c r="E6263" s="2" t="s">
        <v>190</v>
      </c>
    </row>
    <row r="6264" spans="1:5" x14ac:dyDescent="0.2">
      <c r="A6264">
        <v>6203</v>
      </c>
      <c r="B6264" s="138">
        <f>'Acct Summary 7-8'!J79</f>
        <v>7793</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10841</v>
      </c>
      <c r="D6266" s="2" t="str">
        <f t="shared" si="96"/>
        <v>Error?</v>
      </c>
      <c r="E6266" s="2" t="s">
        <v>190</v>
      </c>
    </row>
    <row r="6267" spans="1:5" x14ac:dyDescent="0.2">
      <c r="A6267">
        <v>6206</v>
      </c>
      <c r="B6267" s="138">
        <f>'Acct Summary 7-8'!C82</f>
        <v>-82350</v>
      </c>
      <c r="D6267" s="2" t="str">
        <f t="shared" si="96"/>
        <v>Error?</v>
      </c>
      <c r="E6267" s="2" t="s">
        <v>190</v>
      </c>
    </row>
    <row r="6268" spans="1:5" x14ac:dyDescent="0.2">
      <c r="A6268">
        <v>6207</v>
      </c>
      <c r="B6268" s="138">
        <f>'Acct Summary 7-8'!D82</f>
        <v>1598</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-9273</v>
      </c>
      <c r="D6270" s="2" t="str">
        <f t="shared" si="96"/>
        <v>Error?</v>
      </c>
      <c r="E6270" s="2" t="s">
        <v>190</v>
      </c>
    </row>
    <row r="6271" spans="1:5" x14ac:dyDescent="0.2">
      <c r="A6271">
        <v>6210</v>
      </c>
      <c r="B6271" s="138">
        <f>'Acct Summary 7-8'!G82</f>
        <v>4325</v>
      </c>
      <c r="D6271" s="2" t="str">
        <f t="shared" ref="D6271:D6334" si="97">IF(ISBLANK(B6271),"OK",IF(A6271-B6271=0,"OK","Error?"))</f>
        <v>Error?</v>
      </c>
      <c r="E6271" s="2" t="s">
        <v>190</v>
      </c>
    </row>
    <row r="6272" spans="1:5" x14ac:dyDescent="0.2">
      <c r="A6272">
        <v>6211</v>
      </c>
      <c r="B6272" s="138">
        <f>'Acct Summary 7-8'!H82</f>
        <v>56824</v>
      </c>
      <c r="D6272" s="2" t="str">
        <f t="shared" si="97"/>
        <v>Error?</v>
      </c>
      <c r="E6272" s="2" t="s">
        <v>190</v>
      </c>
    </row>
    <row r="6273" spans="1:5" x14ac:dyDescent="0.2">
      <c r="A6273">
        <v>6212</v>
      </c>
      <c r="B6273" s="138">
        <f>'Acct Summary 7-8'!I82</f>
        <v>-29556</v>
      </c>
      <c r="D6273" s="2" t="str">
        <f t="shared" si="97"/>
        <v>Error?</v>
      </c>
      <c r="E6273" s="2" t="s">
        <v>190</v>
      </c>
    </row>
    <row r="6274" spans="1:5" x14ac:dyDescent="0.2">
      <c r="A6274">
        <v>6213</v>
      </c>
      <c r="B6274" s="138">
        <f>'Acct Summary 7-8'!J82</f>
        <v>3048</v>
      </c>
      <c r="D6274" s="2" t="str">
        <f t="shared" si="97"/>
        <v>Error?</v>
      </c>
      <c r="E6274" s="2" t="s">
        <v>190</v>
      </c>
    </row>
    <row r="6275" spans="1:5" x14ac:dyDescent="0.2">
      <c r="A6275">
        <v>6214</v>
      </c>
      <c r="B6275" s="138">
        <f>'Acct Summary 7-8'!K82</f>
        <v>990</v>
      </c>
      <c r="D6275" s="2" t="str">
        <f t="shared" si="97"/>
        <v>Error?</v>
      </c>
      <c r="E6275" s="2" t="s">
        <v>190</v>
      </c>
    </row>
    <row r="6276" spans="1:5" x14ac:dyDescent="0.2">
      <c r="A6276">
        <v>6215</v>
      </c>
      <c r="B6276" s="138">
        <f>'Acct Summary 7-8'!C83</f>
        <v>-6.7990422721268162</v>
      </c>
      <c r="D6276" s="2" t="str">
        <f t="shared" si="97"/>
        <v>Error?</v>
      </c>
      <c r="E6276" s="2" t="s">
        <v>190</v>
      </c>
    </row>
    <row r="6277" spans="1:5" x14ac:dyDescent="0.2">
      <c r="A6277">
        <v>6216</v>
      </c>
      <c r="B6277" s="138">
        <f>'Acct Summary 7-8'!D83</f>
        <v>1.4693442200890066E-2</v>
      </c>
      <c r="D6277" s="2" t="str">
        <f t="shared" si="97"/>
        <v>Error?</v>
      </c>
      <c r="E6277" s="2" t="s">
        <v>190</v>
      </c>
    </row>
    <row r="6278" spans="1:5" x14ac:dyDescent="0.2">
      <c r="A6278">
        <v>6217</v>
      </c>
      <c r="B6278" s="138" t="e">
        <f>'Acct Summary 7-8'!E83</f>
        <v>#DIV/0!</v>
      </c>
      <c r="D6278" s="2" t="e">
        <f t="shared" si="97"/>
        <v>#DIV/0!</v>
      </c>
      <c r="E6278" s="2" t="s">
        <v>190</v>
      </c>
    </row>
    <row r="6279" spans="1:5" x14ac:dyDescent="0.2">
      <c r="A6279">
        <v>6218</v>
      </c>
      <c r="B6279" s="138">
        <f>'Acct Summary 7-8'!F83</f>
        <v>-0.13836374759396589</v>
      </c>
      <c r="D6279" s="2" t="str">
        <f t="shared" si="97"/>
        <v>Error?</v>
      </c>
      <c r="E6279" s="2" t="s">
        <v>190</v>
      </c>
    </row>
    <row r="6280" spans="1:5" x14ac:dyDescent="0.2">
      <c r="A6280">
        <v>6219</v>
      </c>
      <c r="B6280" s="138">
        <f>'Acct Summary 7-8'!G83</f>
        <v>6.378303445021237E-2</v>
      </c>
      <c r="D6280" s="2" t="str">
        <f t="shared" si="97"/>
        <v>Error?</v>
      </c>
      <c r="E6280" s="2" t="s">
        <v>190</v>
      </c>
    </row>
    <row r="6281" spans="1:5" x14ac:dyDescent="0.2">
      <c r="A6281">
        <v>6220</v>
      </c>
      <c r="B6281" s="138">
        <f>'Acct Summary 7-8'!H83</f>
        <v>0.16726174532203419</v>
      </c>
      <c r="D6281" s="2" t="str">
        <f t="shared" si="97"/>
        <v>Error?</v>
      </c>
      <c r="E6281" s="2" t="s">
        <v>190</v>
      </c>
    </row>
    <row r="6282" spans="1:5" x14ac:dyDescent="0.2">
      <c r="A6282">
        <v>6221</v>
      </c>
      <c r="B6282" s="138">
        <f>'Acct Summary 7-8'!I83</f>
        <v>-0.56888786233976207</v>
      </c>
      <c r="D6282" s="2" t="str">
        <f t="shared" si="97"/>
        <v>Error?</v>
      </c>
      <c r="E6282" s="2" t="s">
        <v>190</v>
      </c>
    </row>
    <row r="6283" spans="1:5" x14ac:dyDescent="0.2">
      <c r="A6283">
        <v>6222</v>
      </c>
      <c r="B6283" s="138">
        <f>'Acct Summary 7-8'!J83</f>
        <v>0.2811548750115303</v>
      </c>
      <c r="D6283" s="2" t="str">
        <f t="shared" si="97"/>
        <v>Error?</v>
      </c>
      <c r="E6283" s="2" t="s">
        <v>190</v>
      </c>
    </row>
    <row r="6284" spans="1:5" x14ac:dyDescent="0.2">
      <c r="A6284">
        <v>6223</v>
      </c>
      <c r="B6284" s="138">
        <f>'Acct Summary 7-8'!K83</f>
        <v>4.3799495642171393E-2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21887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21887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21887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68432</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85912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46923</v>
      </c>
      <c r="D6983" s="2" t="str">
        <f t="shared" si="108"/>
        <v>Error?</v>
      </c>
    </row>
    <row r="6984" spans="1:4" x14ac:dyDescent="0.2">
      <c r="A6984">
        <v>6923</v>
      </c>
      <c r="B6984" s="138">
        <f>'Expenditures 15-22'!K86</f>
        <v>46923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46923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18839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21887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3730</v>
      </c>
      <c r="D7073" s="2" t="str">
        <f t="shared" si="109"/>
        <v>Error?</v>
      </c>
    </row>
    <row r="7074" spans="1:4" x14ac:dyDescent="0.2">
      <c r="A7074">
        <v>7013</v>
      </c>
      <c r="B7074" s="138">
        <f>'Expenditures 15-22'!K216</f>
        <v>3730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9233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9233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2004</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2004</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7002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7002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600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600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18839</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18839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18839</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18839</v>
      </c>
      <c r="D7224" s="2" t="str">
        <f t="shared" si="111"/>
        <v>Error?</v>
      </c>
    </row>
    <row r="7225" spans="1:4" x14ac:dyDescent="0.2">
      <c r="A7225">
        <v>7164</v>
      </c>
      <c r="B7225" s="138">
        <f>'Expenditures 15-22'!K343</f>
        <v>3048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17150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330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8017</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8017</v>
      </c>
      <c r="D7618" s="2" t="str">
        <f t="shared" si="124"/>
        <v>Error?</v>
      </c>
      <c r="E7618" s="2" t="s">
        <v>19</v>
      </c>
    </row>
    <row r="7619" spans="1:5" x14ac:dyDescent="0.2">
      <c r="A7619">
        <f t="shared" si="123"/>
        <v>7558</v>
      </c>
      <c r="B7619" s="138">
        <f>'Cap Outlay Deprec 26'!H14</f>
        <v>6345</v>
      </c>
      <c r="D7619" s="2" t="str">
        <f t="shared" si="124"/>
        <v>Error?</v>
      </c>
      <c r="E7619" s="2" t="s">
        <v>19</v>
      </c>
    </row>
    <row r="7620" spans="1:5" x14ac:dyDescent="0.2">
      <c r="A7620">
        <f t="shared" si="123"/>
        <v>7559</v>
      </c>
      <c r="B7620" s="138">
        <f>'Cap Outlay Deprec 26'!I14</f>
        <v>1672</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8017</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72654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92984</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92984</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6524</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39438</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39438</v>
      </c>
      <c r="D7730" s="2" t="str">
        <f t="shared" si="126"/>
        <v>Error?</v>
      </c>
      <c r="E7730" s="2" t="s">
        <v>827</v>
      </c>
    </row>
    <row r="7731" spans="1:6" x14ac:dyDescent="0.2">
      <c r="A7731">
        <v>7670</v>
      </c>
      <c r="B7731" s="138">
        <f>'Revenues 9-14'!H103</f>
        <v>92984</v>
      </c>
      <c r="D7731" s="2" t="str">
        <f t="shared" si="126"/>
        <v>Error?</v>
      </c>
      <c r="E7731" s="2" t="s">
        <v>827</v>
      </c>
    </row>
    <row r="7732" spans="1:6" x14ac:dyDescent="0.2">
      <c r="A7732">
        <v>7671</v>
      </c>
      <c r="B7732" s="138">
        <f>'Rest Tax Levies-Tort Im 25'!J24</f>
        <v>53546</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53546</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14836</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1989</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Prairie Du Rocher CCSD 134</v>
      </c>
      <c r="B7" s="2403"/>
      <c r="C7" s="2403"/>
      <c r="D7" s="2404"/>
      <c r="E7" s="2405">
        <f>COVER!A13</f>
        <v>45079134004</v>
      </c>
      <c r="F7" s="2406"/>
      <c r="G7" s="2412" t="str">
        <f>COVER!T23</f>
        <v>066-003932</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Schorb &amp; Schmersahl, LLC</v>
      </c>
      <c r="H9" s="2418"/>
      <c r="I9" s="2418"/>
      <c r="J9" s="2418"/>
      <c r="K9" s="2418"/>
      <c r="L9" s="2419"/>
    </row>
    <row r="10" spans="1:29" ht="13.5" customHeight="1" x14ac:dyDescent="0.2">
      <c r="A10" s="2392" t="str">
        <f>COVER!A38</f>
        <v>Dr. Larry Beattie</v>
      </c>
      <c r="B10" s="2393"/>
      <c r="C10" s="2393"/>
      <c r="D10" s="2393"/>
      <c r="E10" s="2393"/>
      <c r="F10" s="2394"/>
      <c r="G10" s="2386" t="str">
        <f>COVER!T17</f>
        <v>518 North Main Street</v>
      </c>
      <c r="H10" s="2387"/>
      <c r="I10" s="2387"/>
      <c r="J10" s="2387"/>
      <c r="K10" s="2387"/>
      <c r="L10" s="2388"/>
    </row>
    <row r="11" spans="1:29" ht="13.5" customHeight="1" x14ac:dyDescent="0.2">
      <c r="A11" s="1184" t="s">
        <v>1519</v>
      </c>
      <c r="B11" s="1185"/>
      <c r="C11" s="1186"/>
      <c r="D11" s="1191"/>
      <c r="E11" s="1186"/>
      <c r="F11" s="1190"/>
      <c r="G11" s="2386" t="str">
        <f>COVER!T19</f>
        <v>Columbia</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t="str">
        <f>COVER!T25</f>
        <v>jim@stcpa.com</v>
      </c>
      <c r="J13" s="2399"/>
      <c r="K13" s="2399"/>
      <c r="L13" s="2400"/>
    </row>
    <row r="14" spans="1:29" ht="13.5" customHeight="1" x14ac:dyDescent="0.2">
      <c r="A14" s="2386" t="str">
        <f>COVER!A19</f>
        <v>714 Middle Street</v>
      </c>
      <c r="B14" s="2387"/>
      <c r="C14" s="2387"/>
      <c r="D14" s="2387"/>
      <c r="E14" s="2387"/>
      <c r="F14" s="2388"/>
      <c r="G14" s="1195" t="s">
        <v>1185</v>
      </c>
      <c r="H14" s="1193"/>
      <c r="I14" s="1193"/>
      <c r="J14" s="1193"/>
      <c r="K14" s="1193"/>
      <c r="L14" s="1194"/>
    </row>
    <row r="15" spans="1:29" ht="13.5" customHeight="1" x14ac:dyDescent="0.2">
      <c r="A15" s="2386" t="str">
        <f>COVER!A21</f>
        <v>Prairie du Rocher</v>
      </c>
      <c r="B15" s="2387"/>
      <c r="C15" s="2387"/>
      <c r="D15" s="2387"/>
      <c r="E15" s="2387"/>
      <c r="F15" s="2388"/>
      <c r="G15" s="2383" t="str">
        <f>COVER!T15</f>
        <v>James R. Schmersahl</v>
      </c>
      <c r="H15" s="2384"/>
      <c r="I15" s="2384"/>
      <c r="J15" s="2384"/>
      <c r="K15" s="2384"/>
      <c r="L15" s="2385"/>
    </row>
    <row r="16" spans="1:29" ht="12.2" customHeight="1" x14ac:dyDescent="0.2">
      <c r="A16" s="2408">
        <f>COVER!A25</f>
        <v>62277</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618-281-5195</v>
      </c>
      <c r="H18" s="2403"/>
      <c r="I18" s="2403"/>
      <c r="J18" s="2403"/>
      <c r="K18" s="2402" t="str">
        <f>COVER!X21</f>
        <v>618-281-6101</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Prairie Du Rocher CCSD 134</v>
      </c>
      <c r="B1" s="2401"/>
      <c r="C1" s="2401"/>
      <c r="D1" s="2401"/>
    </row>
    <row r="2" spans="1:11" s="1212" customFormat="1" ht="12.75" x14ac:dyDescent="0.2">
      <c r="A2" s="2425">
        <f>'Single Audit Cover'!E7</f>
        <v>45079134004</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Prairie Du Rocher CCSD 134</v>
      </c>
      <c r="B1" s="2428"/>
      <c r="C1" s="2428"/>
      <c r="D1" s="2428"/>
      <c r="E1" s="2428"/>
    </row>
    <row r="2" spans="1:5" x14ac:dyDescent="0.2">
      <c r="A2" s="2429">
        <f>'Single Audit Cover'!E7</f>
        <v>45079134004</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141918</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-11628</v>
      </c>
    </row>
    <row r="19" spans="1:4" ht="13.5" thickBot="1" x14ac:dyDescent="0.25">
      <c r="A19" s="1262" t="s">
        <v>1235</v>
      </c>
      <c r="D19" s="1263">
        <f>SUM(D10:D17)</f>
        <v>130290</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130290</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130290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Prairie Du Rocher CCSD 134</v>
      </c>
      <c r="C1" s="2432"/>
      <c r="D1" s="2432"/>
      <c r="E1" s="2432"/>
      <c r="F1" s="2432"/>
      <c r="G1" s="2432"/>
      <c r="H1" s="2432"/>
      <c r="I1" s="2432"/>
      <c r="J1" s="2432"/>
      <c r="K1" s="2432"/>
      <c r="L1" s="2432"/>
      <c r="M1" s="2432"/>
    </row>
    <row r="2" spans="2:14" ht="15" x14ac:dyDescent="0.2">
      <c r="B2" s="2433">
        <f>'Single Audit Cover'!E7</f>
        <v>45079134004</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Prairie Du Rocher CCSD 134</v>
      </c>
      <c r="B1" s="2445"/>
      <c r="C1" s="2445"/>
      <c r="D1" s="2445"/>
      <c r="E1" s="2445"/>
      <c r="F1" s="2445"/>
    </row>
    <row r="2" spans="1:7" ht="13.5" customHeight="1" x14ac:dyDescent="0.2">
      <c r="A2" s="2433">
        <f>'Single Audit Cover'!E7</f>
        <v>45079134004</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1729</v>
      </c>
      <c r="B7" s="2444"/>
      <c r="C7" s="2444"/>
      <c r="D7" s="2444"/>
      <c r="E7" s="2444"/>
      <c r="F7" s="2444"/>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1731</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1732</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Prairie Du Rocher CCSD 134</v>
      </c>
      <c r="C1" s="2460"/>
      <c r="D1" s="2460"/>
      <c r="E1" s="2460"/>
      <c r="F1" s="2460"/>
      <c r="G1" s="2460"/>
      <c r="H1" s="2460"/>
      <c r="I1" s="2460"/>
      <c r="J1" s="1406"/>
    </row>
    <row r="2" spans="2:10" s="317" customFormat="1" ht="12.75" customHeight="1" x14ac:dyDescent="0.2">
      <c r="B2" s="2461">
        <f>'Single Audit Cover'!E7</f>
        <v>45079134004</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1841</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Prairie Du Rocher CCSD 134</v>
      </c>
      <c r="C1" s="2459"/>
      <c r="D1" s="2459"/>
      <c r="E1" s="2459"/>
      <c r="F1" s="2459"/>
      <c r="G1" s="2459"/>
      <c r="H1" s="2459"/>
      <c r="I1" s="2459"/>
      <c r="J1" s="2459"/>
      <c r="K1" s="2459"/>
      <c r="L1" s="1371"/>
      <c r="M1" s="1371"/>
    </row>
    <row r="2" spans="1:13" ht="12" customHeight="1" x14ac:dyDescent="0.2">
      <c r="B2" s="2461">
        <f>'Single Audit Cover'!E7</f>
        <v>45079134004</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Prairie Du Rocher CCSD 134</v>
      </c>
      <c r="C1" s="2482"/>
      <c r="D1" s="2482"/>
      <c r="E1" s="2482"/>
      <c r="F1" s="2482"/>
      <c r="G1" s="2482"/>
      <c r="H1" s="2482"/>
      <c r="I1" s="2482"/>
      <c r="J1" s="2482"/>
      <c r="K1" s="2482"/>
      <c r="L1" s="1449"/>
    </row>
    <row r="2" spans="1:12" ht="12.75" customHeight="1" x14ac:dyDescent="0.2">
      <c r="B2" s="2483">
        <f>'Single Audit Cover'!E7</f>
        <v>45079134004</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Prairie Du Rocher CCSD 134</v>
      </c>
      <c r="C1" s="2459"/>
      <c r="D1" s="2459"/>
      <c r="E1" s="1469"/>
    </row>
    <row r="2" spans="2:5" s="1279" customFormat="1" ht="12.75" customHeight="1" x14ac:dyDescent="0.2">
      <c r="B2" s="2461">
        <f>'Single Audit Cover'!E7</f>
        <v>45079134004</v>
      </c>
      <c r="C2" s="2461"/>
      <c r="D2" s="2461"/>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www.w3.org/XML/1998/namespace"/>
    <ds:schemaRef ds:uri="http://purl.org/dc/elements/1.1/"/>
    <ds:schemaRef ds:uri="http://schemas.microsoft.com/office/2006/metadata/properties"/>
    <ds:schemaRef ds:uri="4d435f69-8686-490b-bd6d-b153bf22ab50"/>
    <ds:schemaRef ds:uri="http://schemas.microsoft.com/office/infopath/2007/PartnerControls"/>
    <ds:schemaRef ds:uri="http://purl.org/dc/terms/"/>
    <ds:schemaRef ds:uri="http://schemas.microsoft.com/sharepoint/v3"/>
    <ds:schemaRef ds:uri="http://schemas.microsoft.com/office/2006/documentManagement/types"/>
    <ds:schemaRef ds:uri="http://purl.org/dc/dcmitype/"/>
    <ds:schemaRef ds:uri="http://schemas.openxmlformats.org/package/2006/metadata/core-properties"/>
    <ds:schemaRef ds:uri="d21dc803-237d-4c68-8692-8d731fd29118"/>
    <ds:schemaRef ds:uri="6ce3111e-7420-4802-b50a-75d4e9a0b980"/>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2019-10-10T18:17:49Z</cp:lastPrinted>
  <dcterms:created xsi:type="dcterms:W3CDTF">2003-10-29T19:06:34Z</dcterms:created>
  <dcterms:modified xsi:type="dcterms:W3CDTF">2019-11-18T19:56:11Z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