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D6FAA59-659F-4B8F-8330-6CFDFF85EFB7}"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68" i="5" l="1"/>
  <c r="L301" i="29" l="1"/>
  <c r="L182" i="29"/>
  <c r="L124" i="29"/>
  <c r="L71" i="29"/>
  <c r="L63" i="29"/>
  <c r="L62" i="29"/>
  <c r="L61" i="29"/>
  <c r="L55" i="29"/>
  <c r="L45" i="29"/>
  <c r="L44" i="29"/>
  <c r="L38" i="29"/>
  <c r="L14" i="29"/>
  <c r="L13" i="29"/>
  <c r="L8" i="29"/>
  <c r="L5" i="29"/>
  <c r="C69" i="5"/>
  <c r="M19" i="3"/>
  <c r="C5" i="3"/>
  <c r="C4" i="3"/>
  <c r="G41" i="174" l="1"/>
  <c r="I27" i="184"/>
  <c r="F27" i="184"/>
  <c r="I16" i="184"/>
  <c r="F16" i="184"/>
  <c r="B4" i="185"/>
  <c r="L25" i="184"/>
  <c r="L24" i="184"/>
  <c r="L22" i="184"/>
  <c r="L20" i="184"/>
  <c r="L14" i="184"/>
  <c r="L13" i="184"/>
  <c r="B4" i="184"/>
  <c r="L15"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5" i="179"/>
  <c r="L24" i="179"/>
  <c r="L23" i="179"/>
  <c r="L21" i="179"/>
  <c r="L19" i="179"/>
  <c r="L18" i="179"/>
  <c r="L16" i="179"/>
  <c r="L13" i="179"/>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7" i="108"/>
  <c r="E27" i="108"/>
  <c r="F27" i="108"/>
  <c r="G27" i="108"/>
  <c r="F28" i="108"/>
  <c r="F31" i="108"/>
  <c r="F36" i="108"/>
  <c r="G28" i="108"/>
  <c r="D31" i="108"/>
  <c r="D36" i="108"/>
  <c r="E31" i="108"/>
  <c r="G31"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D24" i="37"/>
  <c r="B4270" i="106" s="1"/>
  <c r="D4270" i="106" s="1"/>
  <c r="D22" i="37" l="1"/>
  <c r="B6995" i="106"/>
  <c r="D6995" i="106" s="1"/>
  <c r="G30" i="108"/>
  <c r="L5" i="11"/>
  <c r="B2056" i="106" s="1"/>
  <c r="D2056" i="106" s="1"/>
  <c r="F77" i="4"/>
  <c r="B3255" i="106" s="1"/>
  <c r="D3255" i="106" s="1"/>
  <c r="B7047" i="106"/>
  <c r="D7047" i="106" s="1"/>
  <c r="E34" i="108"/>
  <c r="H342" i="29"/>
  <c r="F50" i="34"/>
  <c r="F68" i="34"/>
  <c r="F42" i="34"/>
  <c r="G29" i="108"/>
  <c r="C129" i="29"/>
  <c r="E33" i="108"/>
  <c r="B2724" i="106"/>
  <c r="D2724" i="106" s="1"/>
  <c r="F34" i="34"/>
  <c r="J210" i="29"/>
  <c r="B7072" i="106" s="1"/>
  <c r="D7072" i="106" s="1"/>
  <c r="J77" i="4"/>
  <c r="B6262" i="106" s="1"/>
  <c r="D6262" i="106" s="1"/>
  <c r="H76" i="4"/>
  <c r="B3298" i="106" s="1"/>
  <c r="D3298" i="106" s="1"/>
  <c r="F38" i="34"/>
  <c r="G26" i="108"/>
  <c r="E38" i="108"/>
  <c r="E26" i="108"/>
  <c r="B1274" i="106"/>
  <c r="D1274" i="106" s="1"/>
  <c r="L13" i="11"/>
  <c r="B2060" i="106" s="1"/>
  <c r="D2060" i="106" s="1"/>
  <c r="H28" i="118"/>
  <c r="D69" i="36"/>
  <c r="F19" i="7"/>
  <c r="B1807" i="106" s="1"/>
  <c r="D1807" i="106" s="1"/>
  <c r="L367" i="29"/>
  <c r="B3647" i="106"/>
  <c r="D3647" i="106" s="1"/>
  <c r="I129" i="29"/>
  <c r="B7037" i="106" s="1"/>
  <c r="D7037" i="106" s="1"/>
  <c r="C342" i="29"/>
  <c r="B7216" i="106" s="1"/>
  <c r="D7216" i="106" s="1"/>
  <c r="J41" i="3"/>
  <c r="B6216" i="106" s="1"/>
  <c r="D6216" i="106" s="1"/>
  <c r="D6103" i="106"/>
  <c r="D68" i="36"/>
  <c r="L22" i="37"/>
  <c r="H365" i="29"/>
  <c r="B7242" i="106" s="1"/>
  <c r="D7242" i="106" s="1"/>
  <c r="E29" i="108"/>
  <c r="C352" i="29"/>
  <c r="C367" i="29" s="1"/>
  <c r="B3622" i="106" s="1"/>
  <c r="D3622" i="106" s="1"/>
  <c r="G15" i="145"/>
  <c r="J352" i="29"/>
  <c r="J367" i="29" s="1"/>
  <c r="B7245" i="106" s="1"/>
  <c r="D7245" i="106" s="1"/>
  <c r="J129" i="29"/>
  <c r="B7038" i="106" s="1"/>
  <c r="D7038" i="106" s="1"/>
  <c r="I210" i="29"/>
  <c r="B7071" i="106" s="1"/>
  <c r="D7071" i="106" s="1"/>
  <c r="H112" i="29"/>
  <c r="B7018" i="106" s="1"/>
  <c r="D7018" i="106" s="1"/>
  <c r="K184" i="29"/>
  <c r="F13" i="4" s="1"/>
  <c r="B2596" i="106" s="1"/>
  <c r="D2596" i="106" s="1"/>
  <c r="G210" i="29"/>
  <c r="K76" i="4"/>
  <c r="B3586" i="106" s="1"/>
  <c r="D3586" i="106" s="1"/>
  <c r="H33" i="118"/>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3621" i="106" l="1"/>
  <c r="D3621" i="106" s="1"/>
  <c r="B7235" i="106"/>
  <c r="D7235" i="106" s="1"/>
  <c r="H77" i="4"/>
  <c r="B3299" i="106" s="1"/>
  <c r="D3299" i="106" s="1"/>
  <c r="B1266" i="106"/>
  <c r="D1266" i="106" s="1"/>
  <c r="B7215" i="106"/>
  <c r="D7215" i="106" s="1"/>
  <c r="J151" i="29"/>
  <c r="B7052" i="106" s="1"/>
  <c r="D7052" i="106" s="1"/>
  <c r="B1381" i="106"/>
  <c r="D1381" i="106" s="1"/>
  <c r="I151" i="29"/>
  <c r="F59" i="34" s="1"/>
  <c r="C114" i="29"/>
  <c r="B757" i="106" s="1"/>
  <c r="D757" i="106" s="1"/>
  <c r="K365" i="29"/>
  <c r="K16" i="4" s="1"/>
  <c r="B5527" i="106"/>
  <c r="D5527" i="106" s="1"/>
  <c r="D51" i="36"/>
  <c r="K28" i="118"/>
  <c r="O27" i="118" s="1"/>
  <c r="O29" i="118" s="1"/>
  <c r="D44" i="36"/>
  <c r="F66" i="34"/>
  <c r="F41" i="108"/>
  <c r="G43" i="108" s="1"/>
  <c r="D41" i="108"/>
  <c r="E43" i="108" s="1"/>
  <c r="B1365" i="106"/>
  <c r="D1365" i="106" s="1"/>
  <c r="F65" i="34"/>
  <c r="B5770" i="106"/>
  <c r="D5770" i="106" s="1"/>
  <c r="K77" i="4"/>
  <c r="B3587" i="106" s="1"/>
  <c r="D3587" i="106" s="1"/>
  <c r="D7254" i="106"/>
  <c r="D7256" i="106"/>
  <c r="D7251" i="106"/>
  <c r="D7250" i="106"/>
  <c r="L16" i="11"/>
  <c r="B2061" i="106" s="1"/>
  <c r="D2061" i="106" s="1"/>
  <c r="K342" i="29"/>
  <c r="F13" i="34" s="1"/>
  <c r="L114" i="29"/>
  <c r="I7" i="4"/>
  <c r="B4444" i="106" s="1"/>
  <c r="D4444"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7243" i="106"/>
  <c r="D7243" i="106" s="1"/>
  <c r="B7051" i="106"/>
  <c r="D7051"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F8" i="4"/>
  <c r="F10" i="4" s="1"/>
  <c r="B4125" i="106" s="1"/>
  <c r="D4125" i="106" s="1"/>
  <c r="J20" i="4"/>
  <c r="B6230" i="106" s="1"/>
  <c r="D6230" i="106" s="1"/>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3575" i="106"/>
  <c r="D3575" i="106" s="1"/>
  <c r="J78" i="4"/>
  <c r="K20" i="4"/>
  <c r="B3576" i="106" s="1"/>
  <c r="D3576"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K78" i="4"/>
  <c r="B3588" i="106" s="1"/>
  <c r="D3588" i="106" s="1"/>
  <c r="D78" i="4"/>
  <c r="D81" i="4" s="1"/>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K81" i="4" l="1"/>
  <c r="B3591" i="106" s="1"/>
  <c r="D3591"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B6275" i="106" s="1"/>
  <c r="D6275" i="106" s="1"/>
  <c r="D65" i="36"/>
  <c r="J16" i="37"/>
  <c r="B4269" i="106" s="1"/>
  <c r="D4269" i="106" s="1"/>
  <c r="H12" i="118"/>
  <c r="K12" i="118" s="1"/>
  <c r="O11" i="118" s="1"/>
  <c r="O13" i="118" s="1"/>
  <c r="O17" i="118"/>
  <c r="O20"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<sst xmlns="http://schemas.openxmlformats.org/spreadsheetml/2006/main" count="5377" uniqueCount="2178">
  <si>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</si>
  <si>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</si>
  <si>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</si>
  <si>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</si>
  <si>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</si>
  <si>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</si>
  <si>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</si>
  <si>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</si>
  <si>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</si>
  <si>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</si>
  <si>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</si>
  <si>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</si>
  <si>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</si>
  <si>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</si>
  <si>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</si>
  <si>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</si>
  <si>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</si>
  <si>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</si>
  <si>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</si>
  <si>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</si>
  <si>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</si>
  <si>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</si>
  <si>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</si>
  <si>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</si>
  <si>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</si>
  <si>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</si>
  <si>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</si>
  <si>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</si>
  <si>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</si>
  <si>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</si>
  <si>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</si>
  <si>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</si>
  <si>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</si>
  <si>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</si>
  <si>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</si>
  <si>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</si>
  <si>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</si>
  <si>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</si>
  <si>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</si>
  <si>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</si>
  <si>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</si>
  <si>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</si>
  <si>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</si>
  <si>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</si>
  <si>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</si>
  <si>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</si>
  <si>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</si>
  <si>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</si>
  <si>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</si>
  <si>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</si>
  <si>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</si>
  <si>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</si>
  <si>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</si>
  <si>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</si>
  <si>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</si>
  <si>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</si>
  <si>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</si>
  <si>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</si>
  <si>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</si>
  <si>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</si>
  <si>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</si>
  <si>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</si>
  <si>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</si>
  <si>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</si>
  <si>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</si>
  <si>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</si>
  <si>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</si>
  <si>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</si>
  <si>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</si>
  <si>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</si>
  <si>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</si>
  <si>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</si>
  <si>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</si>
  <si>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</si>
  <si>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</si>
  <si>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</si>
  <si>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</si>
  <si>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</si>
  <si>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</si>
  <si>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</si>
  <si>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</si>
  <si>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</si>
  <si>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</si>
  <si>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</si>
  <si>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</si>
  <si>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</si>
  <si>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</si>
  <si>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</si>
  <si>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</si>
  <si>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</si>
  <si>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</si>
  <si>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</si>
  <si>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</si>
  <si>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</si>
  <si>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</si>
  <si>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</si>
  <si>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</si>
  <si>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</si>
  <si>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</si>
  <si>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</si>
  <si>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</si>
  <si>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</si>
  <si>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</si>
  <si>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</si>
  <si>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</si>
  <si>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</si>
  <si>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</si>
  <si>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</si>
  <si>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</si>
  <si>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</si>
  <si>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</si>
  <si>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</si>
  <si>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</si>
  <si>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</si>
  <si>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</si>
  <si>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</si>
  <si>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</si>
  <si>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</si>
  <si>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</si>
  <si>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</si>
  <si>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</si>
  <si>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</si>
  <si>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</si>
  <si>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</si>
  <si>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</si>
  <si>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</si>
  <si>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</si>
  <si>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</si>
  <si>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</si>
  <si>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</si>
  <si>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</si>
  <si>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</si>
  <si>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</si>
  <si>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</si>
  <si>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</si>
  <si>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</si>
  <si>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</si>
  <si>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</si>
  <si>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</si>
  <si>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</si>
  <si>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</si>
  <si>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</si>
  <si>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</si>
  <si>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</si>
  <si>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</si>
  <si>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</si>
  <si>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</si>
  <si>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</si>
  <si>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</si>
  <si>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</si>
  <si>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</si>
  <si>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</si>
  <si>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</si>
  <si>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</si>
  <si>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</si>
  <si>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</si>
  <si>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</si>
  <si>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</si>
  <si>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</si>
  <si>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</si>
  <si>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</si>
  <si>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</si>
  <si>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</si>
  <si>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</si>
  <si>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</si>
  <si>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</si>
  <si>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</si>
  <si>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</si>
  <si>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</si>
  <si>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</si>
  <si>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</si>
  <si>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</si>
  <si>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</si>
  <si>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</si>
  <si>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</si>
  <si>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</si>
  <si>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</si>
  <si>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</si>
  <si>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</si>
  <si>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</si>
  <si>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</si>
  <si>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</si>
  <si>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</si>
  <si>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</si>
  <si>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</si>
  <si>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</si>
  <si>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</si>
  <si>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</si>
  <si>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</si>
  <si>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</si>
  <si>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</si>
  <si>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</si>
  <si>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</si>
  <si>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</si>
  <si>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</si>
  <si>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</si>
  <si>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</si>
  <si>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</si>
  <si>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</si>
  <si>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</si>
  <si>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</si>
  <si>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</si>
  <si>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</si>
  <si>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</si>
  <si>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</si>
  <si>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</si>
  <si>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</si>
  <si>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</si>
  <si>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</si>
  <si>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</si>
  <si>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</si>
  <si>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</si>
  <si>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</si>
  <si>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</si>
  <si>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</si>
  <si>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</si>
  <si>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</si>
  <si>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</si>
  <si>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</si>
  <si>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</si>
  <si>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</si>
  <si>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</si>
  <si>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</si>
  <si>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</si>
  <si>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</si>
  <si>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</si>
  <si>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</si>
  <si>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</si>
  <si>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</si>
  <si>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</si>
  <si>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</si>
  <si>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</si>
  <si>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</si>
  <si>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</si>
  <si>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</si>
  <si>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</si>
  <si>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</si>
  <si>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</si>
  <si>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</si>
  <si>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</si>
  <si>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</si>
  <si>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</si>
  <si>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</si>
  <si>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</si>
  <si>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</si>
  <si>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</si>
  <si>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</si>
  <si>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</si>
  <si>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</si>
  <si>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</si>
  <si>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</si>
  <si>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</si>
  <si>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</si>
  <si>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</si>
  <si>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</si>
  <si>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</si>
  <si>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</si>
  <si>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</si>
  <si>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</si>
  <si>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</si>
  <si>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</si>
  <si>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</si>
  <si>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</si>
  <si>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</si>
  <si>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</si>
  <si>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</si>
  <si>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</si>
  <si>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</si>
  <si>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</si>
  <si>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</si>
  <si>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</si>
  <si>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</si>
  <si>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</si>
  <si>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</si>
  <si>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</si>
  <si>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</si>
  <si>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</si>
  <si>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</si>
  <si>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</si>
  <si>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</si>
  <si>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</si>
  <si>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</si>
  <si>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</si>
  <si>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</si>
  <si>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</si>
  <si>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</si>
  <si>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</si>
  <si>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</si>
  <si>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</si>
  <si>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</si>
  <si>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</si>
  <si>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</si>
  <si>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</si>
  <si>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</si>
  <si>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</si>
  <si>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</si>
  <si>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</si>
  <si>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</si>
  <si>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</si>
  <si>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</si>
  <si>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</si>
  <si>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</si>
  <si>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</si>
  <si>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</si>
  <si>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</si>
  <si>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</si>
  <si>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</si>
  <si>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</si>
  <si>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</si>
  <si>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</si>
  <si>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</si>
  <si>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</si>
  <si>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</si>
  <si>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</si>
  <si>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</si>
  <si>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</si>
  <si>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</si>
  <si>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</si>
  <si>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</si>
  <si>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</si>
  <si>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</si>
  <si>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</si>
  <si>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</si>
  <si>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</si>
  <si>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</si>
  <si>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</si>
  <si>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</si>
  <si>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</si>
  <si>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</si>
  <si>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</si>
  <si>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</si>
  <si>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</si>
  <si>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</si>
  <si>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</si>
  <si>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</si>
  <si>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</si>
  <si>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</si>
  <si>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</si>
  <si>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</si>
  <si>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</si>
  <si>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</si>
  <si>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</si>
  <si>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</si>
  <si>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</si>
  <si>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</si>
  <si>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</si>
  <si>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</si>
  <si>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</si>
  <si>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</si>
  <si>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</si>
  <si>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</si>
  <si>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</si>
  <si>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</si>
  <si>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</si>
  <si>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</si>
  <si>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</si>
  <si>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</si>
  <si>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</si>
  <si>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</si>
  <si>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</si>
  <si>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</si>
  <si>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</si>
  <si>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</si>
  <si>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</si>
  <si>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</si>
  <si>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</si>
  <si>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</si>
  <si>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</si>
  <si>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</si>
  <si>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</si>
  <si>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</si>
  <si>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</si>
  <si>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</si>
  <si>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</si>
  <si>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</si>
  <si>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</si>
  <si>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</si>
  <si>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</si>
  <si>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</si>
  <si>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</si>
  <si>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</si>
  <si>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</si>
  <si>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</si>
  <si>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</si>
  <si>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</si>
  <si>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</si>
  <si>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</si>
  <si>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</si>
  <si>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</si>
  <si>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</si>
  <si>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</si>
  <si>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</si>
  <si>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</si>
  <si>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</si>
  <si>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</si>
  <si>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</si>
  <si>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</si>
  <si>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</si>
  <si>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</si>
  <si>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</si>
  <si>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</si>
  <si>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</si>
  <si>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</si>
  <si>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</si>
  <si>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</si>
  <si>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</si>
  <si>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</si>
  <si>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</si>
  <si>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</si>
  <si>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</si>
  <si>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</si>
  <si>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</si>
  <si>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</si>
  <si>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</si>
  <si>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</si>
  <si>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</si>
  <si>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</si>
  <si>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</si>
  <si>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</si>
  <si>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</si>
  <si>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</si>
  <si>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</si>
  <si>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</si>
  <si>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</si>
  <si>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</si>
  <si>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</si>
  <si>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</si>
  <si>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</si>
  <si>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</si>
  <si>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</si>
  <si>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</si>
  <si>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</si>
  <si>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</si>
  <si>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</si>
  <si>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</si>
  <si>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</si>
  <si>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</si>
  <si>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</si>
  <si>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</si>
  <si>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</si>
  <si>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</si>
  <si>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</si>
  <si>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</si>
  <si>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</si>
  <si>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</si>
  <si>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</si>
  <si>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</si>
  <si>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</si>
  <si>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</si>
  <si>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</si>
  <si>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</si>
  <si>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</si>
  <si>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</si>
  <si>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</si>
  <si>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</si>
  <si>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</si>
  <si>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</si>
  <si>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</si>
  <si>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</si>
  <si>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</si>
  <si>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</si>
  <si>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</si>
  <si>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</si>
  <si>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</si>
  <si>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</si>
  <si>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</si>
  <si>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</si>
  <si>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</si>
  <si>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</si>
  <si>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</si>
  <si>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</si>
  <si>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</si>
  <si>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</si>
  <si>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</si>
  <si>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</si>
  <si>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</si>
  <si>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</si>
  <si>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</si>
  <si>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</si>
  <si>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</si>
  <si>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</si>
  <si>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</si>
  <si>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</si>
  <si>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</si>
  <si>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</si>
  <si>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</si>
  <si>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</si>
  <si>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</si>
  <si>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</si>
  <si>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</si>
  <si>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</si>
  <si>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</si>
  <si>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</si>
  <si>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</si>
  <si>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</si>
  <si>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</si>
  <si>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</si>
  <si>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</si>
  <si>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</si>
  <si>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</si>
  <si>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</si>
  <si>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</si>
  <si>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</si>
  <si>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</si>
  <si>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</si>
  <si>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</si>
  <si>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</si>
  <si>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</si>
  <si>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</si>
  <si>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</si>
  <si>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</si>
  <si>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</si>
  <si>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</si>
  <si>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</si>
  <si>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</si>
  <si>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</si>
  <si>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</si>
  <si>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</si>
  <si>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</si>
  <si>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</si>
  <si>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</si>
  <si>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</si>
  <si>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</si>
  <si>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</si>
  <si>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</si>
  <si>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</si>
  <si>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</si>
  <si>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</si>
  <si>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</si>
  <si>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</si>
  <si>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</si>
  <si>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</si>
  <si>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</si>
  <si>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</si>
  <si>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</si>
  <si>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</si>
  <si>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</si>
  <si>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</si>
  <si>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</si>
  <si>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</si>
  <si>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</si>
  <si>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</si>
  <si>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</si>
  <si>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</si>
  <si>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</si>
  <si>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</si>
  <si>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</si>
  <si>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</si>
  <si>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</si>
  <si>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</si>
  <si>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</si>
  <si>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</si>
  <si>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</si>
  <si>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</si>
  <si>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</si>
  <si>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</si>
  <si>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</si>
  <si>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</si>
  <si>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</si>
  <si>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</si>
  <si>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</si>
  <si>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</si>
  <si>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</si>
  <si>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</si>
  <si>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</si>
  <si>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</si>
  <si>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</si>
  <si>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</si>
  <si>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</si>
  <si>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</si>
  <si>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</si>
  <si>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</si>
  <si>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</si>
  <si>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</si>
  <si>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</si>
  <si>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</si>
  <si>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</si>
  <si>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</si>
  <si>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</si>
  <si>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</si>
  <si>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</si>
  <si>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</si>
  <si>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</si>
  <si>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</si>
  <si>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</si>
  <si>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</si>
  <si>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</si>
  <si>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</si>
  <si>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</si>
  <si>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</si>
  <si>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</si>
  <si>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</si>
  <si>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</si>
  <si>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</si>
  <si>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</si>
  <si>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</si>
  <si>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</si>
  <si>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</si>
  <si>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</si>
  <si>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</si>
  <si>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</si>
  <si>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</si>
  <si>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</si>
  <si>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</si>
  <si>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</si>
  <si>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</si>
  <si>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</si>
  <si>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</si>
  <si>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</si>
  <si>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</si>
  <si>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</si>
  <si>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</si>
  <si>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</si>
  <si>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</si>
  <si>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</si>
  <si>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</si>
  <si>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</si>
  <si>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</si>
  <si>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</si>
  <si>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</si>
  <si>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</si>
  <si>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</si>
  <si>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</si>
  <si>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</si>
  <si>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</si>
  <si>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</si>
  <si>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</si>
  <si>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</si>
  <si>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</si>
  <si>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</si>
  <si>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</si>
  <si>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</si>
  <si>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</si>
  <si>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</si>
  <si>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</si>
  <si>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</si>
  <si>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</si>
  <si>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</si>
  <si>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</si>
  <si>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</si>
  <si>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</si>
  <si>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</si>
  <si>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</si>
  <si>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</si>
  <si>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</si>
  <si>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</si>
  <si>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</si>
  <si>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</si>
  <si>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</si>
  <si>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</si>
  <si>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</si>
  <si>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</si>
  <si>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</si>
  <si>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</si>
  <si>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</si>
  <si>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</si>
  <si>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</si>
  <si>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</si>
  <si>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</si>
  <si>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</si>
  <si>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</si>
  <si>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</si>
  <si>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</si>
  <si>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</si>
  <si>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</si>
  <si>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</si>
  <si>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</si>
  <si>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</si>
  <si>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</si>
  <si>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</si>
  <si>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</si>
  <si>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</si>
  <si>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</si>
  <si>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</si>
  <si>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</si>
  <si>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</si>
  <si>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</si>
  <si>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</si>
  <si>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</si>
  <si>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</si>
  <si>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</si>
  <si>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</si>
  <si>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</si>
  <si>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</si>
  <si>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</si>
  <si>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</si>
  <si>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</si>
  <si>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</si>
  <si>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</si>
  <si>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</si>
  <si>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</si>
  <si>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</si>
  <si>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</si>
  <si>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</si>
  <si>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</si>
  <si>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</si>
  <si>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</si>
  <si>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</si>
  <si>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</si>
  <si>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</si>
  <si>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</si>
  <si>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</si>
  <si>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</si>
  <si>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</si>
  <si>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</si>
  <si>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</si>
  <si>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</si>
  <si>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</si>
  <si>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</si>
  <si>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</si>
  <si>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</si>
  <si>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</si>
  <si>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</si>
  <si>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</si>
  <si>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</si>
  <si>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</si>
  <si>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</si>
  <si>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</si>
  <si>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</si>
  <si>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</si>
  <si>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</si>
  <si>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</si>
  <si>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</si>
  <si>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</si>
  <si>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</si>
  <si>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</si>
  <si>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</si>
  <si>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</si>
  <si>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</si>
  <si>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</si>
  <si>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</si>
  <si>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</si>
  <si>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</si>
  <si>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</si>
  <si>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</si>
  <si>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</si>
  <si>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</si>
  <si>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</si>
  <si>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</si>
  <si>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</si>
  <si>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</si>
  <si>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</si>
  <si>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</si>
  <si>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</si>
  <si>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</si>
  <si>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</si>
  <si>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</si>
  <si>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</si>
  <si>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</si>
  <si>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</si>
  <si>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</si>
  <si>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</si>
  <si>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</si>
  <si>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</si>
  <si>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</si>
  <si>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</si>
  <si>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</si>
  <si>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</si>
  <si>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</si>
  <si>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</si>
  <si>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</si>
  <si>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</si>
  <si>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</si>
  <si>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</si>
  <si>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</si>
  <si>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</si>
  <si>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</si>
  <si>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</si>
  <si>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</si>
  <si>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</si>
  <si>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</si>
  <si>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</si>
  <si>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</si>
  <si>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</si>
  <si>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</si>
  <si>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</si>
  <si>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</si>
  <si>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</si>
  <si>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</si>
  <si>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</si>
  <si>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</si>
  <si>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</si>
  <si>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</si>
  <si>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</si>
  <si>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</si>
  <si>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</si>
  <si>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</si>
  <si>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</si>
  <si>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</si>
  <si>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</si>
  <si>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</si>
  <si>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</si>
  <si>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</si>
  <si>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</si>
  <si>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</si>
  <si>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</si>
  <si>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</si>
  <si>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</si>
  <si>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</si>
  <si>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</si>
  <si>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</si>
  <si>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</si>
  <si>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</si>
  <si>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</si>
  <si>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</si>
  <si>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</si>
  <si>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</si>
  <si>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</si>
  <si>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</si>
  <si>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</si>
  <si>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</si>
  <si>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</si>
  <si>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</si>
  <si>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</si>
  <si>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</si>
  <si>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</si>
  <si>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</si>
  <si>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</si>
  <si>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</si>
  <si>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</si>
  <si>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</si>
  <si>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</si>
  <si>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</si>
  <si>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</si>
  <si>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</si>
  <si>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</si>
  <si>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</si>
  <si>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</si>
  <si>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</si>
  <si>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</si>
  <si>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</si>
  <si>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</si>
  <si>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</si>
  <si>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</si>
  <si>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</si>
  <si>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</si>
  <si>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</si>
  <si>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</si>
  <si>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</si>
  <si>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</si>
  <si>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</si>
  <si>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</si>
  <si>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</si>
  <si>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</si>
  <si>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</si>
  <si>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</si>
  <si>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</si>
  <si>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</si>
  <si>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</si>
  <si>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</si>
  <si>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</si>
  <si>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</si>
  <si>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</si>
  <si>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</si>
  <si>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</si>
  <si>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</si>
  <si>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</si>
  <si>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</si>
  <si>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</si>
  <si>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</si>
  <si>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</si>
  <si>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</si>
  <si>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</si>
  <si>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</si>
  <si>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</si>
  <si>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</si>
  <si>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</si>
  <si>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</si>
  <si>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</si>
  <si>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</si>
  <si>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</si>
  <si>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</si>
  <si>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</si>
  <si>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</si>
  <si>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</si>
  <si>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</si>
  <si>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</si>
  <si>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</si>
  <si>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</si>
  <si>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</si>
  <si>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</si>
  <si>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</si>
  <si>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</si>
  <si>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</si>
  <si>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</si>
  <si>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</si>
  <si>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</si>
  <si>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</si>
  <si>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</si>
  <si>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</si>
  <si>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</si>
  <si>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</si>
  <si>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</si>
  <si>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</si>
  <si>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</si>
  <si>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</si>
  <si>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</si>
  <si>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</si>
  <si>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</si>
  <si>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</si>
  <si>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</si>
  <si>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</si>
  <si>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</si>
  <si>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</si>
  <si>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</si>
  <si>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</si>
  <si>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</si>
  <si>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</si>
  <si>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</si>
  <si>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</si>
  <si>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</si>
  <si>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</si>
  <si>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</si>
  <si>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</si>
  <si>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</si>
  <si>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</si>
  <si>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</si>
  <si>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</si>
  <si>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</si>
  <si>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</si>
  <si>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</si>
  <si>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</si>
  <si>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</si>
  <si>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</si>
  <si>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</si>
  <si>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</si>
  <si>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</si>
  <si>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</si>
  <si>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</si>
  <si>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</si>
  <si>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</si>
  <si>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</si>
  <si>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</si>
  <si>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</si>
  <si>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</si>
  <si>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</si>
  <si>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</si>
  <si>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</si>
  <si>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</si>
  <si>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</si>
  <si>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</si>
  <si>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</si>
  <si>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</si>
  <si>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</si>
  <si>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</si>
  <si>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</si>
  <si>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</si>
  <si>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</si>
  <si>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</si>
  <si>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</si>
  <si>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</si>
  <si>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</si>
  <si>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</si>
  <si>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</si>
  <si>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</si>
  <si>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</si>
  <si>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</si>
  <si>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</si>
  <si>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</si>
  <si>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</si>
  <si>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</si>
  <si>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</si>
  <si>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</si>
  <si>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</si>
  <si>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</si>
  <si>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</si>
  <si>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</si>
  <si>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</si>
  <si>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</si>
  <si>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</si>
  <si>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</si>
  <si>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</si>
  <si>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</si>
  <si>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</si>
  <si>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</si>
  <si>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</si>
  <si>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</si>
  <si>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</si>
  <si>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</si>
  <si>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</si>
  <si>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</si>
  <si>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</si>
  <si>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</si>
  <si>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</si>
  <si>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</si>
  <si>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</si>
  <si>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</si>
  <si>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</si>
  <si>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</si>
  <si>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</si>
  <si>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</si>
  <si>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</si>
  <si>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</si>
  <si>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</si>
  <si>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</si>
  <si>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</si>
  <si>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</si>
  <si>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</si>
  <si>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</si>
  <si>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</si>
  <si>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</si>
  <si>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</si>
  <si>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</si>
  <si>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</si>
  <si>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</si>
  <si>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</si>
  <si>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</si>
  <si>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</si>
  <si>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</si>
  <si>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</si>
  <si>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</si>
  <si>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</si>
  <si>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</si>
  <si>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</si>
  <si>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</si>
  <si>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</si>
  <si>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</si>
  <si>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</si>
  <si>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</si>
  <si>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</si>
  <si>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</si>
  <si>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</si>
  <si>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</si>
  <si>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</si>
  <si>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</si>
  <si>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</si>
  <si>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</si>
  <si>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</si>
  <si>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</si>
  <si>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</si>
  <si>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</si>
  <si>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</si>
  <si>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</si>
  <si>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</si>
  <si>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</si>
  <si>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</si>
  <si>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</si>
  <si>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</si>
  <si>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</si>
  <si>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</si>
  <si>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</si>
  <si>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</si>
  <si>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</si>
  <si>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</si>
  <si>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</si>
  <si>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</si>
  <si>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</si>
  <si>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</si>
  <si>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</si>
  <si>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</si>
  <si>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</si>
  <si>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</si>
  <si>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</si>
  <si>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</si>
  <si>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</si>
  <si>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</si>
  <si>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</si>
  <si>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</si>
  <si>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</si>
  <si>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</si>
  <si>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</si>
  <si>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</si>
  <si>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</si>
  <si>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</si>
  <si>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</si>
  <si>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</si>
  <si>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</si>
  <si>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</si>
  <si>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</si>
  <si>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</si>
  <si>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</si>
  <si>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</si>
  <si>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</si>
  <si>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</si>
  <si>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</si>
  <si>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</si>
  <si>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</si>
  <si>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</si>
  <si>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</si>
  <si>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</si>
  <si>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</si>
  <si>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</si>
  <si>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</si>
  <si>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</si>
  <si>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</si>
  <si>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</si>
  <si>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</si>
  <si>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</si>
  <si>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</si>
  <si>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</si>
  <si>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</si>
  <si>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</si>
  <si>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</si>
  <si>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</si>
  <si>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</si>
  <si>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</si>
  <si>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</si>
  <si>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</si>
  <si>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</si>
  <si>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</si>
  <si>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</si>
  <si>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</si>
  <si>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</si>
  <si>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</si>
  <si>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</si>
  <si>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</si>
  <si>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</si>
  <si>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</si>
  <si>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</si>
  <si>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</si>
  <si>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</si>
  <si>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</si>
  <si>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</si>
  <si>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</si>
  <si>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</si>
  <si>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</si>
  <si>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</si>
  <si>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</si>
  <si>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</si>
  <si>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</si>
  <si>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</si>
  <si>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</si>
  <si>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</si>
  <si>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</si>
  <si>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</si>
  <si>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</si>
  <si>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</si>
  <si>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</si>
  <si>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</si>
  <si>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</si>
  <si>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</si>
  <si>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</si>
  <si>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</si>
  <si>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</si>
  <si>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</si>
  <si>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</si>
  <si>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</si>
  <si>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</si>
  <si>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</si>
  <si>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</si>
  <si>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</si>
  <si>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</si>
  <si>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</si>
  <si>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</si>
  <si>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</si>
  <si>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</si>
  <si>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</si>
  <si>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</si>
  <si>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</si>
  <si>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</si>
  <si>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</si>
  <si>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</si>
  <si>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</si>
  <si>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</si>
  <si>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</si>
  <si>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</si>
  <si>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</si>
  <si>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</si>
  <si>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</si>
  <si>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</si>
  <si>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</si>
  <si>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</si>
  <si>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</si>
  <si>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</si>
  <si>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</si>
  <si>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</si>
  <si>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</si>
  <si>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</si>
  <si>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</si>
  <si>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</si>
  <si>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</si>
  <si>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</si>
  <si>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</si>
  <si>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</si>
  <si>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</si>
  <si>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</si>
  <si>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</si>
  <si>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</si>
  <si>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</si>
  <si>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</si>
  <si>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</si>
  <si>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</si>
  <si>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</si>
  <si>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</si>
  <si>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</si>
  <si>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</si>
  <si>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</si>
  <si>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</si>
  <si>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</si>
  <si>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</si>
  <si>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</si>
  <si>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</si>
  <si>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</si>
  <si>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</si>
  <si>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</si>
  <si>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</si>
  <si>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</si>
  <si>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</si>
  <si>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</si>
  <si>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</si>
  <si>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</si>
  <si>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</si>
  <si>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</si>
  <si>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</si>
  <si>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</si>
  <si>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</si>
  <si>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</si>
  <si>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</si>
  <si>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</si>
  <si>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</si>
  <si>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</si>
  <si>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</si>
  <si>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</si>
  <si>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</si>
  <si>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</si>
  <si>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</si>
  <si>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</si>
  <si>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</si>
  <si>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</si>
  <si>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</si>
  <si>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</si>
  <si>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</si>
  <si>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</si>
  <si>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</si>
  <si>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</si>
  <si>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</si>
  <si>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</si>
  <si>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</si>
  <si>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</si>
  <si>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</si>
  <si>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</si>
  <si>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</si>
  <si>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</si>
  <si>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</si>
  <si>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</si>
  <si>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</si>
  <si>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</si>
  <si>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</si>
  <si>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</si>
  <si>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</si>
  <si>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</si>
  <si>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</si>
  <si>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</si>
  <si>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</si>
  <si>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</si>
  <si>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</si>
  <si>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</si>
  <si>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</si>
  <si>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</si>
  <si>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</si>
  <si>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</si>
  <si>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</si>
  <si>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</si>
  <si>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</si>
  <si>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</si>
  <si>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</si>
  <si>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</si>
  <si>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</si>
  <si>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</si>
  <si>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</si>
  <si>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</si>
  <si>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</si>
  <si>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</si>
  <si>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</si>
  <si>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</si>
  <si>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</si>
  <si>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</si>
  <si>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</si>
  <si>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</si>
  <si>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</si>
  <si>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</si>
  <si>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</si>
  <si>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</si>
  <si>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</si>
  <si>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</si>
  <si>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</si>
  <si>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</si>
  <si>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</si>
  <si>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</si>
  <si>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</si>
  <si>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</si>
  <si>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</si>
  <si>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</si>
  <si>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</si>
  <si>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</si>
  <si>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</si>
  <si>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</si>
  <si>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</si>
  <si>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</si>
  <si>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</si>
  <si>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</si>
  <si>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</si>
  <si>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</si>
  <si>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</si>
  <si>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</si>
  <si>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</si>
  <si>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</si>
  <si>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</si>
  <si>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</si>
  <si>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</si>
  <si>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</si>
  <si>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</si>
  <si>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</si>
  <si>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</si>
  <si>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</si>
  <si>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</si>
  <si>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</si>
  <si>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</si>
  <si>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</si>
  <si>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</si>
  <si>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</si>
  <si>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</si>
  <si>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</si>
  <si>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</si>
  <si>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</si>
  <si>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</si>
  <si>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</si>
  <si>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</si>
  <si>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</si>
  <si>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</si>
  <si>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</si>
  <si>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</si>
  <si>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</si>
  <si>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</si>
  <si>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</si>
  <si>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</si>
  <si>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</si>
  <si>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</si>
  <si>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</si>
  <si>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</si>
  <si>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</si>
  <si>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</si>
  <si>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</si>
  <si>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</si>
  <si>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</si>
  <si>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</si>
  <si>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</si>
  <si>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</si>
  <si>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</si>
  <si>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</si>
  <si>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</si>
  <si>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</si>
  <si>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</si>
  <si>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</si>
  <si>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</si>
  <si>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</si>
  <si>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</si>
  <si>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</si>
  <si>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</si>
  <si>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</si>
  <si>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</si>
  <si>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</si>
  <si>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</si>
  <si>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</si>
  <si>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</si>
  <si>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</si>
  <si>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</si>
  <si>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</si>
  <si>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</si>
  <si>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</si>
  <si>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</si>
  <si>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</si>
  <si>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</si>
  <si>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</si>
  <si>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</si>
  <si>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</si>
  <si>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</si>
  <si>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</si>
  <si>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</si>
  <si>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</si>
  <si>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</si>
  <si>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</si>
  <si>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</si>
  <si>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</si>
  <si>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</si>
  <si>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</si>
  <si>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</si>
  <si>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</si>
  <si>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</si>
  <si>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</si>
  <si>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</si>
  <si>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</si>
  <si>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</si>
  <si>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</si>
  <si>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</si>
  <si>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</si>
  <si>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</si>
  <si>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</si>
  <si>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</si>
  <si>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</si>
  <si>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</si>
  <si>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</si>
  <si>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</si>
  <si>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</si>
  <si>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</si>
  <si>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</si>
  <si>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</si>
  <si>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</si>
  <si>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</si>
  <si>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</si>
  <si>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</si>
  <si>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</si>
  <si>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</si>
  <si>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</si>
  <si>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</si>
  <si>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</si>
  <si>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</si>
  <si>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</si>
  <si>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</si>
  <si>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</si>
  <si>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</si>
  <si>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</si>
  <si>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</si>
  <si>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</si>
  <si>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</si>
  <si>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</si>
  <si>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</si>
  <si>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</si>
  <si>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</si>
  <si>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</si>
  <si>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</si>
  <si>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</si>
  <si>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</si>
  <si>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</si>
  <si>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</si>
  <si>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</si>
  <si>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</si>
  <si>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</si>
  <si>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</si>
  <si>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</si>
  <si>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</si>
  <si>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</si>
  <si>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</si>
  <si>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</si>
  <si>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</si>
  <si>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</si>
  <si>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</si>
  <si>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</si>
  <si>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</si>
  <si>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</si>
  <si>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</si>
  <si>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</si>
  <si>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</si>
  <si>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</si>
  <si>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</si>
  <si>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</si>
  <si>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</si>
  <si>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</si>
  <si>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</si>
  <si>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</si>
  <si>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</si>
  <si>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</si>
  <si>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</si>
  <si>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</si>
  <si>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</si>
  <si>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</si>
  <si>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</si>
  <si>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</si>
  <si>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</si>
  <si>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</si>
  <si>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</si>
  <si>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</si>
  <si>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</si>
  <si>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</si>
  <si>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</si>
  <si>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</si>
  <si>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</si>
  <si>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</si>
  <si>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</si>
  <si>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</si>
  <si>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</si>
  <si>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</si>
  <si>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</si>
  <si>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</si>
  <si>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</si>
  <si>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</si>
  <si>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</si>
  <si>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</si>
  <si>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</si>
  <si>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</si>
  <si>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</si>
  <si>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</si>
  <si>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</si>
  <si>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</si>
  <si>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</si>
  <si>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</si>
  <si>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</si>
  <si>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</si>
  <si>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</si>
  <si>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</si>
  <si>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</si>
  <si>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</si>
  <si>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</si>
  <si>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</si>
  <si>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</si>
  <si>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</si>
  <si>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</si>
  <si>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</si>
  <si>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</si>
  <si>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</si>
  <si>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</si>
  <si>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</si>
  <si>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</si>
  <si>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</si>
  <si>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</si>
  <si>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</si>
  <si>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</si>
  <si>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</si>
  <si>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</si>
  <si>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</si>
  <si>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</si>
  <si>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</si>
  <si>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</si>
  <si>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</si>
  <si>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</si>
  <si>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</si>
  <si>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</si>
  <si>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</si>
  <si>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</si>
  <si>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</si>
  <si>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</si>
  <si>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</si>
  <si>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</si>
  <si>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</si>
  <si>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</si>
  <si>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</si>
  <si>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</si>
  <si>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</si>
  <si>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</si>
  <si>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</si>
  <si>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</si>
  <si>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</si>
  <si>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</si>
  <si>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</si>
  <si>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</si>
  <si>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</si>
  <si>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</si>
  <si>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</si>
  <si>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</si>
  <si>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</si>
  <si>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</si>
  <si>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</si>
  <si>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</si>
  <si>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</si>
  <si>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</si>
  <si>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</si>
  <si>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</si>
  <si>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</si>
  <si>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</si>
  <si>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</si>
  <si>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</si>
  <si>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</si>
  <si>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</si>
  <si>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</si>
  <si>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</si>
  <si>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</si>
  <si>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</si>
  <si>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</si>
  <si>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</si>
  <si>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</si>
  <si>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</si>
  <si>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</si>
  <si>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</si>
  <si>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</si>
  <si>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</si>
  <si>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</si>
  <si>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</si>
  <si>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</si>
  <si>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</si>
  <si>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</si>
  <si>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</si>
  <si>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</si>
  <si>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</si>
  <si>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</si>
  <si>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</si>
  <si>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</si>
  <si>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</si>
  <si>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</si>
  <si>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</si>
  <si>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</si>
  <si>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</si>
  <si>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</si>
  <si>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</si>
  <si>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</si>
  <si>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</si>
  <si>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</si>
  <si>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</si>
  <si>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</si>
  <si>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</si>
  <si>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</si>
  <si>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</si>
  <si>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</si>
  <si>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</si>
  <si>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</si>
  <si>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</si>
  <si>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</si>
  <si>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</si>
  <si>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</si>
  <si>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</si>
  <si>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</si>
  <si>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</si>
  <si>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</si>
  <si>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</si>
  <si>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</si>
  <si>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</si>
  <si>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</si>
  <si>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</si>
  <si>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</si>
  <si>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</si>
  <si>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</si>
  <si>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</si>
  <si>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</si>
  <si>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</si>
  <si>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</si>
  <si>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</si>
  <si>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</si>
  <si>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</si>
  <si>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</si>
  <si>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</si>
  <si>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</si>
  <si>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</si>
  <si>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</si>
  <si>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</si>
  <si>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</si>
  <si>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</si>
  <si>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</si>
  <si>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</si>
  <si>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</si>
  <si>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</si>
  <si>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</si>
  <si>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</si>
  <si>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</si>
  <si>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</si>
  <si>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</si>
  <si>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</si>
  <si>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</si>
  <si>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</si>
  <si>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</si>
  <si>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</si>
  <si>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</si>
  <si>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</si>
  <si>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</si>
  <si>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</si>
  <si>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</si>
  <si>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</si>
  <si>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</si>
  <si>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</si>
  <si>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</si>
  <si>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</si>
  <si>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</si>
  <si>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</si>
  <si>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</si>
  <si>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</si>
  <si>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</si>
  <si>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</si>
  <si>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</si>
  <si>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</si>
  <si>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</si>
  <si>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</si>
  <si>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</si>
  <si>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</si>
  <si>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</si>
  <si>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</si>
  <si>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</si>
  <si>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</si>
  <si>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</si>
  <si>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</si>
  <si>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</si>
  <si>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</si>
  <si>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</si>
  <si>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</si>
  <si>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</si>
  <si>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</si>
  <si>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</si>
  <si>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</si>
  <si>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</si>
  <si>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</si>
  <si>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</si>
  <si>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</si>
  <si>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</si>
  <si>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</si>
  <si>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</si>
  <si>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</si>
  <si>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</si>
  <si>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</si>
  <si>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</si>
  <si>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</si>
  <si>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</si>
  <si>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</si>
  <si>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</si>
  <si>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</si>
  <si>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</si>
  <si>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</si>
  <si>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</si>
  <si>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</si>
  <si>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</si>
  <si>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</si>
  <si>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</si>
  <si>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</si>
  <si>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</si>
  <si>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</si>
  <si>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</si>
  <si>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</si>
  <si>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</si>
  <si>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</si>
  <si>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</si>
  <si>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</si>
  <si>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</si>
  <si>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</si>
  <si>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</si>
  <si>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</si>
  <si>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</si>
  <si>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</si>
  <si>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</si>
  <si>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</si>
  <si>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</si>
  <si>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</si>
  <si>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</si>
  <si>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</si>
  <si>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</si>
  <si>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</si>
  <si>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</si>
  <si>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</si>
  <si>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</si>
  <si>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</si>
  <si>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</si>
  <si>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</si>
  <si>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</si>
  <si>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</si>
  <si>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</si>
  <si>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</si>
  <si>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</si>
  <si>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</si>
  <si>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</si>
  <si>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</si>
  <si>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</si>
  <si>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</si>
  <si>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</si>
  <si>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</si>
  <si>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</si>
  <si>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</si>
  <si>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</si>
  <si>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</si>
  <si>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</si>
  <si>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</si>
  <si>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</si>
  <si>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</si>
  <si>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</si>
  <si>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</si>
  <si>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</si>
  <si>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</si>
  <si>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</si>
  <si>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</si>
  <si>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</si>
  <si>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</si>
  <si>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</si>
  <si>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</si>
  <si>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</si>
  <si>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</si>
  <si>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</si>
  <si>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</si>
  <si>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</si>
  <si>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</si>
  <si>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</si>
  <si>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</si>
  <si>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</si>
  <si>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</si>
  <si>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</si>
  <si>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</si>
  <si>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</si>
  <si>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</si>
  <si>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</si>
  <si>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</si>
  <si>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</si>
  <si>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</si>
  <si>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</si>
  <si>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</si>
  <si>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</si>
  <si>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</si>
  <si>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</si>
  <si>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</si>
  <si>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</si>
  <si>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</si>
  <si>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</si>
  <si>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</si>
  <si>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</si>
  <si>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</si>
  <si>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</si>
  <si>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</si>
  <si>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</si>
  <si>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</si>
  <si>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</si>
  <si>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</si>
  <si>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</si>
  <si>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</si>
  <si>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</si>
  <si>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</si>
  <si>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</si>
  <si>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</si>
  <si>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</si>
  <si>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</si>
  <si>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</si>
  <si>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</si>
  <si>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</si>
  <si>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</si>
  <si>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</si>
  <si>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</si>
  <si>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</si>
  <si>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</si>
  <si>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</si>
  <si>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</si>
  <si>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</si>
  <si>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</si>
  <si>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</si>
  <si>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</si>
  <si>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</si>
  <si>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</si>
  <si>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</si>
  <si>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</si>
  <si>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</si>
  <si>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</si>
  <si>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</si>
  <si>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</si>
  <si>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</si>
  <si>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</si>
  <si>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</si>
  <si>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</si>
  <si>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</si>
  <si>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</si>
  <si>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</si>
  <si>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</si>
  <si>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</si>
  <si>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</si>
  <si>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</si>
  <si>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</si>
  <si>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</si>
  <si>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</si>
  <si>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</si>
  <si>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</si>
  <si>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</si>
  <si>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</si>
  <si>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</si>
  <si>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</si>
  <si>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</si>
  <si>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</si>
  <si>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</si>
  <si>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</si>
  <si>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</si>
  <si>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</si>
  <si>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</si>
  <si>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</si>
  <si>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</si>
  <si>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</si>
  <si>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</si>
  <si>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</si>
  <si>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</si>
  <si>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</si>
  <si>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</si>
  <si>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</si>
  <si>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</si>
  <si>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</si>
  <si>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</si>
  <si>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</si>
  <si>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</si>
  <si>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</si>
  <si>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</si>
  <si>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</si>
  <si>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</si>
  <si>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</si>
  <si>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</si>
  <si>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</si>
  <si>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</si>
  <si>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</si>
  <si>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</si>
  <si>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</si>
  <si>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</si>
  <si>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</si>
  <si>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</si>
  <si>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</si>
  <si>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</si>
  <si>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</si>
  <si>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</si>
  <si>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</si>
  <si>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</si>
  <si>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</si>
  <si>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</si>
  <si>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</si>
  <si>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</si>
  <si>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</si>
  <si>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</si>
  <si>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</si>
  <si>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</si>
  <si>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</si>
  <si>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</si>
  <si>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</si>
  <si>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</si>
  <si>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</si>
  <si>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</si>
  <si>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</si>
  <si>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</si>
  <si>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</si>
  <si>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</si>
  <si>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</si>
  <si>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</si>
  <si>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</si>
  <si>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</si>
  <si>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</si>
  <si>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</si>
  <si>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</si>
  <si>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</si>
  <si>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</si>
  <si>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</si>
  <si>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</si>
  <si>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</si>
  <si>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</si>
  <si>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</si>
  <si>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</si>
  <si>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</si>
  <si>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</si>
  <si>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</si>
  <si>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</si>
  <si>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</si>
  <si>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</si>
  <si>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</si>
  <si>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</si>
  <si>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</si>
  <si>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</si>
  <si>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</si>
  <si>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</si>
  <si>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</si>
  <si>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</si>
  <si>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</si>
  <si>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</si>
  <si>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</si>
  <si>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</si>
  <si>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</si>
  <si>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</si>
  <si>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</si>
  <si>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</si>
  <si>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</si>
  <si>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</si>
  <si>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</si>
  <si>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</si>
  <si>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</si>
  <si>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</si>
  <si>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</si>
  <si>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</si>
  <si>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</si>
  <si>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</si>
  <si>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</si>
  <si>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</si>
  <si>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</si>
  <si>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</si>
  <si>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</si>
  <si>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</si>
  <si>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</si>
  <si>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</si>
  <si>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</si>
  <si>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</si>
  <si>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</si>
  <si>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</si>
  <si>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</si>
  <si>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</si>
  <si>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</si>
  <si>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</si>
  <si>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</si>
  <si>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</si>
  <si>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</si>
  <si>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</si>
  <si>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</si>
  <si>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</si>
  <si>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</si>
  <si>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</si>
  <si>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</si>
  <si>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</si>
  <si>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</si>
  <si>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</si>
  <si>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</si>
  <si>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</si>
  <si>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</si>
  <si>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</si>
  <si>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</si>
  <si>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</si>
  <si>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</si>
  <si>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</si>
  <si>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</si>
  <si>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</si>
  <si>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</si>
  <si>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</si>
  <si>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</si>
  <si>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</si>
  <si>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</si>
  <si>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</si>
  <si>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</si>
  <si>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</si>
  <si>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</si>
  <si>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</si>
  <si>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</si>
  <si>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</si>
  <si>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</si>
  <si>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</si>
  <si>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</si>
  <si>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</si>
  <si>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</si>
  <si>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</si>
  <si>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</si>
  <si>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</si>
  <si>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</si>
  <si>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</si>
  <si>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</si>
  <si>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</si>
  <si>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</si>
  <si>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</si>
  <si>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</si>
  <si>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</si>
  <si>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</si>
  <si>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</si>
  <si>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</si>
  <si>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</si>
  <si>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</si>
  <si>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</si>
  <si>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</si>
  <si>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</si>
  <si>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</si>
  <si>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</si>
  <si>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</si>
  <si>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</si>
  <si>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</si>
  <si>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</si>
  <si>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</si>
  <si>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</si>
  <si>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</si>
  <si>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</si>
  <si>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</si>
  <si>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</si>
  <si>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</si>
  <si>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</si>
  <si>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</si>
  <si>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</si>
  <si>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</si>
  <si>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</si>
  <si>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</si>
  <si>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</si>
  <si>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</si>
  <si>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</si>
  <si>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</si>
  <si>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</si>
  <si>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</si>
  <si>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</si>
  <si>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</si>
  <si>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</si>
  <si>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</si>
  <si>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</si>
  <si>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</si>
  <si>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</si>
  <si>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</si>
  <si>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</si>
  <si>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</si>
  <si>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</si>
  <si>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</si>
  <si>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</si>
  <si>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X</t>
  </si>
  <si>
    <t xml:space="preserve">McHenry </t>
  </si>
  <si>
    <t>2990 Raffel Road</t>
  </si>
  <si>
    <t xml:space="preserve">Woodstock  </t>
  </si>
  <si>
    <t>x</t>
  </si>
  <si>
    <t>Evans, Marshall and Pease, PC</t>
  </si>
  <si>
    <t>Jeffery M. Rollefson, CPA</t>
  </si>
  <si>
    <t xml:space="preserve">1875 Hicks Road </t>
  </si>
  <si>
    <t>Rolling Meadows</t>
  </si>
  <si>
    <t>Illinois</t>
  </si>
  <si>
    <t>847-221-5700</t>
  </si>
  <si>
    <t>547-221-5701</t>
  </si>
  <si>
    <t>066-005340</t>
  </si>
  <si>
    <t>jeff@empcpa.com</t>
  </si>
  <si>
    <t>PASSED THROUGH THE ILLINOIS STATE BOARD OF EDUCATION</t>
  </si>
  <si>
    <t>18-4300-00</t>
  </si>
  <si>
    <t>19-4300-00</t>
  </si>
  <si>
    <t>prog end 8/31</t>
  </si>
  <si>
    <t>18-4932-00</t>
  </si>
  <si>
    <t>19-4932-00</t>
  </si>
  <si>
    <t>19-4331-00</t>
  </si>
  <si>
    <t>Title III - Lang Inst Prog - Imm Eng Program</t>
  </si>
  <si>
    <t>19-4905-00</t>
  </si>
  <si>
    <t>Title III - Lang Instr Program Ltd English</t>
  </si>
  <si>
    <t>18-4909-00</t>
  </si>
  <si>
    <t>19-4909-00</t>
  </si>
  <si>
    <t>Title IVA - Student Support and Enrichment</t>
  </si>
  <si>
    <t>18-4400-00</t>
  </si>
  <si>
    <t>19-4400-00</t>
  </si>
  <si>
    <t>18-4600-00</t>
  </si>
  <si>
    <t>19-4600-00</t>
  </si>
  <si>
    <t>IDEA Flow through</t>
  </si>
  <si>
    <t>18-4620-00</t>
  </si>
  <si>
    <t>19-4620-00</t>
  </si>
  <si>
    <t>IDEA Room and Board</t>
  </si>
  <si>
    <t>18-4625-xc</t>
  </si>
  <si>
    <t>n/a</t>
  </si>
  <si>
    <t>Title II - Teacher Quality (M)</t>
  </si>
  <si>
    <t>IDEA Preschool  (M)</t>
  </si>
  <si>
    <t>IDEA Flow through (M)</t>
  </si>
  <si>
    <t>IDEA Room and Board (M)</t>
  </si>
  <si>
    <t>18-4625-00</t>
  </si>
  <si>
    <t>19-4625-00</t>
  </si>
  <si>
    <t>PASSED THROUGH THE MCHENRY REGIONAL OFFICE OF EDUCATION</t>
  </si>
  <si>
    <t>Title IIC Perkins Secondary</t>
  </si>
  <si>
    <t>18-4745-00</t>
  </si>
  <si>
    <t>19-4745-00</t>
  </si>
  <si>
    <t xml:space="preserve">     US DEPARTMENT OF EDUCATION</t>
  </si>
  <si>
    <t>US DEPARTMENT OF HEALTH AND HUMAN SERVICES</t>
  </si>
  <si>
    <t>PASSED THROUGH THE ILLINOIS DEPT OF HEALTHCARE AND FAMILY SERVICES</t>
  </si>
  <si>
    <t>Medicaid Matching - Adm Outreach</t>
  </si>
  <si>
    <t>18-4991-00</t>
  </si>
  <si>
    <t>19-4991-00</t>
  </si>
  <si>
    <t xml:space="preserve">     TOTAL US DEPARTMENT OF HEALTH AND HUMAN SERVICES</t>
  </si>
  <si>
    <t>US DEPARTMENT OF AGRICULTURE</t>
  </si>
  <si>
    <t>National School Lunch</t>
  </si>
  <si>
    <t>18-4210-00</t>
  </si>
  <si>
    <t>19-4210-00</t>
  </si>
  <si>
    <t>prog end 9/30</t>
  </si>
  <si>
    <t xml:space="preserve">School Breakfast </t>
  </si>
  <si>
    <t>18-4220-00</t>
  </si>
  <si>
    <t>19-4220-00</t>
  </si>
  <si>
    <t>Commodities (non-cash)</t>
  </si>
  <si>
    <t>DoD Fresh Fruits and veg (non-cash)</t>
  </si>
  <si>
    <t>FYE19</t>
  </si>
  <si>
    <t xml:space="preserve">     TOTAL US DEPARTMENT OF AGRICULTURE</t>
  </si>
  <si>
    <t xml:space="preserve">          TOTAL FEDERAL AWARDS</t>
  </si>
  <si>
    <t>The accompanying Schedule of Expenditures of Federal Awards includes the federal grant activity of Woodstock CUSD No. 200 and is presented on the modifed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</si>
  <si>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Woodstock CUSD No. 200 provided federal awards to subrecipients as follows:</t>
  </si>
  <si>
    <t>none</t>
  </si>
  <si>
    <t>The following amounts were expended in the form of non-cash assistance by Woodstock CUSD No. 200 and is included in the Schedule of Expenditures of Federal Awards:</t>
  </si>
  <si>
    <t>no</t>
  </si>
  <si>
    <t>Unmodified</t>
  </si>
  <si>
    <t>IDEA Preschool</t>
  </si>
  <si>
    <t>Capital lease</t>
  </si>
  <si>
    <t>2006B CABS</t>
  </si>
  <si>
    <t>2013 Limited</t>
  </si>
  <si>
    <t>2010A Build America</t>
  </si>
  <si>
    <t>3,4</t>
  </si>
  <si>
    <t>2010C Refunding</t>
  </si>
  <si>
    <t>2010D Refunding</t>
  </si>
  <si>
    <t>2011 Refunding</t>
  </si>
  <si>
    <t>2012A Refunding</t>
  </si>
  <si>
    <t>2012B Refunding</t>
  </si>
  <si>
    <t>2013 Refunding</t>
  </si>
  <si>
    <t>2014 Refunding</t>
  </si>
  <si>
    <t>2015A Refunding</t>
  </si>
  <si>
    <t>2015B Refunding</t>
  </si>
  <si>
    <t>2018 Refunding</t>
  </si>
  <si>
    <t>Page 24 Line 31 - proceeds from capital lease</t>
  </si>
  <si>
    <t>Page 24 Lines 34 and 35 - refunded bonds</t>
  </si>
  <si>
    <t>ED - Instruction - Other Services</t>
  </si>
  <si>
    <t>ED - Support Servs - Other Services</t>
  </si>
  <si>
    <t>Trans - Pupil Transportation - Other Services</t>
  </si>
  <si>
    <t>10-1000-300</t>
  </si>
  <si>
    <t>10-2100-300</t>
  </si>
  <si>
    <t>10-2200-300</t>
  </si>
  <si>
    <t>40-2550-300</t>
  </si>
  <si>
    <t>Equal Opportunity Schools</t>
  </si>
  <si>
    <t>On To College</t>
  </si>
  <si>
    <t>Stans Office Technologies</t>
  </si>
  <si>
    <t>U.S. Bank</t>
  </si>
  <si>
    <t>Centegra Health System</t>
  </si>
  <si>
    <t>Soliant Health/VocoVision</t>
  </si>
  <si>
    <t>BrightStar Care</t>
  </si>
  <si>
    <t>Riley CCSD 18</t>
  </si>
  <si>
    <t>ECRA Group Incorporated</t>
  </si>
  <si>
    <t>Schoolbells</t>
  </si>
  <si>
    <t>Lakeview Bus Lines, Inc.</t>
  </si>
  <si>
    <t>SD No. 3,12,15,19,26,36,46,47,50,154,155,157,158,165,200,205</t>
  </si>
  <si>
    <t>CLIC</t>
  </si>
  <si>
    <t>PMA</t>
  </si>
  <si>
    <t>KIDS, MCHENRY ROE</t>
  </si>
  <si>
    <t>SIPC/COMMUNITIES/STATE OF IL PROCUREMENT/NUPA/NIIPC</t>
  </si>
  <si>
    <t>accrual adjustment</t>
  </si>
  <si>
    <t>Build America Bonds</t>
  </si>
  <si>
    <t>Woodstock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</si>
</sst>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86" fillId="0" borderId="22" xfId="3" applyNumberFormat="1" applyFont="1" applyBorder="1" applyAlignment="1" applyProtection="1">
      <alignment horizontal="left" vertical="center" wrapText="1"/>
      <protection locked="0"/>
    </xf>
    <xf numFmtId="3" fontId="86" fillId="0" borderId="22"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47625</xdr:rowOff>
        </xdr:from>
        <xdr:to>
          <xdr:col>1</xdr:col>
          <xdr:colOff>971550</xdr:colOff>
          <xdr:row>5</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1</xdr:row>
          <xdr:rowOff>38100</xdr:rowOff>
        </xdr:from>
        <xdr:to>
          <xdr:col>1</xdr:col>
          <xdr:colOff>2028825</xdr:colOff>
          <xdr:row>5</xdr:row>
          <xdr:rowOff>76200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1</xdr:row>
          <xdr:rowOff>19050</xdr:rowOff>
        </xdr:from>
        <xdr:to>
          <xdr:col>1</xdr:col>
          <xdr:colOff>3086100</xdr:colOff>
          <xdr:row>5</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3238500</xdr:colOff>
          <xdr:row>1</xdr:row>
          <xdr:rowOff>0</xdr:rowOff>
        </xdr:from>
        <xdr:to>
          <xdr:col>2</xdr:col>
          <xdr:colOff>171450</xdr:colOff>
          <xdr:row>5</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Microsoft_Excel_97-2003_Worksheet.xls"/><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7" t="s">
        <v>404</v>
      </c>
      <c r="J1" s="1988"/>
      <c r="K1" s="1988"/>
      <c r="L1" s="1988"/>
      <c r="M1" s="1988"/>
      <c r="N1" s="1988"/>
      <c r="O1" s="1988"/>
      <c r="P1" s="1988"/>
      <c r="Q1" s="1988"/>
      <c r="R1" s="1988"/>
      <c r="S1" s="1988"/>
    </row>
    <row r="2" spans="1:28" ht="12" customHeight="1" x14ac:dyDescent="0.2">
      <c r="A2" s="47" t="s">
        <v>1989</v>
      </c>
      <c r="D2" s="48"/>
      <c r="I2" s="1989" t="s">
        <v>978</v>
      </c>
      <c r="J2" s="1988"/>
      <c r="K2" s="1988"/>
      <c r="L2" s="1988"/>
      <c r="M2" s="1988"/>
      <c r="N2" s="1988"/>
      <c r="O2" s="1988"/>
      <c r="P2" s="1988"/>
      <c r="Q2" s="1988"/>
      <c r="R2" s="1988"/>
      <c r="S2" s="1988"/>
    </row>
    <row r="3" spans="1:28" ht="12" customHeight="1" x14ac:dyDescent="0.2">
      <c r="A3" s="155" t="s">
        <v>1941</v>
      </c>
      <c r="B3" s="156"/>
      <c r="C3" s="156"/>
      <c r="D3" s="157"/>
      <c r="I3" s="1989" t="s">
        <v>52</v>
      </c>
      <c r="J3" s="1988"/>
      <c r="K3" s="1988"/>
      <c r="L3" s="1988"/>
      <c r="M3" s="1988"/>
      <c r="N3" s="1988"/>
      <c r="O3" s="1988"/>
      <c r="P3" s="1988"/>
      <c r="Q3" s="1988"/>
      <c r="R3" s="1988"/>
      <c r="S3" s="1988"/>
    </row>
    <row r="4" spans="1:28" ht="12" customHeight="1" x14ac:dyDescent="0.2">
      <c r="A4" s="37"/>
      <c r="I4" s="1989" t="s">
        <v>523</v>
      </c>
      <c r="J4" s="1988"/>
      <c r="K4" s="1988"/>
      <c r="L4" s="1988"/>
      <c r="M4" s="1988"/>
      <c r="N4" s="1988"/>
      <c r="O4" s="1988"/>
      <c r="P4" s="1988"/>
      <c r="Q4" s="1988"/>
      <c r="R4" s="1988"/>
      <c r="S4" s="1988"/>
    </row>
    <row r="5" spans="1:28" ht="14.1" customHeight="1" x14ac:dyDescent="0.2">
      <c r="B5" s="104" t="s">
        <v>2061</v>
      </c>
      <c r="C5" s="26" t="s">
        <v>909</v>
      </c>
      <c r="D5" s="84"/>
      <c r="E5" s="84"/>
      <c r="H5" s="38"/>
      <c r="I5" s="1997" t="s">
        <v>679</v>
      </c>
      <c r="J5" s="1996"/>
      <c r="K5" s="1996"/>
      <c r="L5" s="1996"/>
      <c r="M5" s="1996"/>
      <c r="N5" s="1996"/>
      <c r="O5" s="1996"/>
      <c r="P5" s="1996"/>
      <c r="Q5" s="1996"/>
      <c r="R5" s="1996"/>
      <c r="S5" s="1996"/>
    </row>
    <row r="6" spans="1:28" ht="14.1" customHeight="1" x14ac:dyDescent="0.2">
      <c r="B6" s="104"/>
      <c r="C6" s="26" t="s">
        <v>910</v>
      </c>
      <c r="D6" s="84"/>
      <c r="E6" s="84"/>
      <c r="I6" s="1995" t="s">
        <v>882</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673</v>
      </c>
      <c r="J9" s="1993"/>
      <c r="K9" s="1993"/>
      <c r="L9" s="1993"/>
      <c r="M9" s="1993"/>
      <c r="N9" s="1993"/>
      <c r="O9" s="1993"/>
      <c r="P9" s="1993"/>
      <c r="Q9" s="1993"/>
      <c r="R9" s="1993"/>
      <c r="S9" s="1994"/>
      <c r="T9" s="2008" t="s">
        <v>532</v>
      </c>
      <c r="U9" s="2009"/>
      <c r="V9" s="2009"/>
      <c r="W9" s="2009"/>
      <c r="X9" s="2009"/>
      <c r="Y9" s="2009"/>
      <c r="Z9" s="2009"/>
      <c r="AA9" s="2010"/>
    </row>
    <row r="10" spans="1:28" ht="13.5" customHeight="1" x14ac:dyDescent="0.2">
      <c r="A10" s="2015" t="s">
        <v>674</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954</v>
      </c>
      <c r="B11" s="2019"/>
      <c r="C11" s="2019"/>
      <c r="D11" s="2019"/>
      <c r="E11" s="2019"/>
      <c r="F11" s="2019"/>
      <c r="G11" s="2019"/>
      <c r="H11" s="2020"/>
      <c r="I11" s="27"/>
      <c r="J11" s="74"/>
      <c r="K11" s="27"/>
      <c r="O11" s="148" t="s">
        <v>2065</v>
      </c>
      <c r="P11" s="100" t="s">
        <v>201</v>
      </c>
      <c r="Q11" s="30"/>
      <c r="R11" s="28"/>
      <c r="S11" s="27"/>
      <c r="T11" s="2012"/>
      <c r="U11" s="2013"/>
      <c r="V11" s="2013"/>
      <c r="W11" s="2013"/>
      <c r="X11" s="2013"/>
      <c r="Y11" s="2013"/>
      <c r="Z11" s="2013"/>
      <c r="AA11" s="2014"/>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2">
        <v>44063200026</v>
      </c>
      <c r="B13" s="2023"/>
      <c r="C13" s="2023"/>
      <c r="D13" s="2023"/>
      <c r="E13" s="2023"/>
      <c r="F13" s="2023"/>
      <c r="G13" s="2023"/>
      <c r="H13" s="2024"/>
      <c r="I13" s="31"/>
      <c r="J13" s="30"/>
      <c r="K13" s="28"/>
      <c r="L13" s="30"/>
      <c r="M13" s="30"/>
      <c r="N13" s="30"/>
      <c r="O13" s="30"/>
      <c r="P13" s="30"/>
      <c r="Q13" s="30"/>
      <c r="R13" s="30"/>
      <c r="S13" s="30"/>
      <c r="T13" s="2027" t="s">
        <v>2066</v>
      </c>
      <c r="U13" s="2028"/>
      <c r="V13" s="2028"/>
      <c r="W13" s="2028"/>
      <c r="X13" s="2028"/>
      <c r="Y13" s="2029"/>
      <c r="Z13" s="2029"/>
      <c r="AA13" s="203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1" t="s">
        <v>2062</v>
      </c>
      <c r="B15" s="2025"/>
      <c r="C15" s="2025"/>
      <c r="D15" s="2025"/>
      <c r="E15" s="2025"/>
      <c r="F15" s="2025"/>
      <c r="G15" s="2025"/>
      <c r="H15" s="2026"/>
      <c r="T15" s="2031" t="s">
        <v>2067</v>
      </c>
      <c r="U15" s="1975"/>
      <c r="V15" s="1975"/>
      <c r="W15" s="1975"/>
      <c r="X15" s="1975"/>
      <c r="Y15" s="2032"/>
      <c r="Z15" s="2032"/>
      <c r="AA15" s="203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1" t="s">
        <v>2177</v>
      </c>
      <c r="B17" s="1982"/>
      <c r="C17" s="1982"/>
      <c r="D17" s="1982"/>
      <c r="E17" s="1982"/>
      <c r="F17" s="1982"/>
      <c r="G17" s="1982"/>
      <c r="H17" s="2007"/>
      <c r="T17" s="2038" t="s">
        <v>2068</v>
      </c>
      <c r="U17" s="2039"/>
      <c r="V17" s="2039"/>
      <c r="W17" s="2039"/>
      <c r="X17" s="2039"/>
      <c r="Y17" s="2039"/>
      <c r="Z17" s="2039"/>
      <c r="AA17" s="2040"/>
    </row>
    <row r="18" spans="1:27" ht="13.5" customHeight="1" x14ac:dyDescent="0.2">
      <c r="A18" s="85" t="s">
        <v>529</v>
      </c>
      <c r="B18" s="76"/>
      <c r="C18" s="72"/>
      <c r="D18" s="76"/>
      <c r="E18" s="76"/>
      <c r="F18" s="76"/>
      <c r="G18" s="76"/>
      <c r="H18" s="56"/>
      <c r="I18" s="2006" t="s">
        <v>675</v>
      </c>
      <c r="J18" s="1957"/>
      <c r="K18" s="1957"/>
      <c r="L18" s="1957"/>
      <c r="M18" s="1957"/>
      <c r="N18" s="1957"/>
      <c r="O18" s="1957"/>
      <c r="P18" s="1957"/>
      <c r="Q18" s="1957"/>
      <c r="R18" s="1957"/>
      <c r="S18" s="1958"/>
      <c r="T18" s="85" t="s">
        <v>710</v>
      </c>
      <c r="U18" s="51"/>
      <c r="V18" s="72"/>
      <c r="W18" s="50"/>
      <c r="X18" s="85" t="s">
        <v>265</v>
      </c>
      <c r="Y18" s="81"/>
      <c r="Z18" s="159" t="s">
        <v>676</v>
      </c>
      <c r="AA18" s="46"/>
    </row>
    <row r="19" spans="1:27" ht="13.5" customHeight="1" x14ac:dyDescent="0.2">
      <c r="A19" s="2021" t="s">
        <v>2063</v>
      </c>
      <c r="B19" s="1967"/>
      <c r="C19" s="1967"/>
      <c r="D19" s="1967"/>
      <c r="E19" s="1967"/>
      <c r="F19" s="1967"/>
      <c r="G19" s="1967"/>
      <c r="H19" s="1947"/>
      <c r="I19" s="30"/>
      <c r="J19" s="99"/>
      <c r="K19" s="40"/>
      <c r="L19" s="38"/>
      <c r="M19" s="112" t="s">
        <v>314</v>
      </c>
      <c r="P19" s="27"/>
      <c r="Q19" s="27"/>
      <c r="R19" s="27"/>
      <c r="S19" s="31"/>
      <c r="T19" s="2021" t="s">
        <v>2069</v>
      </c>
      <c r="U19" s="1946"/>
      <c r="V19" s="1946"/>
      <c r="W19" s="1947"/>
      <c r="X19" s="2036" t="s">
        <v>2070</v>
      </c>
      <c r="Y19" s="2037"/>
      <c r="Z19" s="2034">
        <v>60008</v>
      </c>
      <c r="AA19" s="203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5" t="s">
        <v>2064</v>
      </c>
      <c r="B21" s="1946"/>
      <c r="C21" s="1946"/>
      <c r="D21" s="1946"/>
      <c r="E21" s="1946"/>
      <c r="F21" s="1946"/>
      <c r="G21" s="1946"/>
      <c r="H21" s="1947"/>
      <c r="I21" s="2001" t="s">
        <v>677</v>
      </c>
      <c r="J21" s="1996"/>
      <c r="K21" s="1996"/>
      <c r="L21" s="1996"/>
      <c r="M21" s="1996"/>
      <c r="N21" s="1996"/>
      <c r="O21" s="1996"/>
      <c r="P21" s="1996"/>
      <c r="Q21" s="1996"/>
      <c r="R21" s="1996"/>
      <c r="S21" s="2002"/>
      <c r="T21" s="2045" t="s">
        <v>2071</v>
      </c>
      <c r="U21" s="2046"/>
      <c r="V21" s="2046"/>
      <c r="W21" s="2046"/>
      <c r="X21" s="2051" t="s">
        <v>2072</v>
      </c>
      <c r="Y21" s="2052"/>
      <c r="Z21" s="2052"/>
      <c r="AA21" s="2053"/>
    </row>
    <row r="22" spans="1:27" ht="13.5" customHeight="1" x14ac:dyDescent="0.2">
      <c r="A22" s="87" t="s">
        <v>530</v>
      </c>
      <c r="B22" s="59"/>
      <c r="C22" s="59"/>
      <c r="D22" s="59"/>
      <c r="E22" s="59"/>
      <c r="F22" s="59"/>
      <c r="G22" s="59"/>
      <c r="H22" s="60"/>
      <c r="I22" s="2003" t="s">
        <v>1428</v>
      </c>
      <c r="J22" s="2004"/>
      <c r="K22" s="2004"/>
      <c r="L22" s="2004"/>
      <c r="M22" s="2004"/>
      <c r="N22" s="2004"/>
      <c r="O22" s="2004"/>
      <c r="P22" s="2004"/>
      <c r="Q22" s="2004"/>
      <c r="R22" s="2004"/>
      <c r="S22" s="2005"/>
      <c r="T22" s="85" t="s">
        <v>1515</v>
      </c>
      <c r="U22" s="51"/>
      <c r="V22" s="72"/>
      <c r="W22" s="51"/>
      <c r="X22" s="160" t="s">
        <v>1317</v>
      </c>
      <c r="Z22" s="45"/>
      <c r="AA22" s="46"/>
    </row>
    <row r="23" spans="1:27" ht="13.5" customHeight="1" x14ac:dyDescent="0.2">
      <c r="A23" s="1998"/>
      <c r="B23" s="1999"/>
      <c r="C23" s="1999"/>
      <c r="D23" s="1999"/>
      <c r="E23" s="1999"/>
      <c r="F23" s="1999"/>
      <c r="G23" s="1999"/>
      <c r="H23" s="2000"/>
      <c r="T23" s="1981" t="s">
        <v>2073</v>
      </c>
      <c r="U23" s="2044"/>
      <c r="V23" s="2044"/>
      <c r="W23" s="2044"/>
      <c r="X23" s="2048">
        <v>44530</v>
      </c>
      <c r="Y23" s="2049"/>
      <c r="Z23" s="2049"/>
      <c r="AA23" s="2050"/>
    </row>
    <row r="24" spans="1:27" ht="14.1" customHeight="1" x14ac:dyDescent="0.2">
      <c r="A24" s="88" t="s">
        <v>676</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530</v>
      </c>
      <c r="U24" s="106"/>
      <c r="V24" s="106"/>
      <c r="W24" s="106"/>
      <c r="X24" s="107"/>
      <c r="Y24" s="107"/>
      <c r="Z24" s="107"/>
      <c r="AA24" s="108"/>
    </row>
    <row r="25" spans="1:27" ht="14.1" customHeight="1" x14ac:dyDescent="0.2">
      <c r="A25" s="1945">
        <v>60098</v>
      </c>
      <c r="B25" s="1946"/>
      <c r="C25" s="1946"/>
      <c r="D25" s="1946"/>
      <c r="E25" s="1946"/>
      <c r="F25" s="1946"/>
      <c r="G25" s="1946"/>
      <c r="H25" s="1947"/>
      <c r="I25" s="113"/>
      <c r="J25" s="1970"/>
      <c r="K25" s="1970"/>
      <c r="L25" s="1970"/>
      <c r="M25" s="1970"/>
      <c r="N25" s="1970"/>
      <c r="O25" s="1970"/>
      <c r="P25" s="1970"/>
      <c r="Q25" s="1970"/>
      <c r="R25" s="1970"/>
      <c r="S25" s="1971"/>
      <c r="T25" s="2041" t="s">
        <v>2074</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6" t="s">
        <v>1510</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2065</v>
      </c>
      <c r="F29" s="141" t="s">
        <v>1315</v>
      </c>
      <c r="G29" s="114"/>
      <c r="I29" s="54"/>
      <c r="J29" s="148" t="s">
        <v>2065</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2065</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2065</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1"/>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530</v>
      </c>
      <c r="B39" s="1952"/>
      <c r="C39" s="72"/>
      <c r="D39" s="69"/>
      <c r="E39" s="69"/>
      <c r="F39" s="79"/>
      <c r="G39" s="69"/>
      <c r="H39" s="56"/>
      <c r="I39" s="1951" t="s">
        <v>530</v>
      </c>
      <c r="J39" s="1952"/>
      <c r="K39" s="1952"/>
      <c r="L39" s="1952"/>
      <c r="M39" s="1952"/>
      <c r="N39" s="67"/>
      <c r="O39" s="72"/>
      <c r="P39" s="72"/>
      <c r="Q39" s="78"/>
      <c r="R39" s="72"/>
      <c r="S39" s="56"/>
      <c r="T39" s="72" t="s">
        <v>530</v>
      </c>
      <c r="U39" s="51"/>
      <c r="V39" s="72"/>
      <c r="W39" s="50"/>
      <c r="X39" s="78"/>
      <c r="Y39" s="45"/>
      <c r="Z39" s="45"/>
      <c r="AA39" s="46"/>
    </row>
    <row r="40" spans="1:27" ht="13.5" customHeight="1" x14ac:dyDescent="0.2">
      <c r="A40" s="1959"/>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3"/>
      <c r="B42" s="1965"/>
      <c r="C42" s="1966"/>
      <c r="D42" s="1964"/>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1798</v>
      </c>
      <c r="B2" s="1528" t="s">
        <v>1947</v>
      </c>
      <c r="C2" s="714" t="s">
        <v>1948</v>
      </c>
      <c r="D2" s="714" t="s">
        <v>1949</v>
      </c>
      <c r="E2" s="714" t="s">
        <v>1950</v>
      </c>
      <c r="F2" s="714" t="s">
        <v>1951</v>
      </c>
    </row>
    <row r="3" spans="1:6" ht="12" customHeight="1" x14ac:dyDescent="0.2">
      <c r="A3" s="2188"/>
      <c r="B3" s="1525"/>
      <c r="C3" s="1526"/>
      <c r="D3" s="1527" t="s">
        <v>256</v>
      </c>
      <c r="E3" s="1526"/>
      <c r="F3" s="1527" t="s">
        <v>257</v>
      </c>
    </row>
    <row r="4" spans="1:6" ht="13.7" customHeight="1" x14ac:dyDescent="0.2">
      <c r="A4" s="715" t="s">
        <v>1154</v>
      </c>
      <c r="B4" s="1749">
        <f>'Revenues 9-14'!C5</f>
        <v>29557750</v>
      </c>
      <c r="C4" s="1524">
        <v>16160996</v>
      </c>
      <c r="D4" s="1752">
        <f>B4-C4</f>
        <v>13396754</v>
      </c>
      <c r="E4" s="1524">
        <v>31210007</v>
      </c>
      <c r="F4" s="1752">
        <f>E4-C4</f>
        <v>15049011</v>
      </c>
    </row>
    <row r="5" spans="1:6" ht="13.7" customHeight="1" x14ac:dyDescent="0.2">
      <c r="A5" s="715" t="s">
        <v>869</v>
      </c>
      <c r="B5" s="1750">
        <f>'Revenues 9-14'!D5</f>
        <v>5901076</v>
      </c>
      <c r="C5" s="585">
        <v>3198835</v>
      </c>
      <c r="D5" s="1753">
        <f t="shared" ref="D5:D18" si="0">B5-C5</f>
        <v>2702241</v>
      </c>
      <c r="E5" s="585">
        <v>6177570</v>
      </c>
      <c r="F5" s="1753">
        <f>E5-C5</f>
        <v>2978735</v>
      </c>
    </row>
    <row r="6" spans="1:6" ht="13.7" customHeight="1" x14ac:dyDescent="0.2">
      <c r="A6" s="715" t="s">
        <v>410</v>
      </c>
      <c r="B6" s="1750">
        <f>'Revenues 9-14'!E5</f>
        <v>6938348</v>
      </c>
      <c r="C6" s="585">
        <v>3111123</v>
      </c>
      <c r="D6" s="1753">
        <f t="shared" si="0"/>
        <v>3827225</v>
      </c>
      <c r="E6" s="585">
        <v>6008167</v>
      </c>
      <c r="F6" s="1753">
        <f t="shared" ref="F6:F18" si="1">E6-C6</f>
        <v>2897044</v>
      </c>
    </row>
    <row r="7" spans="1:6" ht="13.7" customHeight="1" x14ac:dyDescent="0.2">
      <c r="A7" s="715" t="s">
        <v>155</v>
      </c>
      <c r="B7" s="1750">
        <f>'Revenues 9-14'!F5</f>
        <v>1785370</v>
      </c>
      <c r="C7" s="585">
        <v>983850</v>
      </c>
      <c r="D7" s="1753">
        <f t="shared" si="0"/>
        <v>801520</v>
      </c>
      <c r="E7" s="585">
        <v>1900000</v>
      </c>
      <c r="F7" s="1753">
        <f t="shared" si="1"/>
        <v>916150</v>
      </c>
    </row>
    <row r="8" spans="1:6" ht="13.7" customHeight="1" x14ac:dyDescent="0.2">
      <c r="A8" s="715" t="s">
        <v>1178</v>
      </c>
      <c r="B8" s="1750">
        <f>'Revenues 9-14'!G5</f>
        <v>1459145</v>
      </c>
      <c r="C8" s="585">
        <v>776724</v>
      </c>
      <c r="D8" s="1753">
        <f t="shared" si="0"/>
        <v>682421</v>
      </c>
      <c r="E8" s="585">
        <v>1500003</v>
      </c>
      <c r="F8" s="1753">
        <f t="shared" si="1"/>
        <v>723279</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390331</v>
      </c>
      <c r="C10" s="585">
        <v>207126</v>
      </c>
      <c r="D10" s="1753">
        <f t="shared" si="0"/>
        <v>183205</v>
      </c>
      <c r="E10" s="585">
        <v>400006</v>
      </c>
      <c r="F10" s="1753">
        <f t="shared" si="1"/>
        <v>192880</v>
      </c>
    </row>
    <row r="11" spans="1:6" x14ac:dyDescent="0.2">
      <c r="A11" s="715" t="s">
        <v>408</v>
      </c>
      <c r="B11" s="1750">
        <f>'Revenues 9-14'!J5</f>
        <v>1043447</v>
      </c>
      <c r="C11" s="585">
        <v>493833</v>
      </c>
      <c r="D11" s="1753">
        <f t="shared" si="0"/>
        <v>549614</v>
      </c>
      <c r="E11" s="585">
        <v>953677</v>
      </c>
      <c r="F11" s="1753">
        <f t="shared" si="1"/>
        <v>459844</v>
      </c>
    </row>
    <row r="12" spans="1:6" ht="13.7" customHeight="1" x14ac:dyDescent="0.2">
      <c r="A12" s="715" t="s">
        <v>157</v>
      </c>
      <c r="B12" s="1750">
        <f>'Revenues 9-14'!K5</f>
        <v>802996</v>
      </c>
      <c r="C12" s="585">
        <v>434977</v>
      </c>
      <c r="D12" s="1753">
        <f t="shared" si="0"/>
        <v>368019</v>
      </c>
      <c r="E12" s="585">
        <v>840005</v>
      </c>
      <c r="F12" s="1753">
        <f t="shared" si="1"/>
        <v>405028</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5981402</v>
      </c>
      <c r="C14" s="585">
        <v>3210459</v>
      </c>
      <c r="D14" s="1753">
        <f t="shared" si="0"/>
        <v>2770943</v>
      </c>
      <c r="E14" s="585">
        <v>6200002</v>
      </c>
      <c r="F14" s="1753">
        <f t="shared" si="1"/>
        <v>2989543</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1459145</v>
      </c>
      <c r="C16" s="585">
        <v>776724</v>
      </c>
      <c r="D16" s="1753">
        <f t="shared" si="0"/>
        <v>682421</v>
      </c>
      <c r="E16" s="585">
        <v>1500003</v>
      </c>
      <c r="F16" s="1753">
        <f t="shared" si="1"/>
        <v>723279</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55319010</v>
      </c>
      <c r="C19" s="1751">
        <f>SUM(C4:C18)</f>
        <v>29354647</v>
      </c>
      <c r="D19" s="1751">
        <f>SUM(D4:D18)</f>
        <v>25964363</v>
      </c>
      <c r="E19" s="1751">
        <f>SUM(E4:E18)</f>
        <v>56689440</v>
      </c>
      <c r="F19" s="1751">
        <f>SUM(F4:F18)</f>
        <v>27334793</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8" sqref="J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628</v>
      </c>
      <c r="B1" s="2207"/>
      <c r="C1" s="721"/>
    </row>
    <row r="2" spans="1:7" ht="33.75" x14ac:dyDescent="0.2">
      <c r="A2" s="2214" t="s">
        <v>1798</v>
      </c>
      <c r="B2" s="2215"/>
      <c r="C2" s="1884" t="s">
        <v>1952</v>
      </c>
      <c r="D2" s="723" t="s">
        <v>1953</v>
      </c>
      <c r="E2" s="723" t="s">
        <v>1954</v>
      </c>
      <c r="F2" s="1884" t="s">
        <v>1955</v>
      </c>
    </row>
    <row r="3" spans="1:7" ht="15.75" customHeight="1" x14ac:dyDescent="0.2">
      <c r="A3" s="2216" t="s">
        <v>1113</v>
      </c>
      <c r="B3" s="2217"/>
      <c r="C3" s="2210"/>
      <c r="D3" s="2211"/>
      <c r="E3" s="2211"/>
      <c r="F3" s="2212"/>
    </row>
    <row r="4" spans="1:7" ht="12.75" customHeight="1" thickBot="1" x14ac:dyDescent="0.25">
      <c r="A4" s="2204" t="s">
        <v>629</v>
      </c>
      <c r="B4" s="2205"/>
      <c r="C4" s="581"/>
      <c r="D4" s="581"/>
      <c r="E4" s="581"/>
      <c r="F4" s="1755">
        <f>SUM(C4+D4)-E4</f>
        <v>0</v>
      </c>
    </row>
    <row r="5" spans="1:7" ht="15.75" customHeight="1" thickTop="1" x14ac:dyDescent="0.2">
      <c r="A5" s="2208" t="s">
        <v>1109</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0" t="s">
        <v>630</v>
      </c>
      <c r="B15" s="2201"/>
      <c r="C15" s="1755">
        <f>SUM(C6:C14)</f>
        <v>0</v>
      </c>
      <c r="D15" s="1755">
        <f>SUM(D6:D14)</f>
        <v>0</v>
      </c>
      <c r="E15" s="1755">
        <f>SUM(E6:E14)</f>
        <v>0</v>
      </c>
      <c r="F15" s="1755">
        <f>SUM(F6:F14)</f>
        <v>0</v>
      </c>
      <c r="G15" s="552"/>
    </row>
    <row r="16" spans="1:7" s="202" customFormat="1" ht="15.75" customHeight="1" thickTop="1" x14ac:dyDescent="0.2">
      <c r="A16" s="2213" t="s">
        <v>1110</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387</v>
      </c>
      <c r="B19" s="2196"/>
      <c r="C19" s="726"/>
      <c r="D19" s="585"/>
      <c r="E19" s="726"/>
      <c r="F19" s="1755">
        <f>SUM(C19+D19)-E19</f>
        <v>0</v>
      </c>
    </row>
    <row r="20" spans="1:11" ht="12.75" customHeight="1" thickTop="1" thickBot="1" x14ac:dyDescent="0.25">
      <c r="A20" s="2195" t="s">
        <v>447</v>
      </c>
      <c r="B20" s="2196"/>
      <c r="C20" s="726"/>
      <c r="D20" s="585"/>
      <c r="E20" s="726"/>
      <c r="F20" s="1755">
        <f>SUM(C20+D20)-E20</f>
        <v>0</v>
      </c>
    </row>
    <row r="21" spans="1:11" ht="14.25" thickTop="1" thickBot="1" x14ac:dyDescent="0.25">
      <c r="A21" s="2200" t="s">
        <v>631</v>
      </c>
      <c r="B21" s="2201"/>
      <c r="C21" s="1755">
        <f>SUM(C17:C20)</f>
        <v>0</v>
      </c>
      <c r="D21" s="1755">
        <f>SUM(D17:D20)</f>
        <v>0</v>
      </c>
      <c r="E21" s="1755">
        <f>SUM(E17:E20)</f>
        <v>0</v>
      </c>
      <c r="F21" s="1755">
        <f>SUM(F17:F20)</f>
        <v>0</v>
      </c>
      <c r="G21" s="552"/>
    </row>
    <row r="22" spans="1:11" ht="15.75" customHeight="1" thickTop="1" x14ac:dyDescent="0.2">
      <c r="A22" s="2202" t="s">
        <v>1111</v>
      </c>
      <c r="B22" s="2203"/>
      <c r="C22" s="2197"/>
      <c r="D22" s="2198"/>
      <c r="E22" s="2198"/>
      <c r="F22" s="2199"/>
    </row>
    <row r="23" spans="1:11" ht="13.5" thickBot="1" x14ac:dyDescent="0.25">
      <c r="A23" s="2204" t="s">
        <v>632</v>
      </c>
      <c r="B23" s="2205"/>
      <c r="C23" s="581"/>
      <c r="D23" s="581"/>
      <c r="E23" s="581"/>
      <c r="F23" s="1755">
        <f>SUM(C23+D23)-E23</f>
        <v>0</v>
      </c>
      <c r="G23" s="552"/>
    </row>
    <row r="24" spans="1:11" ht="15.75" customHeight="1" thickTop="1" x14ac:dyDescent="0.2">
      <c r="A24" s="2202" t="s">
        <v>1112</v>
      </c>
      <c r="B24" s="2203"/>
      <c r="C24" s="2197"/>
      <c r="D24" s="2198"/>
      <c r="E24" s="2198"/>
      <c r="F24" s="2199"/>
    </row>
    <row r="25" spans="1:11" ht="13.5" thickBot="1" x14ac:dyDescent="0.25">
      <c r="A25" s="2204" t="s">
        <v>633</v>
      </c>
      <c r="B25" s="2205"/>
      <c r="C25" s="581"/>
      <c r="D25" s="581"/>
      <c r="E25" s="581"/>
      <c r="F25" s="1755">
        <f>SUM(C25+D25)-E25</f>
        <v>0</v>
      </c>
      <c r="G25" s="552"/>
    </row>
    <row r="26" spans="1:11" ht="15.75" customHeight="1" thickTop="1" x14ac:dyDescent="0.2">
      <c r="A26" s="2208" t="s">
        <v>656</v>
      </c>
      <c r="B26" s="2203"/>
      <c r="C26" s="727"/>
      <c r="D26" s="727"/>
      <c r="E26" s="727"/>
      <c r="F26" s="728"/>
    </row>
    <row r="27" spans="1:11" ht="13.5" thickBot="1" x14ac:dyDescent="0.25">
      <c r="A27" s="2200" t="s">
        <v>1069</v>
      </c>
      <c r="B27" s="2201"/>
      <c r="C27" s="585"/>
      <c r="D27" s="585"/>
      <c r="E27" s="585"/>
      <c r="F27" s="1755">
        <f>SUM(C27+D27)-E27</f>
        <v>0</v>
      </c>
      <c r="G27" s="552"/>
    </row>
    <row r="28" spans="1:11" ht="7.5" customHeight="1" thickTop="1" x14ac:dyDescent="0.2">
      <c r="A28" s="593"/>
    </row>
    <row r="29" spans="1:11" ht="23.25" customHeight="1" x14ac:dyDescent="0.2">
      <c r="A29" s="2206" t="s">
        <v>581</v>
      </c>
      <c r="B29" s="2207"/>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2135</v>
      </c>
      <c r="B31" s="733"/>
      <c r="C31" s="734"/>
      <c r="D31" s="735"/>
      <c r="E31" s="734"/>
      <c r="F31" s="734"/>
      <c r="G31" s="734">
        <v>10605</v>
      </c>
      <c r="H31" s="734"/>
      <c r="I31" s="1756">
        <f>((E31+F31)-H31)+G31</f>
        <v>10605</v>
      </c>
      <c r="J31" s="734"/>
      <c r="K31" s="736"/>
    </row>
    <row r="32" spans="1:11" ht="12" customHeight="1" x14ac:dyDescent="0.2">
      <c r="A32" s="732" t="s">
        <v>2136</v>
      </c>
      <c r="B32" s="733">
        <v>38870</v>
      </c>
      <c r="C32" s="734">
        <v>13866940</v>
      </c>
      <c r="D32" s="735">
        <v>6</v>
      </c>
      <c r="E32" s="734">
        <v>13866940</v>
      </c>
      <c r="F32" s="734"/>
      <c r="G32" s="734"/>
      <c r="H32" s="734"/>
      <c r="I32" s="1756">
        <f>((E32+F32)-H32)+G32</f>
        <v>13866940</v>
      </c>
      <c r="J32" s="734">
        <v>13264531</v>
      </c>
      <c r="K32" s="736"/>
    </row>
    <row r="33" spans="1:11" ht="12" customHeight="1" x14ac:dyDescent="0.2">
      <c r="A33" s="732" t="s">
        <v>2137</v>
      </c>
      <c r="B33" s="733">
        <v>41282</v>
      </c>
      <c r="C33" s="734">
        <v>3830000</v>
      </c>
      <c r="D33" s="735">
        <v>3</v>
      </c>
      <c r="E33" s="734">
        <v>3095000</v>
      </c>
      <c r="F33" s="734"/>
      <c r="G33" s="734"/>
      <c r="H33" s="734"/>
      <c r="I33" s="1756">
        <f t="shared" ref="I33:I48" si="1">((E33+F33)-H33)+G33</f>
        <v>3095000</v>
      </c>
      <c r="J33" s="734">
        <v>2960547</v>
      </c>
      <c r="K33" s="736"/>
    </row>
    <row r="34" spans="1:11" ht="12" customHeight="1" x14ac:dyDescent="0.2">
      <c r="A34" s="732" t="s">
        <v>2138</v>
      </c>
      <c r="B34" s="733">
        <v>40252</v>
      </c>
      <c r="C34" s="734">
        <v>7000000</v>
      </c>
      <c r="D34" s="735" t="s">
        <v>2139</v>
      </c>
      <c r="E34" s="734">
        <v>6500000</v>
      </c>
      <c r="F34" s="734"/>
      <c r="G34" s="734">
        <v>-6500000</v>
      </c>
      <c r="H34" s="734"/>
      <c r="I34" s="1756">
        <f t="shared" si="1"/>
        <v>0</v>
      </c>
      <c r="J34" s="734"/>
      <c r="K34" s="737"/>
    </row>
    <row r="35" spans="1:11" ht="12" customHeight="1" x14ac:dyDescent="0.2">
      <c r="A35" s="732" t="s">
        <v>2140</v>
      </c>
      <c r="B35" s="733">
        <v>40252</v>
      </c>
      <c r="C35" s="738">
        <v>13185000</v>
      </c>
      <c r="D35" s="735">
        <v>3</v>
      </c>
      <c r="E35" s="738">
        <v>9600000</v>
      </c>
      <c r="F35" s="738"/>
      <c r="G35" s="738">
        <v>-8565000</v>
      </c>
      <c r="H35" s="738">
        <v>1035000</v>
      </c>
      <c r="I35" s="1756">
        <f t="shared" si="1"/>
        <v>0</v>
      </c>
      <c r="J35" s="738"/>
      <c r="K35" s="737"/>
    </row>
    <row r="36" spans="1:11" ht="12" customHeight="1" x14ac:dyDescent="0.2">
      <c r="A36" s="732" t="s">
        <v>2141</v>
      </c>
      <c r="B36" s="733">
        <v>40252</v>
      </c>
      <c r="C36" s="734">
        <v>925000</v>
      </c>
      <c r="D36" s="735">
        <v>3</v>
      </c>
      <c r="E36" s="734">
        <v>925000</v>
      </c>
      <c r="F36" s="734"/>
      <c r="G36" s="734"/>
      <c r="H36" s="734"/>
      <c r="I36" s="1756">
        <f t="shared" si="1"/>
        <v>925000</v>
      </c>
      <c r="J36" s="734">
        <v>884816</v>
      </c>
      <c r="K36" s="739"/>
    </row>
    <row r="37" spans="1:11" ht="12" customHeight="1" x14ac:dyDescent="0.2">
      <c r="A37" s="732" t="s">
        <v>2142</v>
      </c>
      <c r="B37" s="733">
        <v>40545</v>
      </c>
      <c r="C37" s="467">
        <v>4960000</v>
      </c>
      <c r="D37" s="740">
        <v>3</v>
      </c>
      <c r="E37" s="467">
        <v>4960000</v>
      </c>
      <c r="F37" s="467"/>
      <c r="G37" s="467"/>
      <c r="H37" s="467">
        <v>1500000</v>
      </c>
      <c r="I37" s="1756">
        <f t="shared" si="1"/>
        <v>3460000</v>
      </c>
      <c r="J37" s="467">
        <v>3309690</v>
      </c>
      <c r="K37" s="737"/>
    </row>
    <row r="38" spans="1:11" ht="12" customHeight="1" x14ac:dyDescent="0.2">
      <c r="A38" s="732" t="s">
        <v>2143</v>
      </c>
      <c r="B38" s="733">
        <v>41092</v>
      </c>
      <c r="C38" s="734">
        <v>4780000</v>
      </c>
      <c r="D38" s="741">
        <v>3</v>
      </c>
      <c r="E38" s="742">
        <v>4780000</v>
      </c>
      <c r="F38" s="742"/>
      <c r="G38" s="742"/>
      <c r="H38" s="742"/>
      <c r="I38" s="1756">
        <f t="shared" si="1"/>
        <v>4780000</v>
      </c>
      <c r="J38" s="743">
        <v>4572347</v>
      </c>
      <c r="K38" s="744"/>
    </row>
    <row r="39" spans="1:11" ht="12" customHeight="1" x14ac:dyDescent="0.2">
      <c r="A39" s="732" t="s">
        <v>2144</v>
      </c>
      <c r="B39" s="733">
        <v>41092</v>
      </c>
      <c r="C39" s="734">
        <v>1395000</v>
      </c>
      <c r="D39" s="741">
        <v>3</v>
      </c>
      <c r="E39" s="742">
        <v>1395000</v>
      </c>
      <c r="F39" s="742"/>
      <c r="G39" s="742"/>
      <c r="H39" s="742"/>
      <c r="I39" s="1756">
        <f t="shared" si="1"/>
        <v>1395000</v>
      </c>
      <c r="J39" s="743">
        <v>1334398</v>
      </c>
      <c r="K39" s="744"/>
    </row>
    <row r="40" spans="1:11" ht="12" customHeight="1" x14ac:dyDescent="0.2">
      <c r="A40" s="732" t="s">
        <v>2145</v>
      </c>
      <c r="B40" s="733">
        <v>41631</v>
      </c>
      <c r="C40" s="734">
        <v>5120000</v>
      </c>
      <c r="D40" s="741">
        <v>3</v>
      </c>
      <c r="E40" s="742">
        <v>5120000</v>
      </c>
      <c r="F40" s="742"/>
      <c r="G40" s="742"/>
      <c r="H40" s="742"/>
      <c r="I40" s="1756">
        <f t="shared" si="1"/>
        <v>5120000</v>
      </c>
      <c r="J40" s="743">
        <v>4897577</v>
      </c>
      <c r="K40" s="744"/>
    </row>
    <row r="41" spans="1:11" ht="12" customHeight="1" x14ac:dyDescent="0.2">
      <c r="A41" s="732" t="s">
        <v>2146</v>
      </c>
      <c r="B41" s="733">
        <v>41695</v>
      </c>
      <c r="C41" s="734">
        <v>34945000</v>
      </c>
      <c r="D41" s="741">
        <v>3</v>
      </c>
      <c r="E41" s="742">
        <v>28600000</v>
      </c>
      <c r="F41" s="742"/>
      <c r="G41" s="742"/>
      <c r="H41" s="742">
        <v>3575000</v>
      </c>
      <c r="I41" s="1756">
        <f t="shared" si="1"/>
        <v>25025000</v>
      </c>
      <c r="J41" s="743">
        <v>23937862</v>
      </c>
      <c r="K41" s="744"/>
    </row>
    <row r="42" spans="1:11" ht="12" customHeight="1" x14ac:dyDescent="0.2">
      <c r="A42" s="732" t="s">
        <v>2147</v>
      </c>
      <c r="B42" s="733">
        <v>42065</v>
      </c>
      <c r="C42" s="734">
        <v>9015000</v>
      </c>
      <c r="D42" s="741">
        <v>3</v>
      </c>
      <c r="E42" s="742">
        <v>9015000</v>
      </c>
      <c r="F42" s="742"/>
      <c r="G42" s="742"/>
      <c r="H42" s="742"/>
      <c r="I42" s="1756">
        <f t="shared" si="1"/>
        <v>9015000</v>
      </c>
      <c r="J42" s="743">
        <v>8623370</v>
      </c>
      <c r="K42" s="744"/>
    </row>
    <row r="43" spans="1:11" ht="12" customHeight="1" x14ac:dyDescent="0.2">
      <c r="A43" s="732" t="s">
        <v>2148</v>
      </c>
      <c r="B43" s="733">
        <v>42079</v>
      </c>
      <c r="C43" s="734">
        <v>13280000</v>
      </c>
      <c r="D43" s="741">
        <v>3</v>
      </c>
      <c r="E43" s="742">
        <v>13280000</v>
      </c>
      <c r="F43" s="742"/>
      <c r="G43" s="742"/>
      <c r="H43" s="742"/>
      <c r="I43" s="1756">
        <f t="shared" si="1"/>
        <v>13280000</v>
      </c>
      <c r="J43" s="743">
        <v>12703089</v>
      </c>
      <c r="K43" s="744"/>
    </row>
    <row r="44" spans="1:11" ht="12" customHeight="1" x14ac:dyDescent="0.2">
      <c r="A44" s="732" t="s">
        <v>2149</v>
      </c>
      <c r="B44" s="733">
        <v>43439</v>
      </c>
      <c r="C44" s="734">
        <v>13865000</v>
      </c>
      <c r="D44" s="735">
        <v>3</v>
      </c>
      <c r="E44" s="734"/>
      <c r="F44" s="734">
        <v>13865000</v>
      </c>
      <c r="G44" s="734"/>
      <c r="H44" s="734"/>
      <c r="I44" s="1756">
        <f t="shared" si="1"/>
        <v>13865000</v>
      </c>
      <c r="J44" s="734">
        <v>13262677</v>
      </c>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126166940</v>
      </c>
      <c r="D49" s="745"/>
      <c r="E49" s="1756">
        <f t="shared" ref="E49:J49" si="2">SUM(E31:E48)</f>
        <v>101136940</v>
      </c>
      <c r="F49" s="1756">
        <f t="shared" si="2"/>
        <v>13865000</v>
      </c>
      <c r="G49" s="1756">
        <f t="shared" si="2"/>
        <v>-15054395</v>
      </c>
      <c r="H49" s="1756">
        <f t="shared" si="2"/>
        <v>6110000</v>
      </c>
      <c r="I49" s="1756">
        <f t="shared" si="2"/>
        <v>93837545</v>
      </c>
      <c r="J49" s="1756">
        <f t="shared" si="2"/>
        <v>89750904</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89" t="s">
        <v>583</v>
      </c>
      <c r="C52" s="2190"/>
      <c r="D52" s="2190"/>
      <c r="E52" s="749" t="s">
        <v>844</v>
      </c>
      <c r="F52" s="2191"/>
      <c r="G52" s="2192"/>
      <c r="H52" s="736"/>
      <c r="I52" s="736"/>
      <c r="J52" s="746"/>
    </row>
    <row r="53" spans="1:11" ht="11.25" customHeight="1" x14ac:dyDescent="0.2">
      <c r="A53" s="750" t="s">
        <v>912</v>
      </c>
      <c r="B53" s="751" t="s">
        <v>950</v>
      </c>
      <c r="C53" s="746"/>
      <c r="D53" s="737"/>
      <c r="E53" s="749" t="s">
        <v>496</v>
      </c>
      <c r="F53" s="2193"/>
      <c r="G53" s="2194"/>
      <c r="H53" s="736"/>
      <c r="I53" s="736"/>
      <c r="J53" s="746"/>
    </row>
    <row r="54" spans="1:11" ht="11.25" customHeight="1" x14ac:dyDescent="0.2">
      <c r="A54" s="752" t="s">
        <v>913</v>
      </c>
      <c r="B54" s="747" t="s">
        <v>951</v>
      </c>
      <c r="C54" s="746"/>
      <c r="D54" s="737"/>
      <c r="E54" s="749" t="s">
        <v>497</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1" sqref="H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855</v>
      </c>
      <c r="B1" s="2219"/>
      <c r="C1" s="2219"/>
      <c r="D1" s="2219"/>
      <c r="E1" s="2219"/>
      <c r="F1" s="2219"/>
      <c r="G1" s="2220"/>
      <c r="H1" s="1530"/>
      <c r="I1" s="760"/>
      <c r="J1" s="433"/>
    </row>
    <row r="2" spans="1:11" ht="26.25" x14ac:dyDescent="0.2">
      <c r="A2" s="2237" t="s">
        <v>1676</v>
      </c>
      <c r="B2" s="2238"/>
      <c r="C2" s="2238"/>
      <c r="D2" s="2238"/>
      <c r="E2" s="2239"/>
      <c r="F2" s="761" t="s">
        <v>903</v>
      </c>
      <c r="G2" s="762" t="s">
        <v>1673</v>
      </c>
      <c r="H2" s="762" t="s">
        <v>409</v>
      </c>
      <c r="I2" s="762" t="s">
        <v>1157</v>
      </c>
      <c r="J2" s="762" t="s">
        <v>1808</v>
      </c>
      <c r="K2" s="762" t="s">
        <v>138</v>
      </c>
    </row>
    <row r="3" spans="1:11" x14ac:dyDescent="0.2">
      <c r="A3" s="2240" t="s">
        <v>1960</v>
      </c>
      <c r="B3" s="2241"/>
      <c r="C3" s="2241"/>
      <c r="D3" s="2241"/>
      <c r="E3" s="2242"/>
      <c r="F3" s="763"/>
      <c r="G3" s="764"/>
      <c r="H3" s="764"/>
      <c r="I3" s="764"/>
      <c r="J3" s="765"/>
      <c r="K3" s="765"/>
    </row>
    <row r="4" spans="1:11" x14ac:dyDescent="0.2">
      <c r="A4" s="2243" t="s">
        <v>368</v>
      </c>
      <c r="B4" s="2244"/>
      <c r="C4" s="2244"/>
      <c r="D4" s="2244"/>
      <c r="E4" s="2190"/>
      <c r="F4" s="766"/>
      <c r="G4" s="767"/>
      <c r="H4" s="768"/>
      <c r="I4" s="767"/>
      <c r="J4" s="769"/>
      <c r="K4" s="769"/>
    </row>
    <row r="5" spans="1:11" x14ac:dyDescent="0.2">
      <c r="A5" s="2221" t="s">
        <v>1068</v>
      </c>
      <c r="B5" s="2222"/>
      <c r="C5" s="2222"/>
      <c r="D5" s="2222"/>
      <c r="E5" s="2223"/>
      <c r="F5" s="770" t="s">
        <v>847</v>
      </c>
      <c r="G5" s="771"/>
      <c r="H5" s="764">
        <v>5981402</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1" t="s">
        <v>1809</v>
      </c>
      <c r="B10" s="2222"/>
      <c r="C10" s="2222"/>
      <c r="D10" s="2222"/>
      <c r="E10" s="2224"/>
      <c r="F10" s="783" t="s">
        <v>861</v>
      </c>
      <c r="G10" s="782"/>
      <c r="H10" s="784"/>
      <c r="I10" s="764"/>
      <c r="J10" s="765"/>
      <c r="K10" s="765"/>
    </row>
    <row r="11" spans="1:11" x14ac:dyDescent="0.2">
      <c r="A11" s="2221" t="s">
        <v>160</v>
      </c>
      <c r="B11" s="2222"/>
      <c r="C11" s="2222"/>
      <c r="D11" s="2222"/>
      <c r="E11" s="2223"/>
      <c r="F11" s="770" t="s">
        <v>851</v>
      </c>
      <c r="G11" s="771"/>
      <c r="H11" s="764"/>
      <c r="I11" s="764"/>
      <c r="J11" s="765"/>
      <c r="K11" s="773"/>
    </row>
    <row r="12" spans="1:11" ht="13.5" thickBot="1" x14ac:dyDescent="0.25">
      <c r="A12" s="2248" t="s">
        <v>904</v>
      </c>
      <c r="B12" s="2249"/>
      <c r="C12" s="2249"/>
      <c r="D12" s="2249"/>
      <c r="E12" s="2250"/>
      <c r="F12" s="1757"/>
      <c r="G12" s="1758">
        <f>SUM(G5:G11)</f>
        <v>0</v>
      </c>
      <c r="H12" s="1758">
        <f>SUM(H5:H11)</f>
        <v>5981402</v>
      </c>
      <c r="I12" s="1758">
        <f>SUM(I5:I11)</f>
        <v>0</v>
      </c>
      <c r="J12" s="1758">
        <f>SUM(J5:J11)</f>
        <v>0</v>
      </c>
      <c r="K12" s="1758">
        <f>SUM(K5:K11)</f>
        <v>0</v>
      </c>
    </row>
    <row r="13" spans="1:11" ht="13.5" thickTop="1" x14ac:dyDescent="0.2">
      <c r="A13" s="2245" t="s">
        <v>369</v>
      </c>
      <c r="B13" s="2246"/>
      <c r="C13" s="2246"/>
      <c r="D13" s="2246"/>
      <c r="E13" s="2247"/>
      <c r="F13" s="785"/>
      <c r="G13" s="786"/>
      <c r="H13" s="787"/>
      <c r="I13" s="788"/>
      <c r="J13" s="788"/>
      <c r="K13" s="788"/>
    </row>
    <row r="14" spans="1:11" x14ac:dyDescent="0.2">
      <c r="A14" s="2228" t="s">
        <v>455</v>
      </c>
      <c r="B14" s="2228"/>
      <c r="C14" s="2228"/>
      <c r="D14" s="2228"/>
      <c r="E14" s="2229"/>
      <c r="F14" s="789" t="s">
        <v>853</v>
      </c>
      <c r="G14" s="782"/>
      <c r="H14" s="764">
        <v>5981402</v>
      </c>
      <c r="I14" s="771"/>
      <c r="J14" s="773"/>
      <c r="K14" s="765"/>
    </row>
    <row r="15" spans="1:11" x14ac:dyDescent="0.2">
      <c r="A15" s="2222" t="s">
        <v>4</v>
      </c>
      <c r="B15" s="2222"/>
      <c r="C15" s="2222"/>
      <c r="D15" s="2222"/>
      <c r="E15" s="2223"/>
      <c r="F15" s="789" t="s">
        <v>854</v>
      </c>
      <c r="G15" s="771"/>
      <c r="H15" s="764"/>
      <c r="I15" s="764"/>
      <c r="J15" s="765"/>
      <c r="K15" s="765"/>
    </row>
    <row r="16" spans="1:11" x14ac:dyDescent="0.2">
      <c r="A16" s="2222" t="s">
        <v>297</v>
      </c>
      <c r="B16" s="2222"/>
      <c r="C16" s="2222"/>
      <c r="D16" s="2222"/>
      <c r="E16" s="2223"/>
      <c r="F16" s="789" t="s">
        <v>922</v>
      </c>
      <c r="G16" s="772"/>
      <c r="H16" s="767"/>
      <c r="I16" s="767"/>
      <c r="J16" s="769"/>
      <c r="K16" s="769"/>
    </row>
    <row r="17" spans="1:11" x14ac:dyDescent="0.2">
      <c r="A17" s="2253" t="s">
        <v>934</v>
      </c>
      <c r="B17" s="2253"/>
      <c r="C17" s="2253"/>
      <c r="D17" s="2253"/>
      <c r="E17" s="2254"/>
      <c r="F17" s="790"/>
      <c r="G17" s="791"/>
      <c r="H17" s="792"/>
      <c r="I17" s="792"/>
      <c r="J17" s="793"/>
      <c r="K17" s="794"/>
    </row>
    <row r="18" spans="1:11" x14ac:dyDescent="0.2">
      <c r="A18" s="2232" t="s">
        <v>367</v>
      </c>
      <c r="B18" s="2233"/>
      <c r="C18" s="2233"/>
      <c r="D18" s="2233"/>
      <c r="E18" s="2234"/>
      <c r="F18" s="789" t="s">
        <v>931</v>
      </c>
      <c r="G18" s="782"/>
      <c r="H18" s="782"/>
      <c r="I18" s="782"/>
      <c r="J18" s="765"/>
      <c r="K18" s="795"/>
    </row>
    <row r="19" spans="1:11" ht="21.75" customHeight="1" x14ac:dyDescent="0.2">
      <c r="A19" s="2230" t="s">
        <v>1805</v>
      </c>
      <c r="B19" s="2230"/>
      <c r="C19" s="2230"/>
      <c r="D19" s="2230"/>
      <c r="E19" s="2231"/>
      <c r="F19" s="789" t="s">
        <v>932</v>
      </c>
      <c r="G19" s="782"/>
      <c r="H19" s="782"/>
      <c r="I19" s="782"/>
      <c r="J19" s="765"/>
      <c r="K19" s="795"/>
    </row>
    <row r="20" spans="1:11" x14ac:dyDescent="0.2">
      <c r="A20" s="2232" t="s">
        <v>1810</v>
      </c>
      <c r="B20" s="2233"/>
      <c r="C20" s="2233"/>
      <c r="D20" s="2233"/>
      <c r="E20" s="2234"/>
      <c r="F20" s="789" t="s">
        <v>933</v>
      </c>
      <c r="G20" s="782"/>
      <c r="H20" s="782"/>
      <c r="I20" s="782"/>
      <c r="J20" s="765"/>
      <c r="K20" s="795"/>
    </row>
    <row r="21" spans="1:11" ht="13.5" thickBot="1" x14ac:dyDescent="0.25">
      <c r="A21" s="2251" t="s">
        <v>637</v>
      </c>
      <c r="B21" s="2251"/>
      <c r="C21" s="2251"/>
      <c r="D21" s="2251"/>
      <c r="E21" s="2251"/>
      <c r="F21" s="1759"/>
      <c r="G21" s="792"/>
      <c r="H21" s="796"/>
      <c r="I21" s="796"/>
      <c r="J21" s="1760">
        <f>SUM(J18:J20)</f>
        <v>0</v>
      </c>
      <c r="K21" s="793"/>
    </row>
    <row r="22" spans="1:11" ht="13.5" thickTop="1" x14ac:dyDescent="0.2">
      <c r="A22" s="2222" t="s">
        <v>1811</v>
      </c>
      <c r="B22" s="2222"/>
      <c r="C22" s="2222"/>
      <c r="D22" s="2222"/>
      <c r="E22" s="2223"/>
      <c r="F22" s="789" t="s">
        <v>861</v>
      </c>
      <c r="G22" s="782"/>
      <c r="H22" s="764"/>
      <c r="I22" s="764"/>
      <c r="J22" s="797"/>
      <c r="K22" s="765"/>
    </row>
    <row r="23" spans="1:11" ht="13.5" thickBot="1" x14ac:dyDescent="0.25">
      <c r="A23" s="2252" t="s">
        <v>905</v>
      </c>
      <c r="B23" s="2251"/>
      <c r="C23" s="2251"/>
      <c r="D23" s="2251"/>
      <c r="E23" s="2251"/>
      <c r="F23" s="1761"/>
      <c r="G23" s="1758">
        <f>SUM(G14:G16,G21,G22)</f>
        <v>0</v>
      </c>
      <c r="H23" s="1758">
        <f>SUM(H14:H16,H21,H22)</f>
        <v>5981402</v>
      </c>
      <c r="I23" s="1758">
        <f>SUM(I14:I16,I21,I22)</f>
        <v>0</v>
      </c>
      <c r="J23" s="1758">
        <f>SUM(J14:J16,J21,J22)</f>
        <v>0</v>
      </c>
      <c r="K23" s="1758">
        <f>SUM(K14:K16,K21,K22)</f>
        <v>0</v>
      </c>
    </row>
    <row r="24" spans="1:11" ht="14.25" thickTop="1" thickBot="1" x14ac:dyDescent="0.25">
      <c r="A24" s="2252" t="s">
        <v>1961</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5"/>
      <c r="I31" s="2226"/>
      <c r="J31" s="2226"/>
      <c r="K31" s="2226"/>
    </row>
    <row r="32" spans="1:11" x14ac:dyDescent="0.2">
      <c r="A32" s="809"/>
      <c r="B32" s="237"/>
      <c r="C32" s="237"/>
      <c r="D32" s="237"/>
      <c r="E32" s="805"/>
      <c r="F32" s="811" t="s">
        <v>539</v>
      </c>
      <c r="G32" s="764"/>
      <c r="H32" s="2227"/>
      <c r="I32" s="2226"/>
      <c r="J32" s="2226"/>
      <c r="K32" s="2226"/>
    </row>
    <row r="33" spans="1:11" ht="1.5" customHeight="1" x14ac:dyDescent="0.2">
      <c r="A33" s="812" t="s">
        <v>1168</v>
      </c>
      <c r="B33" s="364"/>
      <c r="C33" s="364"/>
      <c r="D33" s="364"/>
      <c r="E33" s="364"/>
      <c r="F33" s="364"/>
      <c r="G33" s="813"/>
      <c r="H33" s="2227"/>
      <c r="I33" s="2226"/>
      <c r="J33" s="2226"/>
      <c r="K33" s="2226"/>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2" t="s">
        <v>540</v>
      </c>
      <c r="B41" s="2235"/>
      <c r="C41" s="2235"/>
      <c r="D41" s="2235"/>
      <c r="E41" s="2235"/>
      <c r="F41" s="2236"/>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3" sqref="A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1905</v>
      </c>
      <c r="B1" s="2258"/>
      <c r="C1" s="2259"/>
      <c r="D1" s="826"/>
      <c r="E1" s="827"/>
      <c r="F1" s="827"/>
      <c r="G1" s="828"/>
      <c r="H1" s="829"/>
      <c r="I1" s="830"/>
      <c r="J1" s="2255"/>
      <c r="K1" s="2256"/>
      <c r="L1" s="2256"/>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6009087</v>
      </c>
      <c r="D5" s="841"/>
      <c r="E5" s="841"/>
      <c r="F5" s="1760">
        <f>(C5+D5)-E5</f>
        <v>6009087</v>
      </c>
      <c r="G5" s="837"/>
      <c r="H5" s="842"/>
      <c r="I5" s="842"/>
      <c r="J5" s="842"/>
      <c r="K5" s="793"/>
      <c r="L5" s="1769">
        <f>F5-K5</f>
        <v>6009087</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154899676</v>
      </c>
      <c r="D8" s="844">
        <v>937841</v>
      </c>
      <c r="E8" s="844">
        <v>578534</v>
      </c>
      <c r="F8" s="1760">
        <f>(C8+D8)-E8</f>
        <v>155258983</v>
      </c>
      <c r="G8" s="843">
        <v>50</v>
      </c>
      <c r="H8" s="765">
        <v>59378332</v>
      </c>
      <c r="I8" s="765">
        <v>3697469</v>
      </c>
      <c r="J8" s="765">
        <v>324711</v>
      </c>
      <c r="K8" s="1769">
        <f>(H8+I8)-J8</f>
        <v>62751090</v>
      </c>
      <c r="L8" s="1769">
        <f>F8-K8</f>
        <v>92507893</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10231021</v>
      </c>
      <c r="D10" s="846">
        <v>202202</v>
      </c>
      <c r="E10" s="846"/>
      <c r="F10" s="1764">
        <f>(C10+D10)-E10</f>
        <v>10433223</v>
      </c>
      <c r="G10" s="843">
        <v>20</v>
      </c>
      <c r="H10" s="847">
        <v>5562975</v>
      </c>
      <c r="I10" s="847">
        <v>477192</v>
      </c>
      <c r="J10" s="847"/>
      <c r="K10" s="1769">
        <f>(H10+I10)-J10</f>
        <v>6040167</v>
      </c>
      <c r="L10" s="1769">
        <f>F10-K10</f>
        <v>4393056</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13899729</v>
      </c>
      <c r="D12" s="844">
        <v>325343</v>
      </c>
      <c r="E12" s="844">
        <v>424704</v>
      </c>
      <c r="F12" s="1760">
        <f>(C12+D12)-E12</f>
        <v>13800368</v>
      </c>
      <c r="G12" s="843">
        <v>10</v>
      </c>
      <c r="H12" s="765">
        <v>9698503</v>
      </c>
      <c r="I12" s="765">
        <v>734072</v>
      </c>
      <c r="J12" s="765">
        <v>410711</v>
      </c>
      <c r="K12" s="1769">
        <f>(H12+I12)-J12</f>
        <v>10021864</v>
      </c>
      <c r="L12" s="1769">
        <f>F12-K12</f>
        <v>3778504</v>
      </c>
    </row>
    <row r="13" spans="1:14" ht="14.25" thickTop="1" thickBot="1" x14ac:dyDescent="0.25">
      <c r="A13" s="848" t="s">
        <v>1121</v>
      </c>
      <c r="B13" s="840">
        <v>252</v>
      </c>
      <c r="C13" s="844">
        <v>6684700</v>
      </c>
      <c r="D13" s="844">
        <v>535734</v>
      </c>
      <c r="E13" s="844">
        <v>33666</v>
      </c>
      <c r="F13" s="1760">
        <f>(C13+D13)-E13</f>
        <v>7186768</v>
      </c>
      <c r="G13" s="843">
        <v>5</v>
      </c>
      <c r="H13" s="765">
        <v>4789955</v>
      </c>
      <c r="I13" s="765">
        <v>462129</v>
      </c>
      <c r="J13" s="765">
        <v>33666</v>
      </c>
      <c r="K13" s="1769">
        <f>(H13+I13)-J13</f>
        <v>5218418</v>
      </c>
      <c r="L13" s="1769">
        <f>F13-K13</f>
        <v>1968350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92846</v>
      </c>
      <c r="D15" s="844">
        <v>81471</v>
      </c>
      <c r="E15" s="844">
        <v>92846</v>
      </c>
      <c r="F15" s="1760">
        <f>(C15+D15)-E15</f>
        <v>81471</v>
      </c>
      <c r="G15" s="849" t="s">
        <v>861</v>
      </c>
      <c r="H15" s="781"/>
      <c r="I15" s="781"/>
      <c r="J15" s="781"/>
      <c r="K15" s="781"/>
      <c r="L15" s="1769">
        <f>F15-K15</f>
        <v>81471</v>
      </c>
    </row>
    <row r="16" spans="1:14" ht="15" customHeight="1" thickTop="1" thickBot="1" x14ac:dyDescent="0.25">
      <c r="A16" s="1765" t="s">
        <v>642</v>
      </c>
      <c r="B16" s="1766">
        <v>200</v>
      </c>
      <c r="C16" s="1760">
        <f>SUM(C3,C5:C6,C8:C10,C12:C15)</f>
        <v>191817059</v>
      </c>
      <c r="D16" s="1760">
        <f>SUM(D3,D5:D6,D8:D10,D12:D15)</f>
        <v>2082591</v>
      </c>
      <c r="E16" s="1760">
        <f>SUM(E3,E5:E6,E8:E10,E12:E15)</f>
        <v>1129750</v>
      </c>
      <c r="F16" s="1760">
        <f>SUM(F3,F5:F6,F8:F10,F12:F15)</f>
        <v>192769900</v>
      </c>
      <c r="G16" s="843"/>
      <c r="H16" s="1760">
        <f>SUM(H3,H6,H8:H10,H12:H14,)</f>
        <v>79429765</v>
      </c>
      <c r="I16" s="1760">
        <f>SUM(I3,I6,I8:I10,I12:I14,)</f>
        <v>5370862</v>
      </c>
      <c r="J16" s="1760">
        <f>SUM(J3,J6,J8:J10,J12:J14,)</f>
        <v>769088</v>
      </c>
      <c r="K16" s="1760">
        <f>(H16+I16)-J16</f>
        <v>84031539</v>
      </c>
      <c r="L16" s="1760">
        <f>F16-K16</f>
        <v>108738361</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67419</v>
      </c>
      <c r="G17" s="837">
        <v>10</v>
      </c>
      <c r="H17" s="769"/>
      <c r="I17" s="1769">
        <f>F17/G17</f>
        <v>6741.9</v>
      </c>
      <c r="J17" s="769"/>
      <c r="K17" s="795"/>
      <c r="L17" s="795"/>
    </row>
    <row r="18" spans="1:12" ht="14.25" thickTop="1" thickBot="1" x14ac:dyDescent="0.25">
      <c r="A18" s="1767" t="s">
        <v>684</v>
      </c>
      <c r="B18" s="1768"/>
      <c r="C18" s="771"/>
      <c r="D18" s="771"/>
      <c r="E18" s="771"/>
      <c r="F18" s="850"/>
      <c r="G18" s="851"/>
      <c r="H18" s="773"/>
      <c r="I18" s="1760">
        <f>SUM(I16,I17)</f>
        <v>5377603.9000000004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A47" sqref="A47"/>
      <selection pane="bottomLeft" activeCell="K178" sqref="K1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1971</v>
      </c>
      <c r="B1" s="2264"/>
      <c r="C1" s="2264"/>
      <c r="D1" s="2264"/>
      <c r="E1" s="2264"/>
      <c r="F1" s="2265"/>
      <c r="G1" s="855"/>
    </row>
    <row r="2" spans="1:7" ht="15" customHeight="1" thickBot="1" x14ac:dyDescent="0.25">
      <c r="A2" s="2266" t="s">
        <v>476</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9"/>
      <c r="B5" s="2270"/>
      <c r="C5" s="2270"/>
      <c r="D5" s="2270"/>
      <c r="E5" s="2270"/>
      <c r="F5" s="2270"/>
    </row>
    <row r="6" spans="1:7" ht="13.5" customHeight="1" thickBot="1" x14ac:dyDescent="0.25">
      <c r="A6" s="2260" t="s">
        <v>1103</v>
      </c>
      <c r="B6" s="2261"/>
      <c r="C6" s="2261"/>
      <c r="D6" s="2261"/>
      <c r="E6" s="2261"/>
      <c r="F6" s="226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66868560</v>
      </c>
      <c r="G8" s="865"/>
    </row>
    <row r="9" spans="1:7" x14ac:dyDescent="0.2">
      <c r="A9" s="869" t="s">
        <v>459</v>
      </c>
      <c r="B9" s="870" t="s">
        <v>1873</v>
      </c>
      <c r="C9" s="871"/>
      <c r="D9" s="869" t="s">
        <v>500</v>
      </c>
      <c r="E9" s="868"/>
      <c r="F9" s="1909">
        <f>'Expenditures 15-22'!K151</f>
        <v>7093940</v>
      </c>
      <c r="G9" s="872"/>
    </row>
    <row r="10" spans="1:7" x14ac:dyDescent="0.2">
      <c r="A10" s="869" t="s">
        <v>498</v>
      </c>
      <c r="B10" s="870" t="s">
        <v>1874</v>
      </c>
      <c r="C10" s="871"/>
      <c r="D10" s="869" t="s">
        <v>500</v>
      </c>
      <c r="E10" s="868"/>
      <c r="F10" s="1909">
        <f>'Expenditures 15-22'!K174</f>
        <v>9782674</v>
      </c>
      <c r="G10" s="872"/>
    </row>
    <row r="11" spans="1:7" x14ac:dyDescent="0.2">
      <c r="A11" s="869" t="s">
        <v>460</v>
      </c>
      <c r="B11" s="870" t="s">
        <v>1875</v>
      </c>
      <c r="C11" s="871"/>
      <c r="D11" s="869" t="s">
        <v>500</v>
      </c>
      <c r="E11" s="868"/>
      <c r="F11" s="1909">
        <f>'Expenditures 15-22'!K210</f>
        <v>5261336</v>
      </c>
      <c r="G11" s="872"/>
    </row>
    <row r="12" spans="1:7" x14ac:dyDescent="0.2">
      <c r="A12" s="869" t="s">
        <v>461</v>
      </c>
      <c r="B12" s="870" t="s">
        <v>1876</v>
      </c>
      <c r="C12" s="871"/>
      <c r="D12" s="869" t="s">
        <v>500</v>
      </c>
      <c r="E12" s="868"/>
      <c r="F12" s="1909">
        <f>'Expenditures 15-22'!K295</f>
        <v>2909077</v>
      </c>
      <c r="G12" s="872"/>
    </row>
    <row r="13" spans="1:7" x14ac:dyDescent="0.2">
      <c r="A13" s="869" t="s">
        <v>106</v>
      </c>
      <c r="B13" s="870" t="s">
        <v>1877</v>
      </c>
      <c r="C13" s="871"/>
      <c r="D13" s="869" t="s">
        <v>500</v>
      </c>
      <c r="E13" s="868"/>
      <c r="F13" s="1909">
        <f>'Expenditures 15-22'!K342</f>
        <v>730356</v>
      </c>
      <c r="G13" s="873"/>
    </row>
    <row r="14" spans="1:7" ht="12" customHeight="1" thickBot="1" x14ac:dyDescent="0.25">
      <c r="A14" s="1770"/>
      <c r="B14" s="1771"/>
      <c r="C14" s="1772"/>
      <c r="D14" s="1773" t="s">
        <v>500</v>
      </c>
      <c r="E14" s="1774" t="s">
        <v>957</v>
      </c>
      <c r="F14" s="1775">
        <f>SUM(F8:F13)</f>
        <v>92645943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49878</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1135232</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203641</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402821</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394256</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554818</v>
      </c>
      <c r="G52" s="865"/>
    </row>
    <row r="53" spans="1:7" x14ac:dyDescent="0.2">
      <c r="A53" s="869" t="s">
        <v>458</v>
      </c>
      <c r="B53" s="869" t="s">
        <v>1474</v>
      </c>
      <c r="C53" s="889">
        <f>'Expenditures 15-22'!B102</f>
        <v>4000</v>
      </c>
      <c r="D53" s="888" t="str">
        <f>'Expenditures 15-22'!A102</f>
        <v>Total Payments to Other Govt Units</v>
      </c>
      <c r="E53" s="868"/>
      <c r="F53" s="1913">
        <f>'Expenditures 15-22'!K102</f>
        <v>7274</v>
      </c>
      <c r="G53" s="865"/>
    </row>
    <row r="54" spans="1:7" x14ac:dyDescent="0.2">
      <c r="A54" s="869" t="s">
        <v>458</v>
      </c>
      <c r="B54" s="869" t="s">
        <v>1475</v>
      </c>
      <c r="C54" s="889" t="s">
        <v>981</v>
      </c>
      <c r="D54" s="885" t="s">
        <v>1094</v>
      </c>
      <c r="E54" s="868"/>
      <c r="F54" s="1913">
        <f>'Expenditures 15-22'!G114</f>
        <v>380687</v>
      </c>
      <c r="G54" s="865"/>
    </row>
    <row r="55" spans="1:7" x14ac:dyDescent="0.2">
      <c r="A55" s="869" t="s">
        <v>458</v>
      </c>
      <c r="B55" s="869" t="s">
        <v>1476</v>
      </c>
      <c r="C55" s="889" t="s">
        <v>981</v>
      </c>
      <c r="D55" s="885" t="s">
        <v>290</v>
      </c>
      <c r="E55" s="868"/>
      <c r="F55" s="1913">
        <f>'Expenditures 15-22'!I114</f>
        <v>66645</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103422</v>
      </c>
      <c r="G58" s="865"/>
    </row>
    <row r="59" spans="1:7" x14ac:dyDescent="0.2">
      <c r="A59" s="893" t="s">
        <v>459</v>
      </c>
      <c r="B59" s="856" t="s">
        <v>1880</v>
      </c>
      <c r="C59" s="894" t="s">
        <v>981</v>
      </c>
      <c r="D59" s="856" t="s">
        <v>290</v>
      </c>
      <c r="F59" s="1916">
        <f>'Expenditures 15-22'!I151</f>
        <v>774</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6110000</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508722</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7187</v>
      </c>
      <c r="G67" s="865"/>
    </row>
    <row r="68" spans="1:8" x14ac:dyDescent="0.2">
      <c r="A68" s="869" t="s">
        <v>461</v>
      </c>
      <c r="B68" s="869" t="s">
        <v>1478</v>
      </c>
      <c r="C68" s="886" t="str">
        <f>'Expenditures 15-22'!B218</f>
        <v>1225</v>
      </c>
      <c r="D68" s="892" t="str">
        <f>'Expenditures 15-22'!A218</f>
        <v>Special Education Programs - Pre-K</v>
      </c>
      <c r="E68" s="868"/>
      <c r="F68" s="1913">
        <f>'Expenditures 15-22'!K218</f>
        <v>1506</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20955</v>
      </c>
      <c r="G71" s="865"/>
    </row>
    <row r="72" spans="1:8" x14ac:dyDescent="0.2">
      <c r="A72" s="869" t="s">
        <v>461</v>
      </c>
      <c r="B72" s="869" t="s">
        <v>1892</v>
      </c>
      <c r="C72" s="886">
        <f>'Expenditures 15-22'!B280</f>
        <v>3000</v>
      </c>
      <c r="D72" s="876" t="s">
        <v>448</v>
      </c>
      <c r="E72" s="868"/>
      <c r="F72" s="1913">
        <f>'Expenditures 15-22'!K280</f>
        <v>52</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9947870</v>
      </c>
      <c r="G76" s="865"/>
    </row>
    <row r="77" spans="1:8" s="893" customFormat="1" ht="12" customHeight="1" thickTop="1" thickBot="1" x14ac:dyDescent="0.25">
      <c r="A77" s="1779"/>
      <c r="B77" s="1776"/>
      <c r="C77" s="1772"/>
      <c r="D77" s="1777" t="s">
        <v>1896</v>
      </c>
      <c r="E77" s="1774"/>
      <c r="F77" s="1780">
        <f>(F14-F76)</f>
        <v>82698073</v>
      </c>
      <c r="G77" s="869"/>
    </row>
    <row r="78" spans="1:8" s="893" customFormat="1" ht="12" customHeight="1" thickTop="1" x14ac:dyDescent="0.2">
      <c r="A78" s="1781"/>
      <c r="B78" s="1776"/>
      <c r="C78" s="1772"/>
      <c r="D78" s="1777" t="s">
        <v>2058</v>
      </c>
      <c r="E78" s="1774"/>
      <c r="F78" s="898">
        <v>5289.5</v>
      </c>
      <c r="G78" s="899"/>
      <c r="H78" s="869"/>
    </row>
    <row r="79" spans="1:8" s="893" customFormat="1" ht="12" customHeight="1" thickBot="1" x14ac:dyDescent="0.25">
      <c r="A79" s="1782"/>
      <c r="B79" s="1776"/>
      <c r="C79" s="1772"/>
      <c r="D79" s="1777" t="s">
        <v>1897</v>
      </c>
      <c r="E79" s="1774" t="s">
        <v>957</v>
      </c>
      <c r="F79" s="1783">
        <f>IF(F78&gt;0,F77/F78," Complete Line 78")</f>
        <v>15634.383779185178</v>
      </c>
      <c r="G79" s="869"/>
    </row>
    <row r="80" spans="1:8" s="893" customFormat="1" ht="8.25" customHeight="1" thickTop="1" x14ac:dyDescent="0.2">
      <c r="A80" s="900"/>
      <c r="B80" s="869"/>
      <c r="C80" s="871"/>
      <c r="D80" s="901"/>
      <c r="E80" s="868"/>
      <c r="F80" s="902"/>
      <c r="G80" s="869"/>
    </row>
    <row r="81" spans="1:7" s="893" customFormat="1" ht="12" thickBot="1" x14ac:dyDescent="0.25">
      <c r="A81" s="2260" t="s">
        <v>1104</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42366</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757918</v>
      </c>
      <c r="G94" s="912"/>
    </row>
    <row r="95" spans="1:7" x14ac:dyDescent="0.2">
      <c r="A95" s="908" t="s">
        <v>140</v>
      </c>
      <c r="B95" s="908" t="s">
        <v>175</v>
      </c>
      <c r="C95" s="910">
        <v>1700</v>
      </c>
      <c r="D95" s="918" t="str">
        <f>'Revenues 9-14'!A82</f>
        <v>Total District/School Activity Income</v>
      </c>
      <c r="E95" s="906"/>
      <c r="F95" s="1789">
        <f>SUM('Revenues 9-14'!C82,'Revenues 9-14'!D82)</f>
        <v>302242</v>
      </c>
      <c r="G95" s="912"/>
    </row>
    <row r="96" spans="1:7" x14ac:dyDescent="0.2">
      <c r="A96" s="908" t="s">
        <v>458</v>
      </c>
      <c r="B96" s="908" t="s">
        <v>176</v>
      </c>
      <c r="C96" s="910">
        <f>'Revenues 9-14'!B84</f>
        <v>1811</v>
      </c>
      <c r="D96" s="911" t="str">
        <f>'Revenues 9-14'!A84</f>
        <v>Rentals - Regular Textbooks</v>
      </c>
      <c r="E96" s="906"/>
      <c r="F96" s="1789">
        <f>'Revenues 9-14'!C84</f>
        <v>700476</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36775</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65733</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293363</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63190</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19814</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61551</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3139507</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155331</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1204003</v>
      </c>
      <c r="G125" s="930"/>
    </row>
    <row r="126" spans="1:7" x14ac:dyDescent="0.2">
      <c r="A126" s="927" t="s">
        <v>667</v>
      </c>
      <c r="B126" s="927" t="s">
        <v>2020</v>
      </c>
      <c r="C126" s="932">
        <v>4300</v>
      </c>
      <c r="D126" s="933" t="str">
        <f>'Revenues 9-14'!A204</f>
        <v>Total Title I</v>
      </c>
      <c r="E126" s="906"/>
      <c r="F126" s="1789">
        <f>SUM('Revenues 9-14'!C204,'Revenues 9-14'!D204,'Revenues 9-14'!F204,'Revenues 9-14'!G204)</f>
        <v>1000826</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17530</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1399074</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287623</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50441</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67338</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67338</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1652</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107930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64726</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252965</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288123</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663</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10380497</v>
      </c>
    </row>
    <row r="175" spans="1:7" ht="12" customHeight="1" x14ac:dyDescent="0.2">
      <c r="A175" s="1770"/>
      <c r="B175" s="1784"/>
      <c r="C175" s="1785"/>
      <c r="D175" s="1786" t="s">
        <v>2053</v>
      </c>
      <c r="E175" s="1787"/>
      <c r="F175" s="1789">
        <f>'PCTC-OEPP 27-28'!F77-F174</f>
        <v>72317576</v>
      </c>
    </row>
    <row r="176" spans="1:7" ht="12" customHeight="1" x14ac:dyDescent="0.2">
      <c r="A176" s="1770"/>
      <c r="B176" s="1784"/>
      <c r="C176" s="1785"/>
      <c r="D176" s="1786" t="s">
        <v>1813</v>
      </c>
      <c r="E176" s="1787"/>
      <c r="F176" s="1789">
        <f>'Cap Outlay Deprec 26'!I18</f>
        <v>5377603.9000000004</v>
      </c>
    </row>
    <row r="177" spans="1:7" ht="12" customHeight="1" x14ac:dyDescent="0.2">
      <c r="A177" s="1770"/>
      <c r="B177" s="1784"/>
      <c r="C177" s="1785"/>
      <c r="D177" s="1786" t="s">
        <v>2054</v>
      </c>
      <c r="E177" s="1787"/>
      <c r="F177" s="1789">
        <f>F175+F176</f>
        <v>77695179.900000006</v>
      </c>
    </row>
    <row r="178" spans="1:7" ht="12" customHeight="1" x14ac:dyDescent="0.2">
      <c r="A178" s="1770"/>
      <c r="B178" s="1790"/>
      <c r="C178" s="1785"/>
      <c r="D178" s="1786" t="str">
        <f>D78</f>
        <v>9 Month ADA from District Average Daily Attendance/Prior General State Aid Inquiry 2018-2019</v>
      </c>
      <c r="E178" s="1787"/>
      <c r="F178" s="1791">
        <f>'PCTC-OEPP 27-28'!F78</f>
        <v>5289.5</v>
      </c>
      <c r="G178" s="930"/>
    </row>
    <row r="179" spans="1:7" ht="12" customHeight="1" thickBot="1" x14ac:dyDescent="0.25">
      <c r="A179" s="1770"/>
      <c r="B179" s="1790"/>
      <c r="C179" s="1785"/>
      <c r="D179" s="1786" t="s">
        <v>2055</v>
      </c>
      <c r="E179" s="1787" t="s">
        <v>1544</v>
      </c>
      <c r="F179" s="1792">
        <f>F177/F178</f>
        <v>14688.567898667172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8" sqref="D2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4" t="s">
        <v>1814</v>
      </c>
      <c r="B4" s="2275"/>
      <c r="C4" s="2275"/>
      <c r="D4" s="2275"/>
      <c r="E4" s="2275"/>
      <c r="F4" s="2275"/>
      <c r="G4" s="2276"/>
    </row>
    <row r="5" spans="1:7" x14ac:dyDescent="0.25">
      <c r="A5" s="2277"/>
      <c r="B5" s="2278"/>
      <c r="C5" s="2278"/>
      <c r="D5" s="2278"/>
      <c r="E5" s="2278"/>
      <c r="F5" s="2278"/>
      <c r="G5" s="2279"/>
    </row>
    <row r="6" spans="1:7" ht="18.75" x14ac:dyDescent="0.25">
      <c r="A6" s="1534" t="s">
        <v>1815</v>
      </c>
      <c r="B6" s="1535"/>
      <c r="C6" s="1535"/>
      <c r="D6" s="1535"/>
      <c r="E6" s="1535"/>
      <c r="F6" s="1535"/>
      <c r="G6" s="1536"/>
    </row>
    <row r="7" spans="1:7" ht="30.75" customHeight="1" x14ac:dyDescent="0.25">
      <c r="A7" s="2280" t="s">
        <v>1928</v>
      </c>
      <c r="B7" s="2281"/>
      <c r="C7" s="2281"/>
      <c r="D7" s="2281"/>
      <c r="E7" s="2281"/>
      <c r="F7" s="2281"/>
      <c r="G7" s="2282"/>
    </row>
    <row r="8" spans="1:7" ht="15.75" customHeight="1" x14ac:dyDescent="0.25">
      <c r="A8" s="2283" t="s">
        <v>1903</v>
      </c>
      <c r="B8" s="2284"/>
      <c r="C8" s="2284"/>
      <c r="D8" s="2284"/>
      <c r="E8" s="2284"/>
      <c r="F8" s="2284"/>
      <c r="G8" s="2285"/>
    </row>
    <row r="9" spans="1:7" ht="35.25" customHeight="1" x14ac:dyDescent="0.25">
      <c r="A9" s="2280" t="s">
        <v>1931</v>
      </c>
      <c r="B9" s="2281"/>
      <c r="C9" s="2281"/>
      <c r="D9" s="2281"/>
      <c r="E9" s="2281"/>
      <c r="F9" s="2281"/>
      <c r="G9" s="2282"/>
    </row>
    <row r="10" spans="1:7" ht="15" customHeight="1" x14ac:dyDescent="0.25">
      <c r="A10" s="1537" t="s">
        <v>1816</v>
      </c>
      <c r="B10" s="1538"/>
      <c r="C10" s="1538"/>
      <c r="D10" s="1538"/>
      <c r="E10" s="1538"/>
      <c r="F10" s="1538"/>
      <c r="G10" s="1539"/>
    </row>
    <row r="11" spans="1:7" ht="17.25" customHeight="1" x14ac:dyDescent="0.25">
      <c r="A11" s="2280" t="s">
        <v>1930</v>
      </c>
      <c r="B11" s="2281"/>
      <c r="C11" s="2281"/>
      <c r="D11" s="2281"/>
      <c r="E11" s="2281"/>
      <c r="F11" s="2281"/>
      <c r="G11" s="2282"/>
    </row>
    <row r="12" spans="1:7" ht="15" customHeight="1" x14ac:dyDescent="0.25">
      <c r="A12" s="1537" t="s">
        <v>1821</v>
      </c>
      <c r="B12" s="1538"/>
      <c r="C12" s="1538"/>
      <c r="D12" s="1538"/>
      <c r="E12" s="1538"/>
      <c r="F12" s="1538"/>
      <c r="G12" s="1539"/>
    </row>
    <row r="13" spans="1:7" ht="32.25" customHeight="1" x14ac:dyDescent="0.25">
      <c r="A13" s="2271" t="s">
        <v>1972</v>
      </c>
      <c r="B13" s="2272"/>
      <c r="C13" s="2272"/>
      <c r="D13" s="2272"/>
      <c r="E13" s="2272"/>
      <c r="F13" s="2272"/>
      <c r="G13" s="2273"/>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2" t="s">
        <v>2152</v>
      </c>
      <c r="B17" s="1943" t="s">
        <v>2155</v>
      </c>
      <c r="C17" s="1944" t="s">
        <v>2159</v>
      </c>
      <c r="D17" s="1844">
        <v>60750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35750</v>
      </c>
      <c r="H17" s="1647"/>
    </row>
    <row r="18" spans="1:8" x14ac:dyDescent="0.25">
      <c r="A18" s="1942" t="s">
        <v>2152</v>
      </c>
      <c r="B18" s="1943" t="s">
        <v>2155</v>
      </c>
      <c r="C18" s="1944" t="s">
        <v>2160</v>
      </c>
      <c r="D18" s="1844">
        <v>40320</v>
      </c>
      <c r="E18" s="1540">
        <f t="shared" ref="E18:E140" si="2">IF(D18&lt;=25000,D18,IF(D18&gt;25000,25000,0))</f>
        <v>25000</v>
      </c>
      <c r="F18" s="1932">
        <f t="shared" si="1"/>
        <v>25000</v>
      </c>
      <c r="G18" s="1793">
        <f t="shared" ref="G18:G140" si="3">IF(F18=0,0,D18-F18)</f>
        <v>15320</v>
      </c>
    </row>
    <row r="19" spans="1:8" x14ac:dyDescent="0.25">
      <c r="A19" s="1942" t="s">
        <v>2152</v>
      </c>
      <c r="B19" s="1943" t="s">
        <v>2155</v>
      </c>
      <c r="C19" s="1944" t="s">
        <v>2161</v>
      </c>
      <c r="D19" s="1844">
        <v>86818.06</v>
      </c>
      <c r="E19" s="1540">
        <f t="shared" si="2"/>
        <v>25000</v>
      </c>
      <c r="F19" s="1932">
        <f t="shared" si="1"/>
        <v>25000</v>
      </c>
      <c r="G19" s="1793">
        <f t="shared" si="3"/>
        <v>61818.06</v>
      </c>
    </row>
    <row r="20" spans="1:8" x14ac:dyDescent="0.25">
      <c r="A20" s="1942" t="s">
        <v>2152</v>
      </c>
      <c r="B20" s="1943" t="s">
        <v>2155</v>
      </c>
      <c r="C20" s="1944" t="s">
        <v>2162</v>
      </c>
      <c r="D20" s="1844">
        <v>90190.92</v>
      </c>
      <c r="E20" s="1540">
        <f t="shared" si="2"/>
        <v>25000</v>
      </c>
      <c r="F20" s="1932">
        <f t="shared" si="1"/>
        <v>25000</v>
      </c>
      <c r="G20" s="1793">
        <f t="shared" si="3"/>
        <v>65190.92</v>
      </c>
    </row>
    <row r="21" spans="1:8" x14ac:dyDescent="0.25">
      <c r="A21" s="1942" t="s">
        <v>2152</v>
      </c>
      <c r="B21" s="1943" t="s">
        <v>2155</v>
      </c>
      <c r="C21" s="1944" t="s">
        <v>2163</v>
      </c>
      <c r="D21" s="1844">
        <v>45000</v>
      </c>
      <c r="E21" s="1540">
        <f t="shared" si="2"/>
        <v>25000</v>
      </c>
      <c r="F21" s="1932">
        <f t="shared" si="1"/>
        <v>25000</v>
      </c>
      <c r="G21" s="1793">
        <f t="shared" si="3"/>
        <v>20000</v>
      </c>
    </row>
    <row r="22" spans="1:8" x14ac:dyDescent="0.25">
      <c r="A22" s="1942" t="s">
        <v>2153</v>
      </c>
      <c r="B22" s="1943" t="s">
        <v>2156</v>
      </c>
      <c r="C22" s="1944" t="s">
        <v>2164</v>
      </c>
      <c r="D22" s="1844">
        <v>34443.75</v>
      </c>
      <c r="E22" s="1540">
        <f t="shared" si="2"/>
        <v>25000</v>
      </c>
      <c r="F22" s="1932">
        <f t="shared" si="1"/>
        <v>25000</v>
      </c>
      <c r="G22" s="1793">
        <f t="shared" si="3"/>
        <v>9443.75</v>
      </c>
    </row>
    <row r="23" spans="1:8" x14ac:dyDescent="0.25">
      <c r="A23" s="1942" t="s">
        <v>2153</v>
      </c>
      <c r="B23" s="1943" t="s">
        <v>2156</v>
      </c>
      <c r="C23" s="1944" t="s">
        <v>2165</v>
      </c>
      <c r="D23" s="1844">
        <v>52951.5</v>
      </c>
      <c r="E23" s="1540">
        <f t="shared" si="2"/>
        <v>25000</v>
      </c>
      <c r="F23" s="1932">
        <f t="shared" si="1"/>
        <v>25000</v>
      </c>
      <c r="G23" s="1793">
        <f t="shared" si="3"/>
        <v>27951.5</v>
      </c>
    </row>
    <row r="24" spans="1:8" x14ac:dyDescent="0.25">
      <c r="A24" s="1942" t="s">
        <v>2153</v>
      </c>
      <c r="B24" s="1943" t="s">
        <v>2156</v>
      </c>
      <c r="C24" s="1944" t="s">
        <v>2166</v>
      </c>
      <c r="D24" s="1844">
        <v>28659.279999999999</v>
      </c>
      <c r="E24" s="1540">
        <f t="shared" si="2"/>
        <v>25000</v>
      </c>
      <c r="F24" s="1932">
        <f t="shared" si="1"/>
        <v>25000</v>
      </c>
      <c r="G24" s="1793">
        <f t="shared" si="3"/>
        <v>3659.2799999999988</v>
      </c>
    </row>
    <row r="25" spans="1:8" x14ac:dyDescent="0.25">
      <c r="A25" s="1942" t="s">
        <v>2153</v>
      </c>
      <c r="B25" s="1943" t="s">
        <v>2157</v>
      </c>
      <c r="C25" s="1944" t="s">
        <v>2167</v>
      </c>
      <c r="D25" s="1844">
        <v>54856</v>
      </c>
      <c r="E25" s="1540">
        <f t="shared" si="2"/>
        <v>25000</v>
      </c>
      <c r="F25" s="1932">
        <f t="shared" si="1"/>
        <v>25000</v>
      </c>
      <c r="G25" s="1793">
        <f t="shared" si="3"/>
        <v>29856</v>
      </c>
    </row>
    <row r="26" spans="1:8" x14ac:dyDescent="0.25">
      <c r="A26" s="1942" t="s">
        <v>2154</v>
      </c>
      <c r="B26" s="1943" t="s">
        <v>2158</v>
      </c>
      <c r="C26" s="1944" t="s">
        <v>2168</v>
      </c>
      <c r="D26" s="1844">
        <v>51079</v>
      </c>
      <c r="E26" s="1540">
        <f t="shared" si="2"/>
        <v>25000</v>
      </c>
      <c r="F26" s="1932">
        <f t="shared" si="1"/>
        <v>25000</v>
      </c>
      <c r="G26" s="1793">
        <f t="shared" si="3"/>
        <v>26079</v>
      </c>
    </row>
    <row r="27" spans="1:8" x14ac:dyDescent="0.25">
      <c r="A27" s="1942" t="s">
        <v>2154</v>
      </c>
      <c r="B27" s="1943" t="s">
        <v>2158</v>
      </c>
      <c r="C27" s="1944" t="s">
        <v>2169</v>
      </c>
      <c r="D27" s="1844">
        <v>53990.2</v>
      </c>
      <c r="E27" s="1540">
        <f t="shared" si="2"/>
        <v>25000</v>
      </c>
      <c r="F27" s="1932">
        <f t="shared" si="1"/>
        <v>25000</v>
      </c>
      <c r="G27" s="1793">
        <f t="shared" si="3"/>
        <v>28990.199999999997</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599058.71</v>
      </c>
      <c r="E141" s="1541">
        <f t="shared" si="0"/>
        <v>25000</v>
      </c>
      <c r="F141" s="1933">
        <f>SUM(F17:F140)</f>
        <v>275000</v>
      </c>
      <c r="G141" s="1795">
        <f>SUM(G17:G140)</f>
        <v>324058.71000000002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6" t="s">
        <v>1678</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833760</v>
      </c>
      <c r="F10" s="974"/>
      <c r="G10" s="975"/>
      <c r="H10" s="162"/>
      <c r="I10" s="162"/>
    </row>
    <row r="11" spans="1:9" s="668" customFormat="1" ht="22.5" customHeight="1" x14ac:dyDescent="0.2">
      <c r="A11" s="2291" t="s">
        <v>1973</v>
      </c>
      <c r="B11" s="2292"/>
      <c r="C11" s="2292"/>
      <c r="D11" s="2293"/>
      <c r="E11" s="977">
        <v>155162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45973462</v>
      </c>
      <c r="F19" s="1799"/>
      <c r="G19" s="1801">
        <f>'Expenditures 15-22'!K33-SUM('Expenditures 15-22'!G33,'Expenditures 15-22'!I33)+'Expenditures 15-22'!D229</f>
        <v>45973462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7100593</v>
      </c>
      <c r="F21" s="1802"/>
      <c r="G21" s="1805">
        <f>'Expenditures 15-22'!K42-SUM('Expenditures 15-22'!G42,'Expenditures 15-22'!I42)+'Expenditures 15-22'!K120-SUM('Expenditures 15-22'!G120,'Expenditures 15-22'!I120)+'Expenditures 15-22'!K180-SUM('Expenditures 15-22'!G180,'Expenditures 15-22'!I180)+'Expenditures 15-22'!D238</f>
        <v>7100593</v>
      </c>
      <c r="H21" s="987"/>
      <c r="I21" s="162"/>
    </row>
    <row r="22" spans="1:9" s="668" customFormat="1" ht="12" customHeight="1" x14ac:dyDescent="0.2">
      <c r="A22" s="994" t="s">
        <v>563</v>
      </c>
      <c r="B22" s="995"/>
      <c r="C22" s="993">
        <v>2200</v>
      </c>
      <c r="D22" s="1802"/>
      <c r="E22" s="1804">
        <f>'Expenditures 15-22'!K47-SUM('Expenditures 15-22'!G47,'Expenditures 15-22'!I47)+'Expenditures 15-22'!D243</f>
        <v>3103241</v>
      </c>
      <c r="F22" s="1802"/>
      <c r="G22" s="1805">
        <f>'Expenditures 15-22'!K47-SUM('Expenditures 15-22'!G47,'Expenditures 15-22'!I47)+'Expenditures 15-22'!D243</f>
        <v>3103241</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1548136</v>
      </c>
      <c r="F23" s="1802"/>
      <c r="G23" s="1804">
        <f>'Expenditures 15-22'!K53-SUM('Expenditures 15-22'!G53,'Expenditures 15-22'!I53)+'Expenditures 15-22'!D257+'Expenditures 15-22'!K330-SUM('Expenditures 15-22'!G330,'Expenditures 15-22'!I330)</f>
        <v>1548136</v>
      </c>
      <c r="H23" s="987"/>
      <c r="I23" s="162"/>
    </row>
    <row r="24" spans="1:9" s="668" customFormat="1" ht="12" customHeight="1" x14ac:dyDescent="0.2">
      <c r="A24" s="994" t="s">
        <v>565</v>
      </c>
      <c r="B24" s="995"/>
      <c r="C24" s="993">
        <v>2400</v>
      </c>
      <c r="D24" s="1802"/>
      <c r="E24" s="1804">
        <f>'Expenditures 15-22'!K57-SUM('Expenditures 15-22'!G57,'Expenditures 15-22'!I57)+'Expenditures 15-22'!D261</f>
        <v>4577914</v>
      </c>
      <c r="F24" s="1802"/>
      <c r="G24" s="1805">
        <f>'Expenditures 15-22'!K57-SUM('Expenditures 15-22'!G57,'Expenditures 15-22'!I57)+'Expenditures 15-22'!D261</f>
        <v>4577914</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200315</v>
      </c>
      <c r="E26" s="1804">
        <f>'Expenditures 15-22'!K122-SUM('Expenditures 15-22'!G122,'Expenditures 15-22'!I122)+E7</f>
        <v>0</v>
      </c>
      <c r="F26" s="1804">
        <f>'Expenditures 15-22'!K59-SUM('Expenditures 15-22'!G59,'Expenditures 15-22'!I59)+'Expenditures 15-22'!D263-E7</f>
        <v>200315</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673703</v>
      </c>
      <c r="E27" s="1804">
        <f>E8</f>
        <v>0</v>
      </c>
      <c r="F27" s="1804">
        <f>'Expenditures 15-22'!K60-SUM('Expenditures 15-22'!G60,'Expenditures 15-22'!I60)+'Expenditures 15-22'!D264-E8</f>
        <v>673703</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7618717</v>
      </c>
      <c r="F28" s="1806">
        <f>'Expenditures 15-22'!K61-SUM('Expenditures 15-22'!G61,'Expenditures 15-22'!I61)+'Expenditures 15-22'!K124-SUM('Expenditures 15-22'!G124,'Expenditures 15-22'!I124)+'Expenditures 15-22'!D266-E9</f>
        <v>7618717</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5362094</v>
      </c>
      <c r="F29" s="1802"/>
      <c r="G29" s="1805">
        <f>'Expenditures 15-22'!K62-SUM('Expenditures 15-22'!G62,'Expenditures 15-22'!I62)+'Expenditures 15-22'!K125-SUM('Expenditures 15-22'!G125,'Expenditures 15-22'!I125)+'Expenditures 15-22'!K182-SUM('Expenditures 15-22'!G182,'Expenditures 15-22'!I182)+'Expenditures 15-22'!D267</f>
        <v>5362094</v>
      </c>
      <c r="H29" s="985"/>
    </row>
    <row r="30" spans="1:9" ht="12" customHeight="1" x14ac:dyDescent="0.2">
      <c r="A30" s="994" t="s">
        <v>100</v>
      </c>
      <c r="B30" s="997"/>
      <c r="C30" s="993">
        <v>2560</v>
      </c>
      <c r="D30" s="1802"/>
      <c r="E30" s="1804">
        <f>'Expenditures 15-22'!K63-SUM('Expenditures 15-22'!G63,'Expenditures 15-22'!I63)+'Expenditures 15-22'!D268-E10</f>
        <v>1711560</v>
      </c>
      <c r="F30" s="1802"/>
      <c r="G30" s="1804">
        <f>'Expenditures 15-22'!K63-SUM('Expenditures 15-22'!G63,'Expenditures 15-22'!I63)+'Expenditures 15-22'!D268-E10</f>
        <v>1711560</v>
      </c>
    </row>
    <row r="31" spans="1:9" ht="12" customHeight="1" x14ac:dyDescent="0.2">
      <c r="A31" s="994" t="s">
        <v>101</v>
      </c>
      <c r="B31" s="997"/>
      <c r="C31" s="993">
        <v>2570</v>
      </c>
      <c r="D31" s="1804">
        <f>'Expenditures 15-22'!K64-SUM('Expenditures 15-22'!G64,'Expenditures 15-22'!I64)+'Expenditures 15-22'!D269-E12</f>
        <v>169</v>
      </c>
      <c r="E31" s="1804">
        <f>E12</f>
        <v>0</v>
      </c>
      <c r="F31" s="1804">
        <f>'Expenditures 15-22'!K64-SUM('Expenditures 15-22'!G64,'Expenditures 15-22'!I64)+'Expenditures 15-22'!D269-E12</f>
        <v>169</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277924</v>
      </c>
      <c r="F35" s="1802"/>
      <c r="G35" s="1804">
        <f>'Expenditures 15-22'!K69-SUM('Expenditures 15-22'!G69,'Expenditures 15-22'!I69)+'Expenditures 15-22'!D274</f>
        <v>277924</v>
      </c>
    </row>
    <row r="36" spans="1:7" ht="12" customHeight="1" x14ac:dyDescent="0.2">
      <c r="A36" s="994" t="s">
        <v>402</v>
      </c>
      <c r="B36" s="997"/>
      <c r="C36" s="993">
        <v>2640</v>
      </c>
      <c r="D36" s="1804">
        <f>'Expenditures 15-22'!K70-SUM('Expenditures 15-22'!G70,'Expenditures 15-22'!I70)+'Expenditures 15-22'!D275-E13</f>
        <v>561795</v>
      </c>
      <c r="E36" s="1804">
        <f>E13</f>
        <v>0</v>
      </c>
      <c r="F36" s="1804">
        <f>'Expenditures 15-22'!K70-SUM('Expenditures 15-22'!G70,'Expenditures 15-22'!I70)+'Expenditures 15-22'!D275-E13</f>
        <v>561795</v>
      </c>
      <c r="G36" s="1804">
        <f>E13</f>
        <v>0</v>
      </c>
    </row>
    <row r="37" spans="1:7" ht="12" customHeight="1" x14ac:dyDescent="0.2">
      <c r="A37" s="994" t="s">
        <v>403</v>
      </c>
      <c r="B37" s="997"/>
      <c r="C37" s="993">
        <v>2660</v>
      </c>
      <c r="D37" s="1804">
        <f>'Expenditures 15-22'!K71-SUM('Expenditures 15-22'!G71,'Expenditures 15-22'!I71)+'Expenditures 15-22'!D276-E14</f>
        <v>1697492</v>
      </c>
      <c r="E37" s="1804">
        <f>E14</f>
        <v>0</v>
      </c>
      <c r="F37" s="1804">
        <f>'Expenditures 15-22'!K71-SUM('Expenditures 15-22'!G71,'Expenditures 15-22'!I71)+'Expenditures 15-22'!D276-E14</f>
        <v>1697492</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554870</v>
      </c>
      <c r="F39" s="1802"/>
      <c r="G39" s="1804">
        <f>'Expenditures 15-22'!K75-SUM('Expenditures 15-22'!G75,'Expenditures 15-22'!I75)+'Expenditures 15-22'!K130-SUM('Expenditures 15-22'!G130,'Expenditures 15-22'!I130)+'Expenditures 15-22'!K185-SUM('Expenditures 15-22'!G185,'Expenditures 15-22'!I185)+'Expenditures 15-22'!D280</f>
        <v>554870</v>
      </c>
    </row>
    <row r="40" spans="1:7" ht="12" customHeight="1" x14ac:dyDescent="0.2">
      <c r="A40" s="990" t="s">
        <v>1819</v>
      </c>
      <c r="B40" s="991"/>
      <c r="C40" s="993"/>
      <c r="D40" s="1802"/>
      <c r="E40" s="1806">
        <f>-'Contracts Paid in CY 29'!G141</f>
        <v>-324058.71000000002</v>
      </c>
      <c r="F40" s="1802"/>
      <c r="G40" s="1806">
        <f>-'Contracts Paid in CY 29'!G141</f>
        <v>-324058.71000000002</v>
      </c>
    </row>
    <row r="41" spans="1:7" ht="12" customHeight="1" x14ac:dyDescent="0.2">
      <c r="A41" s="998" t="s">
        <v>156</v>
      </c>
      <c r="B41" s="999"/>
      <c r="C41" s="1000"/>
      <c r="D41" s="1806">
        <f>SUM(D19:D39)</f>
        <v>3133474</v>
      </c>
      <c r="E41" s="1806">
        <f>SUM(E19:E40)</f>
        <v>77504452.290000007</v>
      </c>
      <c r="F41" s="1806">
        <f>SUM(F19:F39)</f>
        <v>10752191</v>
      </c>
      <c r="G41" s="1806">
        <f>SUM(G19:G40)</f>
        <v>69885735.290000007</v>
      </c>
    </row>
    <row r="42" spans="1:7" x14ac:dyDescent="0.2">
      <c r="A42" s="987"/>
      <c r="B42" s="162"/>
      <c r="C42" s="1001"/>
      <c r="D42" s="2289" t="s">
        <v>521</v>
      </c>
      <c r="E42" s="2290"/>
      <c r="F42" s="1002" t="s">
        <v>522</v>
      </c>
      <c r="G42" s="1003"/>
    </row>
    <row r="43" spans="1:7" ht="12" customHeight="1" x14ac:dyDescent="0.2">
      <c r="A43" s="987"/>
      <c r="B43" s="162"/>
      <c r="C43" s="1001"/>
      <c r="D43" s="1807" t="s">
        <v>472</v>
      </c>
      <c r="E43" s="1808">
        <f>D41</f>
        <v>3133474</v>
      </c>
      <c r="F43" s="1807" t="s">
        <v>472</v>
      </c>
      <c r="G43" s="1808">
        <f>F41</f>
        <v>10752191</v>
      </c>
    </row>
    <row r="44" spans="1:7" ht="12" customHeight="1" x14ac:dyDescent="0.2">
      <c r="A44" s="987"/>
      <c r="B44" s="162"/>
      <c r="C44" s="1001"/>
      <c r="D44" s="1807" t="s">
        <v>473</v>
      </c>
      <c r="E44" s="1808">
        <f>E41</f>
        <v>77504452.290000007</v>
      </c>
      <c r="F44" s="1807" t="s">
        <v>473</v>
      </c>
      <c r="G44" s="1808">
        <f>G41</f>
        <v>69885735.290000007</v>
      </c>
    </row>
    <row r="45" spans="1:7" ht="12" customHeight="1" x14ac:dyDescent="0.2">
      <c r="A45" s="987"/>
      <c r="B45" s="162"/>
      <c r="C45" s="162"/>
      <c r="D45" s="1809" t="s">
        <v>1005</v>
      </c>
      <c r="E45" s="1810">
        <f>(E43/E44)</f>
        <v>4.0429599944470491E-2</v>
      </c>
      <c r="F45" s="1809" t="s">
        <v>1005</v>
      </c>
      <c r="G45" s="1810">
        <f>(G43/G44)</f>
        <v>0.15385387240160495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A19" sqref="A1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1378</v>
      </c>
      <c r="B1" s="2308"/>
      <c r="C1" s="2308"/>
      <c r="D1" s="2308"/>
      <c r="E1" s="2308"/>
      <c r="F1" s="2308"/>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9" t="s">
        <v>1545</v>
      </c>
      <c r="B5" s="2310"/>
      <c r="C5" s="2311"/>
      <c r="D5" s="2311"/>
      <c r="E5" s="2311"/>
      <c r="F5" s="2311"/>
    </row>
    <row r="6" spans="1:10" ht="12" customHeight="1" x14ac:dyDescent="0.25">
      <c r="A6" s="1850"/>
      <c r="B6" s="1851"/>
      <c r="C6" s="2312" t="str">
        <f>COVER!A17</f>
        <v>Woodstock CUSD 200</v>
      </c>
      <c r="D6" s="2312"/>
      <c r="E6" s="2312"/>
      <c r="F6" s="1852"/>
    </row>
    <row r="7" spans="1:10" ht="11.25" customHeight="1" thickBot="1" x14ac:dyDescent="0.3">
      <c r="A7" s="1850"/>
      <c r="B7" s="1851"/>
      <c r="C7" s="2313">
        <f>COVER!A13</f>
        <v>44063200026</v>
      </c>
      <c r="D7" s="2313"/>
      <c r="E7" s="2313"/>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2065</v>
      </c>
      <c r="D14" s="1865" t="s">
        <v>2065</v>
      </c>
      <c r="E14" s="1868" t="s">
        <v>2065</v>
      </c>
      <c r="F14" s="1867" t="s">
        <v>2170</v>
      </c>
      <c r="H14" s="1878">
        <f t="shared" si="0"/>
        <v>5</v>
      </c>
      <c r="I14" s="1878">
        <f t="shared" si="1"/>
        <v>5</v>
      </c>
      <c r="J14" s="1878">
        <f t="shared" si="2"/>
        <v>5</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t="s">
        <v>2065</v>
      </c>
      <c r="D20" s="1865" t="s">
        <v>2065</v>
      </c>
      <c r="E20" s="1868" t="s">
        <v>2065</v>
      </c>
      <c r="F20" s="1867" t="s">
        <v>2171</v>
      </c>
      <c r="H20" s="1878">
        <f t="shared" si="0"/>
        <v>5</v>
      </c>
      <c r="I20" s="1878">
        <f t="shared" si="1"/>
        <v>5</v>
      </c>
      <c r="J20" s="1878">
        <f t="shared" si="2"/>
        <v>5</v>
      </c>
    </row>
    <row r="21" spans="1:12" ht="12" customHeight="1" x14ac:dyDescent="0.2">
      <c r="A21" s="1863" t="s">
        <v>1528</v>
      </c>
      <c r="B21" s="1864"/>
      <c r="C21" s="1865" t="s">
        <v>2065</v>
      </c>
      <c r="D21" s="1865" t="s">
        <v>2065</v>
      </c>
      <c r="E21" s="1868" t="s">
        <v>2065</v>
      </c>
      <c r="F21" s="1867" t="s">
        <v>2172</v>
      </c>
      <c r="H21" s="1878">
        <f t="shared" si="0"/>
        <v>5</v>
      </c>
      <c r="I21" s="1878">
        <f t="shared" si="1"/>
        <v>5</v>
      </c>
      <c r="J21" s="1878">
        <f t="shared" si="2"/>
        <v>5</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2065</v>
      </c>
      <c r="D24" s="1865" t="s">
        <v>2065</v>
      </c>
      <c r="E24" s="1868" t="s">
        <v>2065</v>
      </c>
      <c r="F24" s="1867" t="s">
        <v>2173</v>
      </c>
      <c r="H24" s="1878">
        <f t="shared" si="0"/>
        <v>5</v>
      </c>
      <c r="I24" s="1878">
        <f t="shared" si="1"/>
        <v>5</v>
      </c>
      <c r="J24" s="1878">
        <f t="shared" si="2"/>
        <v>5</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2061</v>
      </c>
      <c r="D28" s="1865" t="s">
        <v>2061</v>
      </c>
      <c r="E28" s="1868" t="s">
        <v>2061</v>
      </c>
      <c r="F28" s="1867" t="s">
        <v>2174</v>
      </c>
      <c r="H28" s="1878">
        <f t="shared" si="0"/>
        <v>5</v>
      </c>
      <c r="I28" s="1878">
        <f t="shared" si="1"/>
        <v>5</v>
      </c>
      <c r="J28" s="1878">
        <f t="shared" si="2"/>
        <v>5</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1391</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1390</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1" t="str">
        <f>COVER!A17</f>
        <v>Woodstock CUSD 200</v>
      </c>
      <c r="J6" s="2322"/>
      <c r="Q6" s="1664"/>
    </row>
    <row r="7" spans="1:17" x14ac:dyDescent="0.2">
      <c r="A7" s="2323" t="s">
        <v>868</v>
      </c>
      <c r="B7" s="2324"/>
      <c r="C7" s="2324"/>
      <c r="D7" s="2324"/>
      <c r="E7" s="2325"/>
      <c r="F7" s="1017"/>
      <c r="G7" s="1009"/>
      <c r="H7" s="1016" t="s">
        <v>371</v>
      </c>
      <c r="I7" s="2326">
        <f>COVER!A13</f>
        <v>44063200026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7" t="s">
        <v>480</v>
      </c>
      <c r="B11" s="2328"/>
      <c r="C11" s="232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340774</v>
      </c>
      <c r="F12" s="1039"/>
      <c r="G12" s="1811">
        <f t="shared" ref="G12:G18" si="0">SUM(E12:F12)</f>
        <v>340774</v>
      </c>
      <c r="H12" s="1040">
        <v>361386</v>
      </c>
      <c r="I12" s="1039"/>
      <c r="J12" s="1811">
        <f t="shared" ref="J12:J18" si="1">SUM(H12:I12)</f>
        <v>361386</v>
      </c>
    </row>
    <row r="13" spans="1:17" ht="15" customHeight="1" x14ac:dyDescent="0.2">
      <c r="A13" s="1035">
        <v>2</v>
      </c>
      <c r="B13" s="1036" t="s">
        <v>42</v>
      </c>
      <c r="C13" s="1037"/>
      <c r="D13" s="1038">
        <v>2330</v>
      </c>
      <c r="E13" s="1811">
        <f>'Expenditures 15-22'!K51</f>
        <v>38195</v>
      </c>
      <c r="F13" s="1039"/>
      <c r="G13" s="1811">
        <f t="shared" si="0"/>
        <v>38195</v>
      </c>
      <c r="H13" s="1040">
        <v>36346</v>
      </c>
      <c r="I13" s="1039"/>
      <c r="J13" s="1811">
        <f t="shared" si="1"/>
        <v>36346</v>
      </c>
    </row>
    <row r="14" spans="1:17" ht="15" customHeight="1" x14ac:dyDescent="0.2">
      <c r="A14" s="1035">
        <v>3</v>
      </c>
      <c r="B14" s="1036" t="s">
        <v>43</v>
      </c>
      <c r="C14" s="1037"/>
      <c r="D14" s="1041">
        <v>2490</v>
      </c>
      <c r="E14" s="1811">
        <f>'Expenditures 15-22'!K56</f>
        <v>142754</v>
      </c>
      <c r="F14" s="1039"/>
      <c r="G14" s="1811">
        <f t="shared" si="0"/>
        <v>142754</v>
      </c>
      <c r="H14" s="1040">
        <v>149913</v>
      </c>
      <c r="I14" s="1039"/>
      <c r="J14" s="1811">
        <f t="shared" si="1"/>
        <v>149913</v>
      </c>
    </row>
    <row r="15" spans="1:17" ht="15" customHeight="1" x14ac:dyDescent="0.2">
      <c r="A15" s="1035">
        <v>4</v>
      </c>
      <c r="B15" s="1036" t="s">
        <v>1067</v>
      </c>
      <c r="C15" s="1037"/>
      <c r="D15" s="1038">
        <v>2510</v>
      </c>
      <c r="E15" s="1811">
        <f>'Expenditures 15-22'!K59</f>
        <v>197982</v>
      </c>
      <c r="F15" s="1811">
        <f>'Expenditures 15-22'!K122</f>
        <v>0</v>
      </c>
      <c r="G15" s="1811">
        <f t="shared" si="0"/>
        <v>197982</v>
      </c>
      <c r="H15" s="1040">
        <v>206935</v>
      </c>
      <c r="I15" s="1040"/>
      <c r="J15" s="1811">
        <f t="shared" si="1"/>
        <v>206935</v>
      </c>
    </row>
    <row r="16" spans="1:17" ht="15" customHeight="1" x14ac:dyDescent="0.2">
      <c r="A16" s="1035">
        <v>5</v>
      </c>
      <c r="B16" s="1036" t="s">
        <v>101</v>
      </c>
      <c r="C16" s="1037"/>
      <c r="D16" s="1038">
        <v>2570</v>
      </c>
      <c r="E16" s="1811">
        <f>'Expenditures 15-22'!K64</f>
        <v>169</v>
      </c>
      <c r="F16" s="1039"/>
      <c r="G16" s="1811">
        <f t="shared" si="0"/>
        <v>169</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719874</v>
      </c>
      <c r="F19" s="1813">
        <f t="shared" si="2"/>
        <v>0</v>
      </c>
      <c r="G19" s="1813">
        <f t="shared" si="2"/>
        <v>719874</v>
      </c>
      <c r="H19" s="1813">
        <f t="shared" si="2"/>
        <v>754580</v>
      </c>
      <c r="I19" s="1813">
        <f t="shared" si="2"/>
        <v>0</v>
      </c>
      <c r="J19" s="1813">
        <f t="shared" si="2"/>
        <v>754580</v>
      </c>
    </row>
    <row r="20" spans="1:10" ht="13.5" thickTop="1" x14ac:dyDescent="0.2">
      <c r="A20" s="1035">
        <v>9</v>
      </c>
      <c r="B20" s="2333" t="s">
        <v>1977</v>
      </c>
      <c r="C20" s="2333"/>
      <c r="D20" s="2334"/>
      <c r="E20" s="1046"/>
      <c r="F20" s="1046"/>
      <c r="G20" s="1046"/>
      <c r="H20" s="1046"/>
      <c r="I20" s="1046"/>
      <c r="J20" s="1814">
        <f>IF(AND(G19&gt;0,J19&gt;0),(((J19-G19)/G19)),"Enter Budget Data")</f>
        <v>4.821121474035734E-2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1032</v>
      </c>
      <c r="D27" s="1052"/>
      <c r="E27" s="1053"/>
      <c r="F27" s="2335" t="s">
        <v>1508</v>
      </c>
      <c r="G27" s="2335"/>
    </row>
    <row r="28" spans="1:10" ht="28.5" customHeight="1" x14ac:dyDescent="0.2">
      <c r="B28" s="1047"/>
      <c r="C28" s="2337"/>
      <c r="D28" s="2337"/>
      <c r="E28" s="1054"/>
      <c r="F28" s="2337"/>
      <c r="G28" s="2337"/>
    </row>
    <row r="29" spans="1:10" x14ac:dyDescent="0.2">
      <c r="B29" s="1047"/>
      <c r="C29" s="1055" t="s">
        <v>1560</v>
      </c>
      <c r="E29" s="1056"/>
      <c r="F29" s="2336" t="s">
        <v>1509</v>
      </c>
      <c r="G29" s="233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1979</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881</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2150</v>
      </c>
    </row>
    <row r="6" spans="1:2" x14ac:dyDescent="0.2">
      <c r="A6" s="1068">
        <v>2</v>
      </c>
      <c r="B6" s="329" t="s">
        <v>2151</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Woodstock CUSD 200</v>
      </c>
    </row>
    <row r="65" spans="2:2" x14ac:dyDescent="0.2">
      <c r="B65" s="1070">
        <f>COVER!A13</f>
        <v>44063200026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7" t="s">
        <v>1064</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690</v>
      </c>
      <c r="B40" s="2054"/>
      <c r="C40" s="2054"/>
      <c r="D40" s="2054"/>
      <c r="E40" s="2054"/>
    </row>
    <row r="41" spans="1:5" x14ac:dyDescent="0.2">
      <c r="A41" s="2055" t="s">
        <v>1607</v>
      </c>
      <c r="B41" s="2055"/>
      <c r="C41" s="2055"/>
      <c r="D41" s="2055"/>
      <c r="E41" s="2055"/>
    </row>
    <row r="42" spans="1:5" ht="12.75" customHeight="1" x14ac:dyDescent="0.2">
      <c r="A42" s="2056" t="s">
        <v>1021</v>
      </c>
      <c r="B42" s="2056"/>
      <c r="C42" s="2056"/>
      <c r="D42" s="2056"/>
      <c r="E42" s="2056"/>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0" t="s">
        <v>1684</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57150</xdr:colOff>
                <xdr:row>1</xdr:row>
                <xdr:rowOff>47625</xdr:rowOff>
              </from>
              <to>
                <xdr:col>1</xdr:col>
                <xdr:colOff>971550</xdr:colOff>
                <xdr:row>5</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1114425</xdr:colOff>
                <xdr:row>1</xdr:row>
                <xdr:rowOff>38100</xdr:rowOff>
              </from>
              <to>
                <xdr:col>1</xdr:col>
                <xdr:colOff>2028825</xdr:colOff>
                <xdr:row>5</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2171700</xdr:colOff>
                <xdr:row>1</xdr:row>
                <xdr:rowOff>19050</xdr:rowOff>
              </from>
              <to>
                <xdr:col>1</xdr:col>
                <xdr:colOff>3086100</xdr:colOff>
                <xdr:row>5</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Worksheet" dvAspect="DVASPECT_ICON" shapeId="35845" r:id="rId10">
          <objectPr defaultSize="0" r:id="rId11">
            <anchor moveWithCells="1">
              <from>
                <xdr:col>1</xdr:col>
                <xdr:colOff>3238500</xdr:colOff>
                <xdr:row>1</xdr:row>
                <xdr:rowOff>0</xdr:rowOff>
              </from>
              <to>
                <xdr:col>2</xdr:col>
                <xdr:colOff>171450</xdr:colOff>
                <xdr:row>5</xdr:row>
                <xdr:rowOff>38100</xdr:rowOff>
              </to>
            </anchor>
          </objectPr>
        </oleObject>
      </mc:Choice>
      <mc:Fallback>
        <oleObject progId="Workshee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1689</v>
      </c>
      <c r="B1" s="2342"/>
      <c r="C1" s="2342"/>
      <c r="D1" s="2342"/>
      <c r="E1" s="2342"/>
      <c r="F1" s="2343"/>
    </row>
    <row r="2" spans="1:8" ht="45" customHeight="1" x14ac:dyDescent="0.2">
      <c r="A2" s="2351" t="s">
        <v>1983</v>
      </c>
      <c r="B2" s="2352"/>
      <c r="C2" s="2352"/>
      <c r="D2" s="2352"/>
      <c r="E2" s="2352"/>
      <c r="F2" s="2353"/>
      <c r="G2" s="1074"/>
      <c r="H2" s="1074"/>
    </row>
    <row r="3" spans="1:8" ht="57" customHeight="1" x14ac:dyDescent="0.2">
      <c r="A3" s="2354" t="s">
        <v>1685</v>
      </c>
      <c r="B3" s="2355"/>
      <c r="C3" s="2355"/>
      <c r="D3" s="2355"/>
      <c r="E3" s="2355"/>
      <c r="F3" s="2356"/>
      <c r="G3" s="1074"/>
      <c r="H3" s="1074"/>
    </row>
    <row r="4" spans="1:8" ht="14.25" customHeight="1" x14ac:dyDescent="0.2">
      <c r="A4" s="2360" t="s">
        <v>1984</v>
      </c>
      <c r="B4" s="2361"/>
      <c r="C4" s="2361"/>
      <c r="D4" s="2361"/>
      <c r="E4" s="2361"/>
      <c r="F4" s="2362"/>
      <c r="G4" s="1074"/>
      <c r="H4" s="1074"/>
    </row>
    <row r="5" spans="1:8" ht="14.25" customHeight="1" x14ac:dyDescent="0.2">
      <c r="A5" s="2363" t="s">
        <v>1980</v>
      </c>
      <c r="B5" s="2364"/>
      <c r="C5" s="2364"/>
      <c r="D5" s="2364"/>
      <c r="E5" s="2364"/>
      <c r="F5" s="2365"/>
      <c r="G5" s="1074"/>
      <c r="H5" s="1074"/>
    </row>
    <row r="6" spans="1:8" s="1075" customFormat="1" ht="41.25" customHeight="1" x14ac:dyDescent="0.2">
      <c r="A6" s="2357" t="s">
        <v>1690</v>
      </c>
      <c r="B6" s="2358"/>
      <c r="C6" s="2358"/>
      <c r="D6" s="2358"/>
      <c r="E6" s="2358"/>
      <c r="F6" s="2359"/>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69501287</v>
      </c>
      <c r="C8" s="1815">
        <f>'Acct Summary 7-8'!D8</f>
        <v>7214367</v>
      </c>
      <c r="D8" s="1815">
        <f>'Acct Summary 7-8'!F8</f>
        <v>5049073</v>
      </c>
      <c r="E8" s="1815">
        <f>'Acct Summary 7-8'!I8</f>
        <v>469057</v>
      </c>
      <c r="F8" s="1815">
        <f>SUM(B8:E8)</f>
        <v>82233784</v>
      </c>
    </row>
    <row r="9" spans="1:8" s="1079" customFormat="1" ht="14.25" customHeight="1" thickBot="1" x14ac:dyDescent="0.25">
      <c r="A9" s="1078" t="s">
        <v>1368</v>
      </c>
      <c r="B9" s="1816">
        <f>'Acct Summary 7-8'!C17</f>
        <v>66868560</v>
      </c>
      <c r="C9" s="1816">
        <f>'Acct Summary 7-8'!D17</f>
        <v>7093940</v>
      </c>
      <c r="D9" s="1816">
        <f>'Acct Summary 7-8'!F17</f>
        <v>5261336</v>
      </c>
      <c r="E9" s="1815"/>
      <c r="F9" s="1815">
        <f>SUM(B9:E9)</f>
        <v>79223836</v>
      </c>
    </row>
    <row r="10" spans="1:8" s="1079" customFormat="1" ht="14.25" thickTop="1" thickBot="1" x14ac:dyDescent="0.25">
      <c r="A10" s="1080" t="s">
        <v>1369</v>
      </c>
      <c r="B10" s="1817">
        <f>(B8-B9)</f>
        <v>2632727</v>
      </c>
      <c r="C10" s="1817">
        <f>(C8-C9)</f>
        <v>120427</v>
      </c>
      <c r="D10" s="1817">
        <f>(D8-D9)</f>
        <v>-212263</v>
      </c>
      <c r="E10" s="1816">
        <f>(E8-E9)</f>
        <v>469057</v>
      </c>
      <c r="F10" s="1818">
        <f>SUM(F8-F9)</f>
        <v>3009948</v>
      </c>
    </row>
    <row r="11" spans="1:8" s="1079" customFormat="1" ht="14.25" thickTop="1" thickBot="1" x14ac:dyDescent="0.25">
      <c r="A11" s="1081" t="s">
        <v>1981</v>
      </c>
      <c r="B11" s="1819">
        <f>'Acct Summary 7-8'!C81</f>
        <v>47508101</v>
      </c>
      <c r="C11" s="1819">
        <f>'Acct Summary 7-8'!D81</f>
        <v>4537769</v>
      </c>
      <c r="D11" s="1819">
        <f>'Acct Summary 7-8'!F81</f>
        <v>4656163</v>
      </c>
      <c r="E11" s="1819">
        <f>'Acct Summary 7-8'!I81</f>
        <v>3773316</v>
      </c>
      <c r="F11" s="1820">
        <f>SUM(B11:E11)</f>
        <v>60475349</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1686</v>
      </c>
      <c r="B16" s="2344"/>
      <c r="C16" s="2344"/>
      <c r="D16" s="2344"/>
      <c r="E16" s="2344"/>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75" sqref="C7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664</v>
      </c>
      <c r="B3" s="2367"/>
      <c r="C3" s="2367"/>
      <c r="D3" s="2368"/>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7" t="s">
        <v>1503</v>
      </c>
      <c r="D7" s="2378"/>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9" t="s">
        <v>1007</v>
      </c>
      <c r="B15" s="2370"/>
      <c r="C15" s="2370"/>
      <c r="D15" s="2371"/>
    </row>
    <row r="16" spans="1:4" s="668" customFormat="1" ht="24" customHeight="1" x14ac:dyDescent="0.2">
      <c r="A16" s="2372" t="s">
        <v>662</v>
      </c>
      <c r="B16" s="2373"/>
      <c r="C16" s="2373"/>
      <c r="D16" s="2374"/>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1" t="s">
        <v>313</v>
      </c>
      <c r="D21" s="2382"/>
    </row>
    <row r="22" spans="1:10" ht="12.75" x14ac:dyDescent="0.2">
      <c r="A22" s="1139"/>
      <c r="B22" s="1140">
        <v>2</v>
      </c>
      <c r="C22" s="2379" t="s">
        <v>1523</v>
      </c>
      <c r="D22" s="2380"/>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3" t="s">
        <v>535</v>
      </c>
      <c r="D43" s="2384"/>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5" t="s">
        <v>783</v>
      </c>
      <c r="D56" s="2376"/>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5" t="s">
        <v>1695</v>
      </c>
      <c r="D70" s="2376"/>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44063200026</v>
      </c>
    </row>
    <row r="3" spans="1:2" x14ac:dyDescent="0.2">
      <c r="A3" t="s">
        <v>955</v>
      </c>
      <c r="B3" s="138" t="str">
        <f>COVER!A15</f>
        <v xml:space="preserve">McHenry </v>
      </c>
    </row>
    <row r="4" spans="1:2" x14ac:dyDescent="0.2">
      <c r="A4" t="s">
        <v>1006</v>
      </c>
      <c r="B4" s="138" t="str">
        <f>COVER!A17</f>
        <v>Woodstock CUSD 200</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066-005340</v>
      </c>
    </row>
    <row r="16" spans="1:2" x14ac:dyDescent="0.2">
      <c r="A16" t="s">
        <v>421</v>
      </c>
      <c r="B16" s="138" t="str">
        <f>COVER!T13</f>
        <v>Evans, Marshall and Pease, PC</v>
      </c>
    </row>
    <row r="17" spans="1:2" x14ac:dyDescent="0.2">
      <c r="A17" t="s">
        <v>883</v>
      </c>
      <c r="B17" s="138" t="str">
        <f>COVER!T15</f>
        <v>Jeffery M. Rollefson, CPA</v>
      </c>
    </row>
    <row r="18" spans="1:2" x14ac:dyDescent="0.2">
      <c r="A18" t="s">
        <v>1149</v>
      </c>
      <c r="B18" s="138" t="str">
        <f>COVER!T17</f>
        <v xml:space="preserve">1875 Hicks Road </v>
      </c>
    </row>
    <row r="19" spans="1:2" x14ac:dyDescent="0.2">
      <c r="A19" t="s">
        <v>885</v>
      </c>
      <c r="B19" s="138" t="str">
        <f>COVER!T25</f>
        <v>jeff@empcpa.com</v>
      </c>
    </row>
    <row r="20" spans="1:2" x14ac:dyDescent="0.2">
      <c r="A20" t="s">
        <v>886</v>
      </c>
      <c r="B20" s="138" t="str">
        <f>COVER!T19</f>
        <v>Rolling Meadows</v>
      </c>
    </row>
    <row r="21" spans="1:2" x14ac:dyDescent="0.2">
      <c r="A21" t="s">
        <v>478</v>
      </c>
      <c r="B21" s="138" t="str">
        <f>COVER!X19</f>
        <v>Illinois</v>
      </c>
    </row>
    <row r="22" spans="1:2" x14ac:dyDescent="0.2">
      <c r="A22" t="s">
        <v>887</v>
      </c>
      <c r="B22" s="138">
        <f>COVER!Z19</f>
        <v>60008</v>
      </c>
    </row>
    <row r="23" spans="1:2" x14ac:dyDescent="0.2">
      <c r="A23" t="s">
        <v>1151</v>
      </c>
      <c r="B23" s="138" t="str">
        <f>COVER!T21</f>
        <v>847-221-5700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46021543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231518</v>
      </c>
      <c r="D76" s="2" t="str">
        <f t="shared" si="0"/>
        <v>Error?</v>
      </c>
    </row>
    <row r="77" spans="1:4" x14ac:dyDescent="0.2">
      <c r="A77" s="5">
        <v>16</v>
      </c>
      <c r="B77" s="138">
        <f>'Assets-Liab 5-6'!C13</f>
        <v>47508101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47508101</v>
      </c>
      <c r="D92" s="2" t="str">
        <f t="shared" si="0"/>
        <v>Error?</v>
      </c>
    </row>
    <row r="93" spans="1:4" x14ac:dyDescent="0.2">
      <c r="A93" s="5">
        <v>32</v>
      </c>
      <c r="B93" s="138">
        <f>'Assets-Liab 5-6'!C41</f>
        <v>47508101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4537769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4537769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4537769</v>
      </c>
      <c r="D123" s="2" t="str">
        <f t="shared" si="0"/>
        <v>Error?</v>
      </c>
    </row>
    <row r="124" spans="1:4" x14ac:dyDescent="0.2">
      <c r="A124" s="5">
        <v>63</v>
      </c>
      <c r="B124" s="138">
        <f>'Assets-Liab 5-6'!D41</f>
        <v>4537769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4086641</v>
      </c>
      <c r="D129" s="2" t="str">
        <f t="shared" si="1"/>
        <v>Error?</v>
      </c>
    </row>
    <row r="130" spans="1:4" x14ac:dyDescent="0.2">
      <c r="A130" s="5">
        <v>69</v>
      </c>
      <c r="B130" s="138">
        <f>'Assets-Liab 5-6'!E12</f>
        <v>0</v>
      </c>
      <c r="D130" s="2" t="str">
        <f t="shared" si="1"/>
        <v>Error?</v>
      </c>
    </row>
    <row r="131" spans="1:4" x14ac:dyDescent="0.2">
      <c r="A131" s="5">
        <v>70</v>
      </c>
      <c r="B131" s="138">
        <f>'Assets-Liab 5-6'!E13</f>
        <v>4086641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4086641</v>
      </c>
      <c r="D140" s="2" t="str">
        <f t="shared" si="1"/>
        <v>Error?</v>
      </c>
    </row>
    <row r="141" spans="1:4" x14ac:dyDescent="0.2">
      <c r="A141" s="5">
        <v>80</v>
      </c>
      <c r="B141" s="138">
        <f>'Assets-Liab 5-6'!E41</f>
        <v>4086641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4656163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4656163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4656163</v>
      </c>
      <c r="D170" s="2" t="str">
        <f t="shared" si="1"/>
        <v>Error?</v>
      </c>
    </row>
    <row r="171" spans="1:4" x14ac:dyDescent="0.2">
      <c r="A171" s="5">
        <v>110</v>
      </c>
      <c r="B171" s="138">
        <f>'Assets-Liab 5-6'!F41</f>
        <v>4656163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2215971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2215971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2215971</v>
      </c>
      <c r="D189" s="2" t="str">
        <f t="shared" si="1"/>
        <v>Error?</v>
      </c>
    </row>
    <row r="190" spans="1:4" x14ac:dyDescent="0.2">
      <c r="A190" s="5">
        <v>129</v>
      </c>
      <c r="B190" s="138">
        <f>'Assets-Liab 5-6'!G41</f>
        <v>2215971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226920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226920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226920</v>
      </c>
      <c r="D212" s="2" t="str">
        <f t="shared" si="2"/>
        <v>Error?</v>
      </c>
    </row>
    <row r="213" spans="1:4" x14ac:dyDescent="0.2">
      <c r="A213" s="12">
        <v>152</v>
      </c>
      <c r="B213" s="138">
        <f>'Assets-Liab 5-6'!H41</f>
        <v>226920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6009087</v>
      </c>
      <c r="D273" s="2" t="str">
        <f t="shared" si="3"/>
        <v>Error?</v>
      </c>
    </row>
    <row r="274" spans="1:4" x14ac:dyDescent="0.2">
      <c r="A274" s="5">
        <v>213</v>
      </c>
      <c r="B274" s="138">
        <f>'Assets-Liab 5-6'!M17</f>
        <v>155258983</v>
      </c>
      <c r="D274" s="2" t="str">
        <f t="shared" si="3"/>
        <v>Error?</v>
      </c>
    </row>
    <row r="275" spans="1:4" x14ac:dyDescent="0.2">
      <c r="A275" s="5">
        <v>214</v>
      </c>
      <c r="B275" s="138">
        <f>'Assets-Liab 5-6'!M18</f>
        <v>10433223</v>
      </c>
      <c r="D275" s="2" t="str">
        <f t="shared" si="3"/>
        <v>Error?</v>
      </c>
    </row>
    <row r="276" spans="1:4" x14ac:dyDescent="0.2">
      <c r="A276" s="5">
        <v>215</v>
      </c>
      <c r="B276" s="138">
        <f>'Assets-Liab 5-6'!M19</f>
        <v>20987136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192769900</v>
      </c>
      <c r="C279" s="2" t="s">
        <v>572</v>
      </c>
      <c r="D279" s="2" t="str">
        <f t="shared" si="3"/>
        <v>Error?</v>
      </c>
    </row>
    <row r="280" spans="1:4" x14ac:dyDescent="0.2">
      <c r="A280" s="5">
        <v>219</v>
      </c>
      <c r="B280" s="138">
        <f>'Assets-Liab 5-6'!M40</f>
        <v>192769900</v>
      </c>
      <c r="D280" s="2" t="str">
        <f t="shared" si="3"/>
        <v>Error?</v>
      </c>
    </row>
    <row r="281" spans="1:4" x14ac:dyDescent="0.2">
      <c r="A281" s="5">
        <v>220</v>
      </c>
      <c r="B281" s="138">
        <f>'Assets-Liab 5-6'!M41</f>
        <v>192769900</v>
      </c>
      <c r="C281" s="2" t="s">
        <v>572</v>
      </c>
      <c r="D281" s="2" t="str">
        <f t="shared" si="3"/>
        <v>Error?</v>
      </c>
    </row>
    <row r="282" spans="1:4" x14ac:dyDescent="0.2">
      <c r="A282" s="5">
        <v>221</v>
      </c>
      <c r="B282" s="138">
        <f>'Assets-Liab 5-6'!N21</f>
        <v>4086641</v>
      </c>
      <c r="D282" s="2" t="str">
        <f t="shared" si="3"/>
        <v>Error?</v>
      </c>
    </row>
    <row r="283" spans="1:4" x14ac:dyDescent="0.2">
      <c r="A283" s="5">
        <v>222</v>
      </c>
      <c r="B283" s="138">
        <f>'Assets-Liab 5-6'!N22</f>
        <v>89750904</v>
      </c>
      <c r="D283" s="2" t="str">
        <f t="shared" si="3"/>
        <v>Error?</v>
      </c>
    </row>
    <row r="284" spans="1:4" x14ac:dyDescent="0.2">
      <c r="A284" s="5">
        <v>223</v>
      </c>
      <c r="B284" s="138">
        <f>'Assets-Liab 5-6'!N23</f>
        <v>93837545</v>
      </c>
      <c r="C284" s="2" t="s">
        <v>572</v>
      </c>
      <c r="D284" s="2" t="str">
        <f t="shared" si="3"/>
        <v>Error?</v>
      </c>
    </row>
    <row r="285" spans="1:4" x14ac:dyDescent="0.2">
      <c r="A285" s="5">
        <v>224</v>
      </c>
      <c r="B285" s="138">
        <f>'Assets-Liab 5-6'!N36</f>
        <v>93837545</v>
      </c>
      <c r="D285" s="2" t="str">
        <f t="shared" si="3"/>
        <v>Error?</v>
      </c>
    </row>
    <row r="286" spans="1:4" x14ac:dyDescent="0.2">
      <c r="A286" s="10">
        <v>225</v>
      </c>
      <c r="D286" s="2" t="str">
        <f t="shared" si="3"/>
        <v>OK</v>
      </c>
    </row>
    <row r="287" spans="1:4" x14ac:dyDescent="0.2">
      <c r="A287" s="5">
        <v>226</v>
      </c>
      <c r="B287" s="138">
        <f>'Assets-Liab 5-6'!N37</f>
        <v>93837545</v>
      </c>
      <c r="C287" s="2" t="s">
        <v>572</v>
      </c>
      <c r="D287" s="2" t="str">
        <f t="shared" si="3"/>
        <v>Error?</v>
      </c>
    </row>
    <row r="288" spans="1:4" x14ac:dyDescent="0.2">
      <c r="A288" s="5">
        <v>227</v>
      </c>
      <c r="B288" s="138">
        <f>'Assets-Liab 5-6'!N41</f>
        <v>93837545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1495970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16740242</v>
      </c>
      <c r="D705" s="2" t="str">
        <f t="shared" si="10"/>
        <v>Error?</v>
      </c>
    </row>
    <row r="706" spans="1:4" x14ac:dyDescent="0.2">
      <c r="A706" s="5">
        <v>645</v>
      </c>
      <c r="B706" s="138">
        <f>'Expenditures 15-22'!C16</f>
        <v>243753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4155371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823555</v>
      </c>
      <c r="D717" s="2" t="str">
        <f t="shared" si="10"/>
        <v>Error?</v>
      </c>
    </row>
    <row r="718" spans="1:4" x14ac:dyDescent="0.2">
      <c r="A718" s="5">
        <v>657</v>
      </c>
      <c r="B718" s="138">
        <f>'Expenditures 15-22'!C14</f>
        <v>1660563</v>
      </c>
      <c r="D718" s="2" t="str">
        <f t="shared" si="10"/>
        <v>Error?</v>
      </c>
    </row>
    <row r="719" spans="1:4" x14ac:dyDescent="0.2">
      <c r="A719" s="5">
        <v>658</v>
      </c>
      <c r="B719" s="138">
        <f>'Expenditures 15-22'!C15</f>
        <v>384072</v>
      </c>
      <c r="D719" s="2" t="str">
        <f t="shared" si="10"/>
        <v>Error?</v>
      </c>
    </row>
    <row r="720" spans="1:4" x14ac:dyDescent="0.2">
      <c r="A720" s="5">
        <v>659</v>
      </c>
      <c r="B720" s="138">
        <f>'Expenditures 15-22'!C33</f>
        <v>32789945</v>
      </c>
      <c r="C720" s="2" t="s">
        <v>572</v>
      </c>
      <c r="D720" s="2" t="str">
        <f t="shared" si="10"/>
        <v>Error?</v>
      </c>
    </row>
    <row r="721" spans="1:4" x14ac:dyDescent="0.2">
      <c r="A721" s="5">
        <v>660</v>
      </c>
      <c r="B721" s="138">
        <f>'Expenditures 15-22'!C36</f>
        <v>986220</v>
      </c>
      <c r="D721" s="2" t="str">
        <f t="shared" si="10"/>
        <v>Error?</v>
      </c>
    </row>
    <row r="722" spans="1:4" x14ac:dyDescent="0.2">
      <c r="A722" s="5">
        <v>661</v>
      </c>
      <c r="B722" s="138">
        <f>'Expenditures 15-22'!C37</f>
        <v>698271</v>
      </c>
      <c r="D722" s="2" t="str">
        <f t="shared" si="10"/>
        <v>Error?</v>
      </c>
    </row>
    <row r="723" spans="1:4" x14ac:dyDescent="0.2">
      <c r="A723" s="5">
        <v>662</v>
      </c>
      <c r="B723" s="138">
        <f>'Expenditures 15-22'!C38</f>
        <v>1704780</v>
      </c>
      <c r="D723" s="2" t="str">
        <f t="shared" si="10"/>
        <v>Error?</v>
      </c>
    </row>
    <row r="724" spans="1:4" x14ac:dyDescent="0.2">
      <c r="A724" s="5">
        <v>663</v>
      </c>
      <c r="B724" s="138">
        <f>'Expenditures 15-22'!C39</f>
        <v>469270</v>
      </c>
      <c r="D724" s="2" t="str">
        <f t="shared" si="10"/>
        <v>Error?</v>
      </c>
    </row>
    <row r="725" spans="1:4" x14ac:dyDescent="0.2">
      <c r="A725" s="5">
        <v>664</v>
      </c>
      <c r="B725" s="138">
        <f>'Expenditures 15-22'!C40</f>
        <v>1293729</v>
      </c>
      <c r="D725" s="2" t="str">
        <f t="shared" si="10"/>
        <v>Error?</v>
      </c>
    </row>
    <row r="726" spans="1:4" x14ac:dyDescent="0.2">
      <c r="A726" s="5">
        <v>665</v>
      </c>
      <c r="B726" s="138">
        <f>'Expenditures 15-22'!C41</f>
        <v>47356</v>
      </c>
      <c r="D726" s="2" t="str">
        <f t="shared" si="10"/>
        <v>Error?</v>
      </c>
    </row>
    <row r="727" spans="1:4" x14ac:dyDescent="0.2">
      <c r="A727" s="5">
        <v>666</v>
      </c>
      <c r="B727" s="138">
        <f>'Expenditures 15-22'!C42</f>
        <v>5199626</v>
      </c>
      <c r="C727" s="2" t="s">
        <v>572</v>
      </c>
      <c r="D727" s="2" t="str">
        <f t="shared" si="10"/>
        <v>Error?</v>
      </c>
    </row>
    <row r="728" spans="1:4" x14ac:dyDescent="0.2">
      <c r="A728" s="5">
        <v>667</v>
      </c>
      <c r="B728" s="138">
        <f>'Expenditures 15-22'!C44</f>
        <v>1199974</v>
      </c>
      <c r="D728" s="2" t="str">
        <f t="shared" si="10"/>
        <v>Error?</v>
      </c>
    </row>
    <row r="729" spans="1:4" x14ac:dyDescent="0.2">
      <c r="A729" s="5">
        <v>668</v>
      </c>
      <c r="B729" s="138">
        <f>'Expenditures 15-22'!C45</f>
        <v>847276</v>
      </c>
      <c r="D729" s="2" t="str">
        <f t="shared" si="10"/>
        <v>Error?</v>
      </c>
    </row>
    <row r="730" spans="1:4" x14ac:dyDescent="0.2">
      <c r="A730" s="5">
        <v>669</v>
      </c>
      <c r="B730" s="138">
        <f>'Expenditures 15-22'!C46</f>
        <v>78202</v>
      </c>
      <c r="D730" s="2" t="str">
        <f t="shared" si="10"/>
        <v>Error?</v>
      </c>
    </row>
    <row r="731" spans="1:4" x14ac:dyDescent="0.2">
      <c r="A731" s="5">
        <v>670</v>
      </c>
      <c r="B731" s="138">
        <f>'Expenditures 15-22'!C47</f>
        <v>2125452</v>
      </c>
      <c r="C731" s="2" t="s">
        <v>572</v>
      </c>
      <c r="D731" s="2" t="str">
        <f t="shared" si="10"/>
        <v>Error?</v>
      </c>
    </row>
    <row r="732" spans="1:4" x14ac:dyDescent="0.2">
      <c r="A732" s="5">
        <v>671</v>
      </c>
      <c r="B732" s="138">
        <f>'Expenditures 15-22'!C49</f>
        <v>168932</v>
      </c>
      <c r="D732" s="2" t="str">
        <f t="shared" si="10"/>
        <v>Error?</v>
      </c>
    </row>
    <row r="733" spans="1:4" x14ac:dyDescent="0.2">
      <c r="A733" s="5">
        <v>672</v>
      </c>
      <c r="B733" s="138">
        <f>'Expenditures 15-22'!C50</f>
        <v>261755</v>
      </c>
      <c r="D733" s="2" t="str">
        <f t="shared" si="10"/>
        <v>Error?</v>
      </c>
    </row>
    <row r="734" spans="1:4" x14ac:dyDescent="0.2">
      <c r="A734" s="5">
        <v>673</v>
      </c>
      <c r="B734" s="138">
        <f>'Expenditures 15-22'!C53</f>
        <v>453618</v>
      </c>
      <c r="C734" s="2" t="s">
        <v>572</v>
      </c>
      <c r="D734" s="2" t="str">
        <f t="shared" si="10"/>
        <v>Error?</v>
      </c>
    </row>
    <row r="735" spans="1:4" x14ac:dyDescent="0.2">
      <c r="A735" s="5">
        <v>674</v>
      </c>
      <c r="B735" s="138">
        <f>'Expenditures 15-22'!C55</f>
        <v>3223121</v>
      </c>
      <c r="D735" s="2" t="str">
        <f t="shared" si="10"/>
        <v>Error?</v>
      </c>
    </row>
    <row r="736" spans="1:4" x14ac:dyDescent="0.2">
      <c r="A736" s="5">
        <v>675</v>
      </c>
      <c r="B736" s="138">
        <f>'Expenditures 15-22'!C56</f>
        <v>106025</v>
      </c>
      <c r="D736" s="2" t="str">
        <f t="shared" si="10"/>
        <v>Error?</v>
      </c>
    </row>
    <row r="737" spans="1:4" x14ac:dyDescent="0.2">
      <c r="A737" s="5">
        <v>676</v>
      </c>
      <c r="B737" s="138">
        <f>'Expenditures 15-22'!C57</f>
        <v>3329146</v>
      </c>
      <c r="C737" s="2" t="s">
        <v>572</v>
      </c>
      <c r="D737" s="2" t="str">
        <f t="shared" si="10"/>
        <v>Error?</v>
      </c>
    </row>
    <row r="738" spans="1:4" x14ac:dyDescent="0.2">
      <c r="A738" s="5">
        <v>677</v>
      </c>
      <c r="B738" s="138">
        <f>'Expenditures 15-22'!C59</f>
        <v>163711</v>
      </c>
      <c r="D738" s="2" t="str">
        <f t="shared" si="10"/>
        <v>Error?</v>
      </c>
    </row>
    <row r="739" spans="1:4" x14ac:dyDescent="0.2">
      <c r="A739" s="5">
        <v>678</v>
      </c>
      <c r="B739" s="138">
        <f>'Expenditures 15-22'!C60</f>
        <v>349974</v>
      </c>
      <c r="D739" s="2" t="str">
        <f t="shared" si="10"/>
        <v>Error?</v>
      </c>
    </row>
    <row r="740" spans="1:4" x14ac:dyDescent="0.2">
      <c r="A740" s="5">
        <v>679</v>
      </c>
      <c r="B740" s="138">
        <f>'Expenditures 15-22'!C61</f>
        <v>49945</v>
      </c>
      <c r="D740" s="2" t="str">
        <f t="shared" si="10"/>
        <v>Error?</v>
      </c>
    </row>
    <row r="741" spans="1:4" x14ac:dyDescent="0.2">
      <c r="A741" s="5">
        <v>680</v>
      </c>
      <c r="B741" s="138">
        <f>'Expenditures 15-22'!C62</f>
        <v>39399</v>
      </c>
      <c r="D741" s="2" t="str">
        <f t="shared" si="10"/>
        <v>Error?</v>
      </c>
    </row>
    <row r="742" spans="1:4" x14ac:dyDescent="0.2">
      <c r="A742" s="5">
        <v>681</v>
      </c>
      <c r="B742" s="138">
        <f>'Expenditures 15-22'!C63</f>
        <v>1163833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1766862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196860</v>
      </c>
      <c r="D748" s="2" t="str">
        <f t="shared" si="10"/>
        <v>Error?</v>
      </c>
    </row>
    <row r="749" spans="1:4" x14ac:dyDescent="0.2">
      <c r="A749" s="5">
        <v>688</v>
      </c>
      <c r="B749" s="138">
        <f>'Expenditures 15-22'!C70</f>
        <v>384256</v>
      </c>
      <c r="D749" s="2" t="str">
        <f t="shared" si="10"/>
        <v>Error?</v>
      </c>
    </row>
    <row r="750" spans="1:4" x14ac:dyDescent="0.2">
      <c r="A750" s="10">
        <v>689</v>
      </c>
      <c r="D750" s="2" t="str">
        <f t="shared" si="10"/>
        <v>OK</v>
      </c>
    </row>
    <row r="751" spans="1:4" x14ac:dyDescent="0.2">
      <c r="A751" s="5">
        <v>690</v>
      </c>
      <c r="B751" s="138">
        <f>'Expenditures 15-22'!C71</f>
        <v>565651</v>
      </c>
      <c r="D751" s="2" t="str">
        <f t="shared" si="10"/>
        <v>Error?</v>
      </c>
    </row>
    <row r="752" spans="1:4" x14ac:dyDescent="0.2">
      <c r="A752" s="10">
        <v>691</v>
      </c>
      <c r="D752" s="2" t="str">
        <f t="shared" si="10"/>
        <v>OK</v>
      </c>
    </row>
    <row r="753" spans="1:4" x14ac:dyDescent="0.2">
      <c r="A753" s="5">
        <v>692</v>
      </c>
      <c r="B753" s="138">
        <f>'Expenditures 15-22'!C72</f>
        <v>1146767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14021471</v>
      </c>
      <c r="C755" s="2" t="s">
        <v>572</v>
      </c>
      <c r="D755" s="2" t="str">
        <f t="shared" si="10"/>
        <v>Error?</v>
      </c>
    </row>
    <row r="756" spans="1:4" x14ac:dyDescent="0.2">
      <c r="A756" s="5">
        <v>695</v>
      </c>
      <c r="B756" s="138">
        <f>'Expenditures 15-22'!C75</f>
        <v>347845</v>
      </c>
      <c r="D756" s="2" t="str">
        <f t="shared" si="10"/>
        <v>Error?</v>
      </c>
    </row>
    <row r="757" spans="1:4" x14ac:dyDescent="0.2">
      <c r="A757" s="5">
        <v>696</v>
      </c>
      <c r="B757" s="138">
        <f>'Expenditures 15-22'!C114</f>
        <v>47159261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5830208</v>
      </c>
      <c r="D763" s="2" t="str">
        <f t="shared" si="10"/>
        <v>Error?</v>
      </c>
    </row>
    <row r="764" spans="1:4" x14ac:dyDescent="0.2">
      <c r="A764" s="5">
        <v>703</v>
      </c>
      <c r="B764" s="138">
        <f>'Expenditures 15-22'!D16</f>
        <v>91991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1340060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221598</v>
      </c>
      <c r="D775" s="2" t="str">
        <f t="shared" si="11"/>
        <v>Error?</v>
      </c>
    </row>
    <row r="776" spans="1:4" x14ac:dyDescent="0.2">
      <c r="A776" s="5">
        <v>715</v>
      </c>
      <c r="B776" s="138">
        <f>'Expenditures 15-22'!D14</f>
        <v>116665</v>
      </c>
      <c r="D776" s="2" t="str">
        <f t="shared" si="11"/>
        <v>Error?</v>
      </c>
    </row>
    <row r="777" spans="1:4" x14ac:dyDescent="0.2">
      <c r="A777" s="5">
        <v>716</v>
      </c>
      <c r="B777" s="138">
        <f>'Expenditures 15-22'!D15</f>
        <v>14567</v>
      </c>
      <c r="D777" s="2" t="str">
        <f t="shared" si="11"/>
        <v>Error?</v>
      </c>
    </row>
    <row r="778" spans="1:4" x14ac:dyDescent="0.2">
      <c r="A778" s="5">
        <v>717</v>
      </c>
      <c r="B778" s="138">
        <f>'Expenditures 15-22'!D33</f>
        <v>10020516</v>
      </c>
      <c r="C778" s="2" t="s">
        <v>572</v>
      </c>
      <c r="D778" s="2" t="str">
        <f t="shared" si="11"/>
        <v>Error?</v>
      </c>
    </row>
    <row r="779" spans="1:4" x14ac:dyDescent="0.2">
      <c r="A779" s="5">
        <v>718</v>
      </c>
      <c r="B779" s="138">
        <f>'Expenditures 15-22'!D36</f>
        <v>303213</v>
      </c>
      <c r="D779" s="2" t="str">
        <f t="shared" si="11"/>
        <v>Error?</v>
      </c>
    </row>
    <row r="780" spans="1:4" x14ac:dyDescent="0.2">
      <c r="A780" s="5">
        <v>719</v>
      </c>
      <c r="B780" s="138">
        <f>'Expenditures 15-22'!D37</f>
        <v>173883</v>
      </c>
      <c r="D780" s="2" t="str">
        <f t="shared" si="11"/>
        <v>Error?</v>
      </c>
    </row>
    <row r="781" spans="1:4" x14ac:dyDescent="0.2">
      <c r="A781" s="5">
        <v>720</v>
      </c>
      <c r="B781" s="138">
        <f>'Expenditures 15-22'!D38</f>
        <v>360108</v>
      </c>
      <c r="D781" s="2" t="str">
        <f t="shared" si="11"/>
        <v>Error?</v>
      </c>
    </row>
    <row r="782" spans="1:4" x14ac:dyDescent="0.2">
      <c r="A782" s="5">
        <v>721</v>
      </c>
      <c r="B782" s="138">
        <f>'Expenditures 15-22'!D39</f>
        <v>133168</v>
      </c>
      <c r="D782" s="2" t="str">
        <f t="shared" si="11"/>
        <v>Error?</v>
      </c>
    </row>
    <row r="783" spans="1:4" x14ac:dyDescent="0.2">
      <c r="A783" s="5">
        <v>722</v>
      </c>
      <c r="B783" s="138">
        <f>'Expenditures 15-22'!D40</f>
        <v>409011</v>
      </c>
      <c r="D783" s="2" t="str">
        <f t="shared" si="11"/>
        <v>Error?</v>
      </c>
    </row>
    <row r="784" spans="1:4" x14ac:dyDescent="0.2">
      <c r="A784" s="5">
        <v>723</v>
      </c>
      <c r="B784" s="138">
        <f>'Expenditures 15-22'!D41</f>
        <v>1376</v>
      </c>
      <c r="D784" s="2" t="str">
        <f t="shared" si="11"/>
        <v>Error?</v>
      </c>
    </row>
    <row r="785" spans="1:4" x14ac:dyDescent="0.2">
      <c r="A785" s="5">
        <v>724</v>
      </c>
      <c r="B785" s="138">
        <f>'Expenditures 15-22'!D42</f>
        <v>1380759</v>
      </c>
      <c r="C785" s="2" t="s">
        <v>572</v>
      </c>
      <c r="D785" s="2" t="str">
        <f t="shared" si="11"/>
        <v>Error?</v>
      </c>
    </row>
    <row r="786" spans="1:4" x14ac:dyDescent="0.2">
      <c r="A786" s="5">
        <v>725</v>
      </c>
      <c r="B786" s="138">
        <f>'Expenditures 15-22'!D44</f>
        <v>297156</v>
      </c>
      <c r="D786" s="2" t="str">
        <f t="shared" si="11"/>
        <v>Error?</v>
      </c>
    </row>
    <row r="787" spans="1:4" x14ac:dyDescent="0.2">
      <c r="A787" s="5">
        <v>726</v>
      </c>
      <c r="B787" s="138">
        <f>'Expenditures 15-22'!D45</f>
        <v>291736</v>
      </c>
      <c r="D787" s="2" t="str">
        <f t="shared" si="11"/>
        <v>Error?</v>
      </c>
    </row>
    <row r="788" spans="1:4" x14ac:dyDescent="0.2">
      <c r="A788" s="5">
        <v>727</v>
      </c>
      <c r="B788" s="138">
        <f>'Expenditures 15-22'!D46</f>
        <v>12450</v>
      </c>
      <c r="D788" s="2" t="str">
        <f t="shared" si="11"/>
        <v>Error?</v>
      </c>
    </row>
    <row r="789" spans="1:4" x14ac:dyDescent="0.2">
      <c r="A789" s="5">
        <v>728</v>
      </c>
      <c r="B789" s="138">
        <f>'Expenditures 15-22'!D47</f>
        <v>601342</v>
      </c>
      <c r="C789" s="2" t="s">
        <v>572</v>
      </c>
      <c r="D789" s="2" t="str">
        <f t="shared" si="11"/>
        <v>Error?</v>
      </c>
    </row>
    <row r="790" spans="1:4" x14ac:dyDescent="0.2">
      <c r="A790" s="5">
        <v>729</v>
      </c>
      <c r="B790" s="138">
        <f>'Expenditures 15-22'!D49</f>
        <v>45088</v>
      </c>
      <c r="D790" s="2" t="str">
        <f t="shared" si="11"/>
        <v>Error?</v>
      </c>
    </row>
    <row r="791" spans="1:4" x14ac:dyDescent="0.2">
      <c r="A791" s="5">
        <v>730</v>
      </c>
      <c r="B791" s="138">
        <f>'Expenditures 15-22'!D50</f>
        <v>66702</v>
      </c>
      <c r="D791" s="2" t="str">
        <f t="shared" si="11"/>
        <v>Error?</v>
      </c>
    </row>
    <row r="792" spans="1:4" x14ac:dyDescent="0.2">
      <c r="A792" s="5">
        <v>731</v>
      </c>
      <c r="B792" s="138">
        <f>'Expenditures 15-22'!D53</f>
        <v>121184</v>
      </c>
      <c r="C792" s="2" t="s">
        <v>572</v>
      </c>
      <c r="D792" s="2" t="str">
        <f t="shared" si="11"/>
        <v>Error?</v>
      </c>
    </row>
    <row r="793" spans="1:4" x14ac:dyDescent="0.2">
      <c r="A793" s="5">
        <v>732</v>
      </c>
      <c r="B793" s="138">
        <f>'Expenditures 15-22'!D55</f>
        <v>958653</v>
      </c>
      <c r="D793" s="2" t="str">
        <f t="shared" si="11"/>
        <v>Error?</v>
      </c>
    </row>
    <row r="794" spans="1:4" x14ac:dyDescent="0.2">
      <c r="A794" s="5">
        <v>733</v>
      </c>
      <c r="B794" s="138">
        <f>'Expenditures 15-22'!D56</f>
        <v>36729</v>
      </c>
      <c r="D794" s="2" t="str">
        <f t="shared" si="11"/>
        <v>Error?</v>
      </c>
    </row>
    <row r="795" spans="1:4" x14ac:dyDescent="0.2">
      <c r="A795" s="5">
        <v>734</v>
      </c>
      <c r="B795" s="138">
        <f>'Expenditures 15-22'!D57</f>
        <v>995382</v>
      </c>
      <c r="C795" s="2" t="s">
        <v>572</v>
      </c>
      <c r="D795" s="2" t="str">
        <f t="shared" si="11"/>
        <v>Error?</v>
      </c>
    </row>
    <row r="796" spans="1:4" x14ac:dyDescent="0.2">
      <c r="A796" s="5">
        <v>735</v>
      </c>
      <c r="B796" s="138">
        <f>'Expenditures 15-22'!D59</f>
        <v>34271</v>
      </c>
      <c r="D796" s="2" t="str">
        <f t="shared" si="11"/>
        <v>Error?</v>
      </c>
    </row>
    <row r="797" spans="1:4" x14ac:dyDescent="0.2">
      <c r="A797" s="5">
        <v>736</v>
      </c>
      <c r="B797" s="138">
        <f>'Expenditures 15-22'!D60</f>
        <v>93998</v>
      </c>
      <c r="D797" s="2" t="str">
        <f t="shared" si="11"/>
        <v>Error?</v>
      </c>
    </row>
    <row r="798" spans="1:4" x14ac:dyDescent="0.2">
      <c r="A798" s="5">
        <v>737</v>
      </c>
      <c r="B798" s="138">
        <f>'Expenditures 15-22'!D61</f>
        <v>27463</v>
      </c>
      <c r="D798" s="2" t="str">
        <f t="shared" si="11"/>
        <v>Error?</v>
      </c>
    </row>
    <row r="799" spans="1:4" x14ac:dyDescent="0.2">
      <c r="A799" s="5">
        <v>738</v>
      </c>
      <c r="B799" s="138">
        <f>'Expenditures 15-22'!D62</f>
        <v>3574</v>
      </c>
      <c r="D799" s="2" t="str">
        <f t="shared" si="11"/>
        <v>Error?</v>
      </c>
    </row>
    <row r="800" spans="1:4" x14ac:dyDescent="0.2">
      <c r="A800" s="5">
        <v>739</v>
      </c>
      <c r="B800" s="138">
        <f>'Expenditures 15-22'!D63</f>
        <v>352966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512272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19068</v>
      </c>
      <c r="D806" s="2" t="str">
        <f t="shared" si="11"/>
        <v>Error?</v>
      </c>
    </row>
    <row r="807" spans="1:4" x14ac:dyDescent="0.2">
      <c r="A807" s="5">
        <v>746</v>
      </c>
      <c r="B807" s="138">
        <f>'Expenditures 15-22'!D70</f>
        <v>112607</v>
      </c>
      <c r="D807" s="2" t="str">
        <f t="shared" si="11"/>
        <v>Error?</v>
      </c>
    </row>
    <row r="808" spans="1:4" x14ac:dyDescent="0.2">
      <c r="A808" s="10">
        <v>747</v>
      </c>
      <c r="D808" s="2" t="str">
        <f t="shared" si="11"/>
        <v>OK</v>
      </c>
    </row>
    <row r="809" spans="1:4" x14ac:dyDescent="0.2">
      <c r="A809" s="5">
        <v>748</v>
      </c>
      <c r="B809" s="138">
        <f>'Expenditures 15-22'!D71</f>
        <v>90999</v>
      </c>
      <c r="D809" s="2" t="str">
        <f t="shared" si="11"/>
        <v>Error?</v>
      </c>
    </row>
    <row r="810" spans="1:4" x14ac:dyDescent="0.2">
      <c r="A810" s="10">
        <v>749</v>
      </c>
      <c r="D810" s="2" t="str">
        <f t="shared" si="11"/>
        <v>OK</v>
      </c>
    </row>
    <row r="811" spans="1:4" x14ac:dyDescent="0.2">
      <c r="A811" s="5">
        <v>750</v>
      </c>
      <c r="B811" s="138">
        <f>'Expenditures 15-22'!D72</f>
        <v>222674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3833613</v>
      </c>
      <c r="C813" s="2" t="s">
        <v>572</v>
      </c>
      <c r="D813" s="2" t="str">
        <f t="shared" si="11"/>
        <v>Error?</v>
      </c>
    </row>
    <row r="814" spans="1:4" x14ac:dyDescent="0.2">
      <c r="A814" s="5">
        <v>753</v>
      </c>
      <c r="B814" s="138">
        <f>'Expenditures 15-22'!D75</f>
        <v>147181</v>
      </c>
      <c r="D814" s="2" t="str">
        <f t="shared" si="11"/>
        <v>Error?</v>
      </c>
    </row>
    <row r="815" spans="1:4" x14ac:dyDescent="0.2">
      <c r="A815" s="5">
        <v>754</v>
      </c>
      <c r="B815" s="138">
        <f>'Expenditures 15-22'!D114</f>
        <v>14001310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514838</v>
      </c>
      <c r="D821" s="2" t="str">
        <f t="shared" si="11"/>
        <v>Error?</v>
      </c>
    </row>
    <row r="822" spans="1:4" x14ac:dyDescent="0.2">
      <c r="A822" s="5">
        <v>761</v>
      </c>
      <c r="B822" s="138">
        <f>'Expenditures 15-22'!E16</f>
        <v>4553</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9108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3704</v>
      </c>
      <c r="D833" s="2" t="str">
        <f t="shared" si="12"/>
        <v>Error?</v>
      </c>
    </row>
    <row r="834" spans="1:4" x14ac:dyDescent="0.2">
      <c r="A834" s="5">
        <v>773</v>
      </c>
      <c r="B834" s="138">
        <f>'Expenditures 15-22'!E14</f>
        <v>162120</v>
      </c>
      <c r="D834" s="2" t="str">
        <f t="shared" si="12"/>
        <v>Error?</v>
      </c>
    </row>
    <row r="835" spans="1:4" x14ac:dyDescent="0.2">
      <c r="A835" s="5">
        <v>774</v>
      </c>
      <c r="B835" s="138">
        <f>'Expenditures 15-22'!E15</f>
        <v>178</v>
      </c>
      <c r="D835" s="2" t="str">
        <f t="shared" si="12"/>
        <v>Error?</v>
      </c>
    </row>
    <row r="836" spans="1:4" x14ac:dyDescent="0.2">
      <c r="A836" s="5">
        <v>775</v>
      </c>
      <c r="B836" s="138">
        <f>'Expenditures 15-22'!E33</f>
        <v>759024</v>
      </c>
      <c r="C836" s="2" t="s">
        <v>572</v>
      </c>
      <c r="D836" s="2" t="str">
        <f t="shared" si="12"/>
        <v>Error?</v>
      </c>
    </row>
    <row r="837" spans="1:4" x14ac:dyDescent="0.2">
      <c r="A837" s="5">
        <v>776</v>
      </c>
      <c r="B837" s="138">
        <f>'Expenditures 15-22'!E36</f>
        <v>35036</v>
      </c>
      <c r="D837" s="2" t="str">
        <f t="shared" si="12"/>
        <v>Error?</v>
      </c>
    </row>
    <row r="838" spans="1:4" x14ac:dyDescent="0.2">
      <c r="A838" s="5">
        <v>777</v>
      </c>
      <c r="B838" s="138">
        <f>'Expenditures 15-22'!E37</f>
        <v>7776</v>
      </c>
      <c r="D838" s="2" t="str">
        <f t="shared" si="12"/>
        <v>Error?</v>
      </c>
    </row>
    <row r="839" spans="1:4" x14ac:dyDescent="0.2">
      <c r="A839" s="5">
        <v>778</v>
      </c>
      <c r="B839" s="138">
        <f>'Expenditures 15-22'!E38</f>
        <v>55341</v>
      </c>
      <c r="D839" s="2" t="str">
        <f t="shared" si="12"/>
        <v>Error?</v>
      </c>
    </row>
    <row r="840" spans="1:4" x14ac:dyDescent="0.2">
      <c r="A840" s="5">
        <v>779</v>
      </c>
      <c r="B840" s="138">
        <f>'Expenditures 15-22'!E39</f>
        <v>2300</v>
      </c>
      <c r="D840" s="2" t="str">
        <f t="shared" si="12"/>
        <v>Error?</v>
      </c>
    </row>
    <row r="841" spans="1:4" x14ac:dyDescent="0.2">
      <c r="A841" s="5">
        <v>780</v>
      </c>
      <c r="B841" s="138">
        <f>'Expenditures 15-22'!E40</f>
        <v>37331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137784</v>
      </c>
      <c r="C843" s="2" t="s">
        <v>572</v>
      </c>
      <c r="D843" s="2" t="str">
        <f t="shared" si="12"/>
        <v>Error?</v>
      </c>
    </row>
    <row r="844" spans="1:4" x14ac:dyDescent="0.2">
      <c r="A844" s="5">
        <v>783</v>
      </c>
      <c r="B844" s="138">
        <f>'Expenditures 15-22'!E44</f>
        <v>138883</v>
      </c>
      <c r="D844" s="2" t="str">
        <f t="shared" si="12"/>
        <v>Error?</v>
      </c>
    </row>
    <row r="845" spans="1:4" x14ac:dyDescent="0.2">
      <c r="A845" s="5">
        <v>784</v>
      </c>
      <c r="B845" s="138">
        <f>'Expenditures 15-22'!E45</f>
        <v>6233</v>
      </c>
      <c r="D845" s="2" t="str">
        <f t="shared" si="12"/>
        <v>Error?</v>
      </c>
    </row>
    <row r="846" spans="1:4" x14ac:dyDescent="0.2">
      <c r="A846" s="5">
        <v>785</v>
      </c>
      <c r="B846" s="138">
        <f>'Expenditures 15-22'!E46</f>
        <v>102311</v>
      </c>
      <c r="D846" s="2" t="str">
        <f t="shared" si="12"/>
        <v>Error?</v>
      </c>
    </row>
    <row r="847" spans="1:4" x14ac:dyDescent="0.2">
      <c r="A847" s="5">
        <v>786</v>
      </c>
      <c r="B847" s="138">
        <f>'Expenditures 15-22'!E47</f>
        <v>247427</v>
      </c>
      <c r="C847" s="2" t="s">
        <v>572</v>
      </c>
      <c r="D847" s="2" t="str">
        <f t="shared" si="12"/>
        <v>Error?</v>
      </c>
    </row>
    <row r="848" spans="1:4" x14ac:dyDescent="0.2">
      <c r="A848" s="5">
        <v>787</v>
      </c>
      <c r="B848" s="138">
        <f>'Expenditures 15-22'!E49</f>
        <v>148860</v>
      </c>
      <c r="D848" s="2" t="str">
        <f t="shared" si="12"/>
        <v>Error?</v>
      </c>
    </row>
    <row r="849" spans="1:4" x14ac:dyDescent="0.2">
      <c r="A849" s="5">
        <v>788</v>
      </c>
      <c r="B849" s="138">
        <f>'Expenditures 15-22'!E50</f>
        <v>5236</v>
      </c>
      <c r="D849" s="2" t="str">
        <f t="shared" si="12"/>
        <v>Error?</v>
      </c>
    </row>
    <row r="850" spans="1:4" x14ac:dyDescent="0.2">
      <c r="A850" s="5">
        <v>789</v>
      </c>
      <c r="B850" s="138">
        <f>'Expenditures 15-22'!E53</f>
        <v>158215</v>
      </c>
      <c r="C850" s="2" t="s">
        <v>572</v>
      </c>
      <c r="D850" s="2" t="str">
        <f t="shared" si="12"/>
        <v>Error?</v>
      </c>
    </row>
    <row r="851" spans="1:4" x14ac:dyDescent="0.2">
      <c r="A851" s="5">
        <v>790</v>
      </c>
      <c r="B851" s="138">
        <f>'Expenditures 15-22'!E55</f>
        <v>1678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1678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158214</v>
      </c>
      <c r="D855" s="2" t="str">
        <f t="shared" si="12"/>
        <v>Error?</v>
      </c>
    </row>
    <row r="856" spans="1:4" x14ac:dyDescent="0.2">
      <c r="A856" s="5">
        <v>795</v>
      </c>
      <c r="B856" s="138">
        <f>'Expenditures 15-22'!E61</f>
        <v>4510</v>
      </c>
      <c r="D856" s="2" t="str">
        <f t="shared" si="12"/>
        <v>Error?</v>
      </c>
    </row>
    <row r="857" spans="1:4" x14ac:dyDescent="0.2">
      <c r="A857" s="5">
        <v>796</v>
      </c>
      <c r="B857" s="138">
        <f>'Expenditures 15-22'!E62</f>
        <v>45960</v>
      </c>
      <c r="D857" s="2" t="str">
        <f t="shared" si="12"/>
        <v>Error?</v>
      </c>
    </row>
    <row r="858" spans="1:4" x14ac:dyDescent="0.2">
      <c r="A858" s="5">
        <v>797</v>
      </c>
      <c r="B858" s="138">
        <f>'Expenditures 15-22'!E63</f>
        <v>9574</v>
      </c>
      <c r="D858" s="2" t="str">
        <f t="shared" si="12"/>
        <v>Error?</v>
      </c>
    </row>
    <row r="859" spans="1:4" x14ac:dyDescent="0.2">
      <c r="A859" s="5">
        <v>798</v>
      </c>
      <c r="B859" s="138">
        <f>'Expenditures 15-22'!E64</f>
        <v>169</v>
      </c>
      <c r="D859" s="2" t="str">
        <f t="shared" si="12"/>
        <v>Error?</v>
      </c>
    </row>
    <row r="860" spans="1:4" x14ac:dyDescent="0.2">
      <c r="A860" s="10">
        <v>799</v>
      </c>
      <c r="D860" s="2" t="str">
        <f t="shared" si="12"/>
        <v>OK</v>
      </c>
    </row>
    <row r="861" spans="1:4" x14ac:dyDescent="0.2">
      <c r="A861" s="5">
        <v>800</v>
      </c>
      <c r="B861" s="138">
        <f>'Expenditures 15-22'!E65</f>
        <v>218427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15611</v>
      </c>
      <c r="D864" s="2" t="str">
        <f t="shared" si="12"/>
        <v>Error?</v>
      </c>
    </row>
    <row r="865" spans="1:4" x14ac:dyDescent="0.2">
      <c r="A865" s="5">
        <v>804</v>
      </c>
      <c r="B865" s="138">
        <f>'Expenditures 15-22'!E70</f>
        <v>21666</v>
      </c>
      <c r="D865" s="2" t="str">
        <f t="shared" si="12"/>
        <v>Error?</v>
      </c>
    </row>
    <row r="866" spans="1:4" x14ac:dyDescent="0.2">
      <c r="A866" s="10">
        <v>805</v>
      </c>
      <c r="D866" s="2" t="str">
        <f t="shared" si="12"/>
        <v>OK</v>
      </c>
    </row>
    <row r="867" spans="1:4" x14ac:dyDescent="0.2">
      <c r="A867" s="5">
        <v>806</v>
      </c>
      <c r="B867" s="138">
        <f>'Expenditures 15-22'!E71</f>
        <v>8934</v>
      </c>
      <c r="D867" s="2" t="str">
        <f t="shared" si="12"/>
        <v>Error?</v>
      </c>
    </row>
    <row r="868" spans="1:4" x14ac:dyDescent="0.2">
      <c r="A868" s="10">
        <v>807</v>
      </c>
      <c r="D868" s="2" t="str">
        <f t="shared" si="12"/>
        <v>OK</v>
      </c>
    </row>
    <row r="869" spans="1:4" x14ac:dyDescent="0.2">
      <c r="A869" s="5">
        <v>808</v>
      </c>
      <c r="B869" s="138">
        <f>'Expenditures 15-22'!E72</f>
        <v>46211</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809742</v>
      </c>
      <c r="C871" s="2" t="s">
        <v>572</v>
      </c>
      <c r="D871" s="2" t="str">
        <f t="shared" si="12"/>
        <v>Error?</v>
      </c>
    </row>
    <row r="872" spans="1:4" x14ac:dyDescent="0.2">
      <c r="A872" s="5">
        <v>811</v>
      </c>
      <c r="B872" s="138">
        <f>'Expenditures 15-22'!E75</f>
        <v>37145</v>
      </c>
      <c r="D872" s="2" t="str">
        <f t="shared" si="12"/>
        <v>Error?</v>
      </c>
    </row>
    <row r="873" spans="1:4" x14ac:dyDescent="0.2">
      <c r="A873" s="5">
        <v>812</v>
      </c>
      <c r="B873" s="138">
        <f>'Expenditures 15-22'!E114</f>
        <v>1605911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359983</v>
      </c>
      <c r="D879" s="2" t="str">
        <f t="shared" si="12"/>
        <v>Error?</v>
      </c>
    </row>
    <row r="880" spans="1:4" x14ac:dyDescent="0.2">
      <c r="A880" s="5">
        <v>819</v>
      </c>
      <c r="B880" s="138">
        <f>'Expenditures 15-22'!F16</f>
        <v>1125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24632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35479</v>
      </c>
      <c r="D891" s="2" t="str">
        <f t="shared" si="12"/>
        <v>Error?</v>
      </c>
    </row>
    <row r="892" spans="1:4" x14ac:dyDescent="0.2">
      <c r="A892" s="5">
        <v>831</v>
      </c>
      <c r="B892" s="138">
        <f>'Expenditures 15-22'!F14</f>
        <v>9724</v>
      </c>
      <c r="D892" s="2" t="str">
        <f t="shared" si="12"/>
        <v>Error?</v>
      </c>
    </row>
    <row r="893" spans="1:4" x14ac:dyDescent="0.2">
      <c r="A893" s="5">
        <v>832</v>
      </c>
      <c r="B893" s="138">
        <f>'Expenditures 15-22'!F15</f>
        <v>4004</v>
      </c>
      <c r="D893" s="2" t="str">
        <f t="shared" si="12"/>
        <v>Error?</v>
      </c>
    </row>
    <row r="894" spans="1:4" x14ac:dyDescent="0.2">
      <c r="A894" s="5">
        <v>833</v>
      </c>
      <c r="B894" s="138">
        <f>'Expenditures 15-22'!F33</f>
        <v>761652</v>
      </c>
      <c r="C894" s="2" t="s">
        <v>572</v>
      </c>
      <c r="D894" s="2" t="str">
        <f t="shared" si="12"/>
        <v>Error?</v>
      </c>
    </row>
    <row r="895" spans="1:4" x14ac:dyDescent="0.2">
      <c r="A895" s="5">
        <v>834</v>
      </c>
      <c r="B895" s="138">
        <f>'Expenditures 15-22'!F36</f>
        <v>336</v>
      </c>
      <c r="D895" s="2" t="str">
        <f t="shared" ref="D895:D958" si="13">IF(ISBLANK(B895),"OK",IF(A895-B895=0,"OK","Error?"))</f>
        <v>Error?</v>
      </c>
    </row>
    <row r="896" spans="1:4" x14ac:dyDescent="0.2">
      <c r="A896" s="5">
        <v>835</v>
      </c>
      <c r="B896" s="138">
        <f>'Expenditures 15-22'!F37</f>
        <v>736</v>
      </c>
      <c r="D896" s="2" t="str">
        <f t="shared" si="13"/>
        <v>Error?</v>
      </c>
    </row>
    <row r="897" spans="1:4" x14ac:dyDescent="0.2">
      <c r="A897" s="5">
        <v>836</v>
      </c>
      <c r="B897" s="138">
        <f>'Expenditures 15-22'!F38</f>
        <v>26830</v>
      </c>
      <c r="D897" s="2" t="str">
        <f t="shared" si="13"/>
        <v>Error?</v>
      </c>
    </row>
    <row r="898" spans="1:4" x14ac:dyDescent="0.2">
      <c r="A898" s="5">
        <v>837</v>
      </c>
      <c r="B898" s="138">
        <f>'Expenditures 15-22'!F39</f>
        <v>2804</v>
      </c>
      <c r="D898" s="2" t="str">
        <f t="shared" si="13"/>
        <v>Error?</v>
      </c>
    </row>
    <row r="899" spans="1:4" x14ac:dyDescent="0.2">
      <c r="A899" s="5">
        <v>838</v>
      </c>
      <c r="B899" s="138">
        <f>'Expenditures 15-22'!F40</f>
        <v>11375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42081</v>
      </c>
      <c r="C901" s="2" t="s">
        <v>572</v>
      </c>
      <c r="D901" s="2" t="str">
        <f t="shared" si="13"/>
        <v>Error?</v>
      </c>
    </row>
    <row r="902" spans="1:4" x14ac:dyDescent="0.2">
      <c r="A902" s="5">
        <v>841</v>
      </c>
      <c r="B902" s="138">
        <f>'Expenditures 15-22'!F44</f>
        <v>14808</v>
      </c>
      <c r="D902" s="2" t="str">
        <f t="shared" si="13"/>
        <v>Error?</v>
      </c>
    </row>
    <row r="903" spans="1:4" x14ac:dyDescent="0.2">
      <c r="A903" s="5">
        <v>842</v>
      </c>
      <c r="B903" s="138">
        <f>'Expenditures 15-22'!F45</f>
        <v>28616</v>
      </c>
      <c r="D903" s="2" t="str">
        <f t="shared" si="13"/>
        <v>Error?</v>
      </c>
    </row>
    <row r="904" spans="1:4" x14ac:dyDescent="0.2">
      <c r="A904" s="5">
        <v>843</v>
      </c>
      <c r="B904" s="138">
        <f>'Expenditures 15-22'!F46</f>
        <v>17462</v>
      </c>
      <c r="D904" s="2" t="str">
        <f t="shared" si="13"/>
        <v>Error?</v>
      </c>
    </row>
    <row r="905" spans="1:4" x14ac:dyDescent="0.2">
      <c r="A905" s="5">
        <v>844</v>
      </c>
      <c r="B905" s="138">
        <f>'Expenditures 15-22'!F47</f>
        <v>60886</v>
      </c>
      <c r="C905" s="2" t="s">
        <v>572</v>
      </c>
      <c r="D905" s="2" t="str">
        <f t="shared" si="13"/>
        <v>Error?</v>
      </c>
    </row>
    <row r="906" spans="1:4" x14ac:dyDescent="0.2">
      <c r="A906" s="5">
        <v>845</v>
      </c>
      <c r="B906" s="138">
        <f>'Expenditures 15-22'!F49</f>
        <v>18495</v>
      </c>
      <c r="D906" s="2" t="str">
        <f t="shared" si="13"/>
        <v>Error?</v>
      </c>
    </row>
    <row r="907" spans="1:4" x14ac:dyDescent="0.2">
      <c r="A907" s="5">
        <v>846</v>
      </c>
      <c r="B907" s="138">
        <f>'Expenditures 15-22'!F50</f>
        <v>1792</v>
      </c>
      <c r="D907" s="2" t="str">
        <f t="shared" si="13"/>
        <v>Error?</v>
      </c>
    </row>
    <row r="908" spans="1:4" x14ac:dyDescent="0.2">
      <c r="A908" s="5">
        <v>847</v>
      </c>
      <c r="B908" s="138">
        <f>'Expenditures 15-22'!F53</f>
        <v>22038</v>
      </c>
      <c r="C908" s="2" t="s">
        <v>572</v>
      </c>
      <c r="D908" s="2" t="str">
        <f t="shared" si="13"/>
        <v>Error?</v>
      </c>
    </row>
    <row r="909" spans="1:4" x14ac:dyDescent="0.2">
      <c r="A909" s="5">
        <v>848</v>
      </c>
      <c r="B909" s="138">
        <f>'Expenditures 15-22'!F55</f>
        <v>17678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17678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6206</v>
      </c>
      <c r="D913" s="2" t="str">
        <f t="shared" si="13"/>
        <v>Error?</v>
      </c>
    </row>
    <row r="914" spans="1:4" x14ac:dyDescent="0.2">
      <c r="A914" s="5">
        <v>853</v>
      </c>
      <c r="B914" s="138">
        <f>'Expenditures 15-22'!F61</f>
        <v>18941</v>
      </c>
      <c r="D914" s="2" t="str">
        <f t="shared" si="13"/>
        <v>Error?</v>
      </c>
    </row>
    <row r="915" spans="1:4" x14ac:dyDescent="0.2">
      <c r="A915" s="5">
        <v>854</v>
      </c>
      <c r="B915" s="138">
        <f>'Expenditures 15-22'!F62</f>
        <v>300</v>
      </c>
      <c r="D915" s="2" t="str">
        <f t="shared" si="13"/>
        <v>Error?</v>
      </c>
    </row>
    <row r="916" spans="1:4" x14ac:dyDescent="0.2">
      <c r="A916" s="5">
        <v>855</v>
      </c>
      <c r="B916" s="138">
        <f>'Expenditures 15-22'!F63</f>
        <v>824186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849633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9989</v>
      </c>
      <c r="D922" s="2" t="str">
        <f t="shared" si="13"/>
        <v>Error?</v>
      </c>
    </row>
    <row r="923" spans="1:4" x14ac:dyDescent="0.2">
      <c r="A923" s="5">
        <v>862</v>
      </c>
      <c r="B923" s="138">
        <f>'Expenditures 15-22'!F70</f>
        <v>3404</v>
      </c>
      <c r="D923" s="2" t="str">
        <f t="shared" si="13"/>
        <v>Error?</v>
      </c>
    </row>
    <row r="924" spans="1:4" x14ac:dyDescent="0.2">
      <c r="A924" s="10">
        <v>863</v>
      </c>
      <c r="D924" s="2" t="str">
        <f t="shared" si="13"/>
        <v>OK</v>
      </c>
    </row>
    <row r="925" spans="1:4" x14ac:dyDescent="0.2">
      <c r="A925" s="5">
        <v>864</v>
      </c>
      <c r="B925" s="138">
        <f>'Expenditures 15-22'!F71</f>
        <v>872357</v>
      </c>
      <c r="D925" s="2" t="str">
        <f t="shared" si="13"/>
        <v>Error?</v>
      </c>
    </row>
    <row r="926" spans="1:4" x14ac:dyDescent="0.2">
      <c r="A926" s="10">
        <v>865</v>
      </c>
      <c r="D926" s="2" t="str">
        <f t="shared" si="13"/>
        <v>OK</v>
      </c>
    </row>
    <row r="927" spans="1:4" x14ac:dyDescent="0.2">
      <c r="A927" s="5">
        <v>866</v>
      </c>
      <c r="B927" s="138">
        <f>'Expenditures 15-22'!F72</f>
        <v>885750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1878066</v>
      </c>
      <c r="C929" s="2" t="s">
        <v>572</v>
      </c>
      <c r="D929" s="2" t="str">
        <f t="shared" si="13"/>
        <v>Error?</v>
      </c>
    </row>
    <row r="930" spans="1:4" x14ac:dyDescent="0.2">
      <c r="A930" s="5">
        <v>869</v>
      </c>
      <c r="B930" s="138">
        <f>'Expenditures 15-22'!F75</f>
        <v>22647</v>
      </c>
      <c r="D930" s="2" t="str">
        <f t="shared" si="13"/>
        <v>Error?</v>
      </c>
    </row>
    <row r="931" spans="1:4" x14ac:dyDescent="0.2">
      <c r="A931" s="5">
        <v>870</v>
      </c>
      <c r="B931" s="138">
        <f>'Expenditures 15-22'!F114</f>
        <v>2662365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198334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23700</v>
      </c>
      <c r="D949" s="2" t="str">
        <f t="shared" si="13"/>
        <v>Error?</v>
      </c>
    </row>
    <row r="950" spans="1:4" x14ac:dyDescent="0.2">
      <c r="A950" s="5">
        <v>889</v>
      </c>
      <c r="B950" s="138">
        <f>'Expenditures 15-22'!G14</f>
        <v>10357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248912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29587</v>
      </c>
      <c r="D955" s="2" t="str">
        <f t="shared" si="13"/>
        <v>Error?</v>
      </c>
    </row>
    <row r="956" spans="1:4" x14ac:dyDescent="0.2">
      <c r="A956" s="5">
        <v>895</v>
      </c>
      <c r="B956" s="138">
        <f>'Expenditures 15-22'!G39</f>
        <v>1695</v>
      </c>
      <c r="D956" s="2" t="str">
        <f t="shared" si="13"/>
        <v>Error?</v>
      </c>
    </row>
    <row r="957" spans="1:4" x14ac:dyDescent="0.2">
      <c r="A957" s="5">
        <v>896</v>
      </c>
      <c r="B957" s="138">
        <f>'Expenditures 15-22'!G40</f>
        <v>8700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39982</v>
      </c>
      <c r="C959" s="2" t="s">
        <v>572</v>
      </c>
      <c r="D959" s="2" t="str">
        <f t="shared" ref="D959:D1022" si="14">IF(ISBLANK(B959),"OK",IF(A959-B959=0,"OK","Error?"))</f>
        <v>Error?</v>
      </c>
    </row>
    <row r="960" spans="1:4" x14ac:dyDescent="0.2">
      <c r="A960" s="5">
        <v>899</v>
      </c>
      <c r="B960" s="138">
        <f>'Expenditures 15-22'!G44</f>
        <v>2564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2564</v>
      </c>
      <c r="C963" s="2" t="s">
        <v>572</v>
      </c>
      <c r="D963" s="2" t="str">
        <f t="shared" si="14"/>
        <v>Error?</v>
      </c>
    </row>
    <row r="964" spans="1:4" x14ac:dyDescent="0.2">
      <c r="A964" s="5">
        <v>903</v>
      </c>
      <c r="B964" s="138">
        <f>'Expenditures 15-22'!G49</f>
        <v>1441</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1441</v>
      </c>
      <c r="C966" s="2" t="s">
        <v>572</v>
      </c>
      <c r="D966" s="2" t="str">
        <f t="shared" si="14"/>
        <v>Error?</v>
      </c>
    </row>
    <row r="967" spans="1:4" x14ac:dyDescent="0.2">
      <c r="A967" s="5">
        <v>906</v>
      </c>
      <c r="B967" s="138">
        <f>'Expenditures 15-22'!G55</f>
        <v>10142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10142</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57539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636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58175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19471</v>
      </c>
      <c r="D983" s="2" t="str">
        <f t="shared" si="14"/>
        <v>Error?</v>
      </c>
    </row>
    <row r="984" spans="1:4" x14ac:dyDescent="0.2">
      <c r="A984" s="10">
        <v>923</v>
      </c>
      <c r="D984" s="2" t="str">
        <f t="shared" si="14"/>
        <v>OK</v>
      </c>
    </row>
    <row r="985" spans="1:4" x14ac:dyDescent="0.2">
      <c r="A985" s="5">
        <v>924</v>
      </c>
      <c r="B985" s="138">
        <f>'Expenditures 15-22'!G72</f>
        <v>19471</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131775</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380687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81430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41859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785178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28891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28891</v>
      </c>
      <c r="C1017" s="2" t="s">
        <v>572</v>
      </c>
      <c r="D1017" s="2" t="str">
        <f t="shared" si="14"/>
        <v>Error?</v>
      </c>
    </row>
    <row r="1018" spans="1:4" x14ac:dyDescent="0.2">
      <c r="A1018" s="5">
        <v>957</v>
      </c>
      <c r="B1018" s="138">
        <f>'Expenditures 15-22'!H44</f>
        <v>1389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1389</v>
      </c>
      <c r="C1021" s="2" t="s">
        <v>572</v>
      </c>
      <c r="D1021" s="2" t="str">
        <f t="shared" si="14"/>
        <v>Error?</v>
      </c>
    </row>
    <row r="1022" spans="1:4" x14ac:dyDescent="0.2">
      <c r="A1022" s="5">
        <v>961</v>
      </c>
      <c r="B1022" s="138">
        <f>'Expenditures 15-22'!H49</f>
        <v>31774</v>
      </c>
      <c r="D1022" s="2" t="str">
        <f t="shared" si="14"/>
        <v>Error?</v>
      </c>
    </row>
    <row r="1023" spans="1:4" x14ac:dyDescent="0.2">
      <c r="A1023" s="5">
        <v>962</v>
      </c>
      <c r="B1023" s="138">
        <f>'Expenditures 15-22'!H50</f>
        <v>5289</v>
      </c>
      <c r="D1023" s="2" t="str">
        <f t="shared" ref="D1023:D1086" si="15">IF(ISBLANK(B1023),"OK",IF(A1023-B1023=0,"OK","Error?"))</f>
        <v>Error?</v>
      </c>
    </row>
    <row r="1024" spans="1:4" x14ac:dyDescent="0.2">
      <c r="A1024" s="5">
        <v>963</v>
      </c>
      <c r="B1024" s="138">
        <f>'Expenditures 15-22'!H53</f>
        <v>37063</v>
      </c>
      <c r="C1024" s="2" t="s">
        <v>572</v>
      </c>
      <c r="D1024" s="2" t="str">
        <f t="shared" si="15"/>
        <v>Error?</v>
      </c>
    </row>
    <row r="1025" spans="1:4" x14ac:dyDescent="0.2">
      <c r="A1025" s="5">
        <v>964</v>
      </c>
      <c r="B1025" s="138">
        <f>'Expenditures 15-22'!H55</f>
        <v>3708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3708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2869</v>
      </c>
      <c r="D1029" s="2" t="str">
        <f t="shared" si="15"/>
        <v>Error?</v>
      </c>
    </row>
    <row r="1030" spans="1:4" x14ac:dyDescent="0.2">
      <c r="A1030" s="5">
        <v>969</v>
      </c>
      <c r="B1030" s="138">
        <f>'Expenditures 15-22'!H61</f>
        <v>119</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6522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640</v>
      </c>
      <c r="D1038" s="2" t="str">
        <f t="shared" si="15"/>
        <v>Error?</v>
      </c>
    </row>
    <row r="1039" spans="1:4" x14ac:dyDescent="0.2">
      <c r="A1039" s="5">
        <v>978</v>
      </c>
      <c r="B1039" s="138">
        <f>'Expenditures 15-22'!H70</f>
        <v>804</v>
      </c>
      <c r="D1039" s="2" t="str">
        <f t="shared" si="15"/>
        <v>Error?</v>
      </c>
    </row>
    <row r="1040" spans="1:4" x14ac:dyDescent="0.2">
      <c r="A1040" s="10">
        <v>979</v>
      </c>
      <c r="D1040" s="2" t="str">
        <f t="shared" si="15"/>
        <v>OK</v>
      </c>
    </row>
    <row r="1041" spans="1:4" x14ac:dyDescent="0.2">
      <c r="A1041" s="5">
        <v>980</v>
      </c>
      <c r="B1041" s="138">
        <f>'Expenditures 15-22'!H71</f>
        <v>58464</v>
      </c>
      <c r="D1041" s="2" t="str">
        <f t="shared" si="15"/>
        <v>Error?</v>
      </c>
    </row>
    <row r="1042" spans="1:4" x14ac:dyDescent="0.2">
      <c r="A1042" s="10">
        <v>981</v>
      </c>
      <c r="D1042" s="2" t="str">
        <f t="shared" si="15"/>
        <v>OK</v>
      </c>
    </row>
    <row r="1043" spans="1:4" x14ac:dyDescent="0.2">
      <c r="A1043" s="5">
        <v>982</v>
      </c>
      <c r="B1043" s="138">
        <f>'Expenditures 15-22'!H72</f>
        <v>59908</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137481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7274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929933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23798108</v>
      </c>
      <c r="C1093" s="2" t="s">
        <v>572</v>
      </c>
      <c r="D1093" s="2" t="str">
        <f t="shared" si="16"/>
        <v>Error?</v>
      </c>
    </row>
    <row r="1094" spans="1:4" x14ac:dyDescent="0.2">
      <c r="A1094" s="5">
        <v>1033</v>
      </c>
      <c r="B1094" s="138">
        <f>'Expenditures 15-22'!K16</f>
        <v>341422</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5529171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1111025</v>
      </c>
      <c r="C1105" s="2" t="s">
        <v>572</v>
      </c>
      <c r="D1105" s="2" t="str">
        <f t="shared" si="16"/>
        <v>Error?</v>
      </c>
    </row>
    <row r="1106" spans="1:4" x14ac:dyDescent="0.2">
      <c r="A1106" s="5">
        <v>1045</v>
      </c>
      <c r="B1106" s="138">
        <f>'Expenditures 15-22'!K14</f>
        <v>2003088</v>
      </c>
      <c r="C1106" s="2" t="s">
        <v>572</v>
      </c>
      <c r="D1106" s="2" t="str">
        <f t="shared" si="16"/>
        <v>Error?</v>
      </c>
    </row>
    <row r="1107" spans="1:4" x14ac:dyDescent="0.2">
      <c r="A1107" s="5">
        <v>1046</v>
      </c>
      <c r="B1107" s="138">
        <f>'Expenditures 15-22'!K15</f>
        <v>402821</v>
      </c>
      <c r="C1107" s="2" t="s">
        <v>572</v>
      </c>
      <c r="D1107" s="2" t="str">
        <f t="shared" si="16"/>
        <v>Error?</v>
      </c>
    </row>
    <row r="1108" spans="1:4" x14ac:dyDescent="0.2">
      <c r="A1108" s="5">
        <v>1047</v>
      </c>
      <c r="B1108" s="138">
        <f>'Expenditures 15-22'!K33</f>
        <v>45488981</v>
      </c>
      <c r="C1108" s="2" t="s">
        <v>572</v>
      </c>
      <c r="D1108" s="2" t="str">
        <f t="shared" si="16"/>
        <v>Error?</v>
      </c>
    </row>
    <row r="1109" spans="1:4" x14ac:dyDescent="0.2">
      <c r="A1109" s="5">
        <v>1048</v>
      </c>
      <c r="B1109" s="138">
        <f>'Expenditures 15-22'!K36</f>
        <v>1324805</v>
      </c>
      <c r="C1109" s="2" t="s">
        <v>572</v>
      </c>
      <c r="D1109" s="2" t="str">
        <f t="shared" si="16"/>
        <v>Error?</v>
      </c>
    </row>
    <row r="1110" spans="1:4" x14ac:dyDescent="0.2">
      <c r="A1110" s="5">
        <v>1049</v>
      </c>
      <c r="B1110" s="138">
        <f>'Expenditures 15-22'!K37</f>
        <v>880666</v>
      </c>
      <c r="C1110" s="2" t="s">
        <v>572</v>
      </c>
      <c r="D1110" s="2" t="str">
        <f t="shared" si="16"/>
        <v>Error?</v>
      </c>
    </row>
    <row r="1111" spans="1:4" x14ac:dyDescent="0.2">
      <c r="A1111" s="5">
        <v>1050</v>
      </c>
      <c r="B1111" s="138">
        <f>'Expenditures 15-22'!K38</f>
        <v>2207135</v>
      </c>
      <c r="C1111" s="2" t="s">
        <v>572</v>
      </c>
      <c r="D1111" s="2" t="str">
        <f t="shared" si="16"/>
        <v>Error?</v>
      </c>
    </row>
    <row r="1112" spans="1:4" x14ac:dyDescent="0.2">
      <c r="A1112" s="5">
        <v>1051</v>
      </c>
      <c r="B1112" s="138">
        <f>'Expenditures 15-22'!K39</f>
        <v>609237</v>
      </c>
      <c r="C1112" s="2" t="s">
        <v>572</v>
      </c>
      <c r="D1112" s="2" t="str">
        <f t="shared" si="16"/>
        <v>Error?</v>
      </c>
    </row>
    <row r="1113" spans="1:4" x14ac:dyDescent="0.2">
      <c r="A1113" s="5">
        <v>1052</v>
      </c>
      <c r="B1113" s="138">
        <f>'Expenditures 15-22'!K40</f>
        <v>1760146</v>
      </c>
      <c r="C1113" s="2" t="s">
        <v>572</v>
      </c>
      <c r="D1113" s="2" t="str">
        <f t="shared" si="16"/>
        <v>Error?</v>
      </c>
    </row>
    <row r="1114" spans="1:4" x14ac:dyDescent="0.2">
      <c r="A1114" s="5">
        <v>1053</v>
      </c>
      <c r="B1114" s="138">
        <f>'Expenditures 15-22'!K41</f>
        <v>48732</v>
      </c>
      <c r="C1114" s="2" t="s">
        <v>572</v>
      </c>
      <c r="D1114" s="2" t="str">
        <f t="shared" si="16"/>
        <v>Error?</v>
      </c>
    </row>
    <row r="1115" spans="1:4" x14ac:dyDescent="0.2">
      <c r="A1115" s="5">
        <v>1054</v>
      </c>
      <c r="B1115" s="138">
        <f>'Expenditures 15-22'!K42</f>
        <v>6830721</v>
      </c>
      <c r="C1115" s="2" t="s">
        <v>572</v>
      </c>
      <c r="D1115" s="2" t="str">
        <f t="shared" si="16"/>
        <v>Error?</v>
      </c>
    </row>
    <row r="1116" spans="1:4" x14ac:dyDescent="0.2">
      <c r="A1116" s="5">
        <v>1055</v>
      </c>
      <c r="B1116" s="138">
        <f>'Expenditures 15-22'!K44</f>
        <v>1655763</v>
      </c>
      <c r="C1116" s="2" t="s">
        <v>572</v>
      </c>
      <c r="D1116" s="2" t="str">
        <f t="shared" si="16"/>
        <v>Error?</v>
      </c>
    </row>
    <row r="1117" spans="1:4" x14ac:dyDescent="0.2">
      <c r="A1117" s="5">
        <v>1056</v>
      </c>
      <c r="B1117" s="138">
        <f>'Expenditures 15-22'!K45</f>
        <v>1174456</v>
      </c>
      <c r="C1117" s="2" t="s">
        <v>572</v>
      </c>
      <c r="D1117" s="2" t="str">
        <f t="shared" si="16"/>
        <v>Error?</v>
      </c>
    </row>
    <row r="1118" spans="1:4" x14ac:dyDescent="0.2">
      <c r="A1118" s="5">
        <v>1057</v>
      </c>
      <c r="B1118" s="138">
        <f>'Expenditures 15-22'!K46</f>
        <v>210425</v>
      </c>
      <c r="C1118" s="2" t="s">
        <v>572</v>
      </c>
      <c r="D1118" s="2" t="str">
        <f t="shared" si="16"/>
        <v>Error?</v>
      </c>
    </row>
    <row r="1119" spans="1:4" x14ac:dyDescent="0.2">
      <c r="A1119" s="5">
        <v>1058</v>
      </c>
      <c r="B1119" s="138">
        <f>'Expenditures 15-22'!K47</f>
        <v>3040644</v>
      </c>
      <c r="C1119" s="2" t="s">
        <v>572</v>
      </c>
      <c r="D1119" s="2" t="str">
        <f t="shared" si="16"/>
        <v>Error?</v>
      </c>
    </row>
    <row r="1120" spans="1:4" x14ac:dyDescent="0.2">
      <c r="A1120" s="5">
        <v>1059</v>
      </c>
      <c r="B1120" s="138">
        <f>'Expenditures 15-22'!K49</f>
        <v>414590</v>
      </c>
      <c r="C1120" s="2" t="s">
        <v>572</v>
      </c>
      <c r="D1120" s="2" t="str">
        <f t="shared" si="16"/>
        <v>Error?</v>
      </c>
    </row>
    <row r="1121" spans="1:4" x14ac:dyDescent="0.2">
      <c r="A1121" s="5">
        <v>1060</v>
      </c>
      <c r="B1121" s="138">
        <f>'Expenditures 15-22'!K50</f>
        <v>340774</v>
      </c>
      <c r="C1121" s="2" t="s">
        <v>572</v>
      </c>
      <c r="D1121" s="2" t="str">
        <f t="shared" si="16"/>
        <v>Error?</v>
      </c>
    </row>
    <row r="1122" spans="1:4" x14ac:dyDescent="0.2">
      <c r="A1122" s="5">
        <v>1061</v>
      </c>
      <c r="B1122" s="138">
        <f>'Expenditures 15-22'!K53</f>
        <v>793559</v>
      </c>
      <c r="C1122" s="2" t="s">
        <v>572</v>
      </c>
      <c r="D1122" s="2" t="str">
        <f t="shared" si="16"/>
        <v>Error?</v>
      </c>
    </row>
    <row r="1123" spans="1:4" x14ac:dyDescent="0.2">
      <c r="A1123" s="5">
        <v>1062</v>
      </c>
      <c r="B1123" s="138">
        <f>'Expenditures 15-22'!K55</f>
        <v>4217137</v>
      </c>
      <c r="C1123" s="2" t="s">
        <v>572</v>
      </c>
      <c r="D1123" s="2" t="str">
        <f t="shared" si="16"/>
        <v>Error?</v>
      </c>
    </row>
    <row r="1124" spans="1:4" x14ac:dyDescent="0.2">
      <c r="A1124" s="5">
        <v>1063</v>
      </c>
      <c r="B1124" s="138">
        <f>'Expenditures 15-22'!K56</f>
        <v>142754</v>
      </c>
      <c r="C1124" s="2" t="s">
        <v>572</v>
      </c>
      <c r="D1124" s="2" t="str">
        <f t="shared" si="16"/>
        <v>Error?</v>
      </c>
    </row>
    <row r="1125" spans="1:4" x14ac:dyDescent="0.2">
      <c r="A1125" s="5">
        <v>1064</v>
      </c>
      <c r="B1125" s="138">
        <f>'Expenditures 15-22'!K57</f>
        <v>4359891</v>
      </c>
      <c r="C1125" s="2" t="s">
        <v>572</v>
      </c>
      <c r="D1125" s="2" t="str">
        <f t="shared" si="16"/>
        <v>Error?</v>
      </c>
    </row>
    <row r="1126" spans="1:4" x14ac:dyDescent="0.2">
      <c r="A1126" s="5">
        <v>1065</v>
      </c>
      <c r="B1126" s="138">
        <f>'Expenditures 15-22'!K59</f>
        <v>197982</v>
      </c>
      <c r="C1126" s="2" t="s">
        <v>572</v>
      </c>
      <c r="D1126" s="2" t="str">
        <f t="shared" si="16"/>
        <v>Error?</v>
      </c>
    </row>
    <row r="1127" spans="1:4" x14ac:dyDescent="0.2">
      <c r="A1127" s="5">
        <v>1066</v>
      </c>
      <c r="B1127" s="138">
        <f>'Expenditures 15-22'!K60</f>
        <v>611261</v>
      </c>
      <c r="C1127" s="2" t="s">
        <v>572</v>
      </c>
      <c r="D1127" s="2" t="str">
        <f t="shared" si="16"/>
        <v>Error?</v>
      </c>
    </row>
    <row r="1128" spans="1:4" x14ac:dyDescent="0.2">
      <c r="A1128" s="5">
        <v>1067</v>
      </c>
      <c r="B1128" s="138">
        <f>'Expenditures 15-22'!K61</f>
        <v>158517</v>
      </c>
      <c r="C1128" s="2" t="s">
        <v>572</v>
      </c>
      <c r="D1128" s="2" t="str">
        <f t="shared" si="16"/>
        <v>Error?</v>
      </c>
    </row>
    <row r="1129" spans="1:4" x14ac:dyDescent="0.2">
      <c r="A1129" s="5">
        <v>1068</v>
      </c>
      <c r="B1129" s="138">
        <f>'Expenditures 15-22'!K62</f>
        <v>89233</v>
      </c>
      <c r="C1129" s="2" t="s">
        <v>572</v>
      </c>
      <c r="D1129" s="2" t="str">
        <f t="shared" si="16"/>
        <v>Error?</v>
      </c>
    </row>
    <row r="1130" spans="1:4" x14ac:dyDescent="0.2">
      <c r="A1130" s="5">
        <v>1069</v>
      </c>
      <c r="B1130" s="138">
        <f>'Expenditures 15-22'!K63</f>
        <v>2354729</v>
      </c>
      <c r="C1130" s="2" t="s">
        <v>572</v>
      </c>
      <c r="D1130" s="2" t="str">
        <f t="shared" si="16"/>
        <v>Error?</v>
      </c>
    </row>
    <row r="1131" spans="1:4" x14ac:dyDescent="0.2">
      <c r="A1131" s="5">
        <v>1070</v>
      </c>
      <c r="B1131" s="138">
        <f>'Expenditures 15-22'!K64</f>
        <v>169</v>
      </c>
      <c r="C1131" s="2" t="s">
        <v>572</v>
      </c>
      <c r="D1131" s="2" t="str">
        <f t="shared" si="16"/>
        <v>Error?</v>
      </c>
    </row>
    <row r="1132" spans="1:4" x14ac:dyDescent="0.2">
      <c r="A1132" s="10">
        <v>1071</v>
      </c>
      <c r="D1132" s="2" t="str">
        <f t="shared" si="16"/>
        <v>OK</v>
      </c>
    </row>
    <row r="1133" spans="1:4" x14ac:dyDescent="0.2">
      <c r="A1133" s="5">
        <v>1072</v>
      </c>
      <c r="B1133" s="138">
        <f>'Expenditures 15-22'!K65</f>
        <v>3411891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242168</v>
      </c>
      <c r="C1136" s="2" t="s">
        <v>572</v>
      </c>
      <c r="D1136" s="2" t="str">
        <f t="shared" si="16"/>
        <v>Error?</v>
      </c>
    </row>
    <row r="1137" spans="1:4" x14ac:dyDescent="0.2">
      <c r="A1137" s="5">
        <v>1076</v>
      </c>
      <c r="B1137" s="138">
        <f>'Expenditures 15-22'!K70</f>
        <v>522737</v>
      </c>
      <c r="C1137" s="2" t="s">
        <v>572</v>
      </c>
      <c r="D1137" s="2" t="str">
        <f t="shared" si="16"/>
        <v>Error?</v>
      </c>
    </row>
    <row r="1138" spans="1:4" x14ac:dyDescent="0.2">
      <c r="A1138" s="10">
        <v>1077</v>
      </c>
      <c r="D1138" s="2" t="str">
        <f t="shared" si="16"/>
        <v>OK</v>
      </c>
    </row>
    <row r="1139" spans="1:4" x14ac:dyDescent="0.2">
      <c r="A1139" s="5">
        <v>1078</v>
      </c>
      <c r="B1139" s="138">
        <f>'Expenditures 15-22'!K71</f>
        <v>1615876</v>
      </c>
      <c r="C1139" s="2" t="s">
        <v>572</v>
      </c>
      <c r="D1139" s="2" t="str">
        <f t="shared" si="16"/>
        <v>Error?</v>
      </c>
    </row>
    <row r="1140" spans="1:4" x14ac:dyDescent="0.2">
      <c r="A1140" s="10">
        <v>1079</v>
      </c>
      <c r="D1140" s="2" t="str">
        <f t="shared" si="16"/>
        <v>OK</v>
      </c>
    </row>
    <row r="1141" spans="1:4" x14ac:dyDescent="0.2">
      <c r="A1141" s="5">
        <v>1080</v>
      </c>
      <c r="B1141" s="138">
        <f>'Expenditures 15-22'!K72</f>
        <v>2380781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20817487</v>
      </c>
      <c r="C1143" s="2" t="s">
        <v>572</v>
      </c>
      <c r="D1143" s="2" t="str">
        <f t="shared" si="16"/>
        <v>Error?</v>
      </c>
    </row>
    <row r="1144" spans="1:4" x14ac:dyDescent="0.2">
      <c r="A1144" s="5">
        <v>1083</v>
      </c>
      <c r="B1144" s="138">
        <f>'Expenditures 15-22'!K75</f>
        <v>554818</v>
      </c>
      <c r="C1144" s="2" t="s">
        <v>572</v>
      </c>
      <c r="D1144" s="2" t="str">
        <f t="shared" si="16"/>
        <v>Error?</v>
      </c>
    </row>
    <row r="1145" spans="1:4" x14ac:dyDescent="0.2">
      <c r="A1145" s="5">
        <v>1084</v>
      </c>
      <c r="B1145" s="138">
        <f>'Expenditures 15-22'!K102</f>
        <v>7274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66868560</v>
      </c>
      <c r="C1152" s="2" t="s">
        <v>572</v>
      </c>
      <c r="D1152" s="2" t="str">
        <f t="shared" si="17"/>
        <v>Error?</v>
      </c>
    </row>
    <row r="1153" spans="1:4" x14ac:dyDescent="0.2">
      <c r="A1153" s="5">
        <v>1092</v>
      </c>
      <c r="B1153" s="138">
        <f>'Expenditures 15-22'!K115</f>
        <v>2632727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2958077</v>
      </c>
      <c r="D1221" s="2" t="str">
        <f t="shared" si="18"/>
        <v>Error?</v>
      </c>
    </row>
    <row r="1222" spans="1:4" x14ac:dyDescent="0.2">
      <c r="A1222" s="10">
        <v>1161</v>
      </c>
      <c r="D1222" s="2" t="str">
        <f t="shared" si="18"/>
        <v>OK</v>
      </c>
    </row>
    <row r="1223" spans="1:4" x14ac:dyDescent="0.2">
      <c r="A1223" s="5">
        <v>1162</v>
      </c>
      <c r="B1223" s="138">
        <f>'Expenditures 15-22'!C127</f>
        <v>2958077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2958077</v>
      </c>
      <c r="C1225" s="2" t="s">
        <v>572</v>
      </c>
      <c r="D1225" s="2" t="str">
        <f t="shared" si="18"/>
        <v>Error?</v>
      </c>
    </row>
    <row r="1226" spans="1:4" x14ac:dyDescent="0.2">
      <c r="A1226" s="5">
        <v>1165</v>
      </c>
      <c r="B1226" s="138">
        <f>'Expenditures 15-22'!C151</f>
        <v>2958077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711707</v>
      </c>
      <c r="D1229" s="2" t="str">
        <f t="shared" si="18"/>
        <v>Error?</v>
      </c>
    </row>
    <row r="1230" spans="1:4" x14ac:dyDescent="0.2">
      <c r="A1230" s="10">
        <v>1169</v>
      </c>
      <c r="D1230" s="2" t="str">
        <f t="shared" si="18"/>
        <v>OK</v>
      </c>
    </row>
    <row r="1231" spans="1:4" x14ac:dyDescent="0.2">
      <c r="A1231" s="5">
        <v>1170</v>
      </c>
      <c r="B1231" s="138">
        <f>'Expenditures 15-22'!D127</f>
        <v>711707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711707</v>
      </c>
      <c r="C1233" s="2" t="s">
        <v>572</v>
      </c>
      <c r="D1233" s="2" t="str">
        <f t="shared" si="18"/>
        <v>Error?</v>
      </c>
    </row>
    <row r="1234" spans="1:4" x14ac:dyDescent="0.2">
      <c r="A1234" s="5">
        <v>1173</v>
      </c>
      <c r="B1234" s="138">
        <f>'Expenditures 15-22'!D151</f>
        <v>711707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1263107</v>
      </c>
      <c r="D1237" s="2" t="str">
        <f t="shared" si="18"/>
        <v>Error?</v>
      </c>
    </row>
    <row r="1238" spans="1:4" x14ac:dyDescent="0.2">
      <c r="A1238" s="10">
        <v>1177</v>
      </c>
      <c r="D1238" s="2" t="str">
        <f t="shared" si="18"/>
        <v>OK</v>
      </c>
    </row>
    <row r="1239" spans="1:4" x14ac:dyDescent="0.2">
      <c r="A1239" s="5">
        <v>1178</v>
      </c>
      <c r="B1239" s="138">
        <f>'Expenditures 15-22'!E127</f>
        <v>1263107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1263107</v>
      </c>
      <c r="C1241" s="2" t="s">
        <v>572</v>
      </c>
      <c r="D1241" s="2" t="str">
        <f t="shared" si="18"/>
        <v>Error?</v>
      </c>
    </row>
    <row r="1242" spans="1:4" x14ac:dyDescent="0.2">
      <c r="A1242" s="5">
        <v>1181</v>
      </c>
      <c r="B1242" s="138">
        <f>'Expenditures 15-22'!E151</f>
        <v>1263107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2054876</v>
      </c>
      <c r="D1245" s="2" t="str">
        <f t="shared" si="18"/>
        <v>Error?</v>
      </c>
    </row>
    <row r="1246" spans="1:4" x14ac:dyDescent="0.2">
      <c r="A1246" s="10">
        <v>1185</v>
      </c>
      <c r="D1246" s="2" t="str">
        <f t="shared" si="18"/>
        <v>OK</v>
      </c>
    </row>
    <row r="1247" spans="1:4" x14ac:dyDescent="0.2">
      <c r="A1247" s="5">
        <v>1186</v>
      </c>
      <c r="B1247" s="138">
        <f>'Expenditures 15-22'!F127</f>
        <v>2054876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2054876</v>
      </c>
      <c r="C1249" s="2" t="s">
        <v>572</v>
      </c>
      <c r="D1249" s="2" t="str">
        <f t="shared" si="18"/>
        <v>Error?</v>
      </c>
    </row>
    <row r="1250" spans="1:4" x14ac:dyDescent="0.2">
      <c r="A1250" s="5">
        <v>1189</v>
      </c>
      <c r="B1250" s="138">
        <f>'Expenditures 15-22'!F151</f>
        <v>2054876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103422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103422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103422</v>
      </c>
      <c r="C1258" s="2" t="s">
        <v>572</v>
      </c>
      <c r="D1258" s="2" t="str">
        <f t="shared" si="18"/>
        <v>Error?</v>
      </c>
    </row>
    <row r="1259" spans="1:4" x14ac:dyDescent="0.2">
      <c r="A1259" s="5">
        <v>1198</v>
      </c>
      <c r="B1259" s="138">
        <f>'Expenditures 15-22'!G151</f>
        <v>103422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1977</v>
      </c>
      <c r="D1262" s="2" t="str">
        <f t="shared" si="18"/>
        <v>Error?</v>
      </c>
    </row>
    <row r="1263" spans="1:4" x14ac:dyDescent="0.2">
      <c r="A1263" s="10">
        <v>1202</v>
      </c>
      <c r="D1263" s="2" t="str">
        <f t="shared" si="18"/>
        <v>OK</v>
      </c>
    </row>
    <row r="1264" spans="1:4" x14ac:dyDescent="0.2">
      <c r="A1264" s="5">
        <v>1203</v>
      </c>
      <c r="B1264" s="138">
        <f>'Expenditures 15-22'!H127</f>
        <v>1977</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1977</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1977</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7093940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7093940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7093940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7093940</v>
      </c>
      <c r="C1288" s="2" t="s">
        <v>572</v>
      </c>
      <c r="D1288" s="2" t="str">
        <f t="shared" si="19"/>
        <v>Error?</v>
      </c>
    </row>
    <row r="1289" spans="1:4" x14ac:dyDescent="0.2">
      <c r="A1289" s="5">
        <v>1228</v>
      </c>
      <c r="B1289" s="138">
        <f>'Expenditures 15-22'!K152</f>
        <v>120427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3443985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6110000</v>
      </c>
      <c r="D1315" s="2" t="str">
        <f t="shared" si="19"/>
        <v>Error?</v>
      </c>
    </row>
    <row r="1316" spans="1:4" x14ac:dyDescent="0.2">
      <c r="A1316" s="5">
        <v>1255</v>
      </c>
      <c r="B1316" s="138">
        <f>'Expenditures 15-22'!H171</f>
        <v>228689</v>
      </c>
      <c r="D1316" s="2" t="str">
        <f t="shared" si="19"/>
        <v>Error?</v>
      </c>
    </row>
    <row r="1317" spans="1:4" x14ac:dyDescent="0.2">
      <c r="A1317" s="5">
        <v>1256</v>
      </c>
      <c r="B1317" s="138">
        <f>'Expenditures 15-22'!H172</f>
        <v>9782674</v>
      </c>
      <c r="C1317" s="2" t="s">
        <v>572</v>
      </c>
      <c r="D1317" s="2" t="str">
        <f t="shared" si="19"/>
        <v>Error?</v>
      </c>
    </row>
    <row r="1318" spans="1:4" x14ac:dyDescent="0.2">
      <c r="A1318" s="5">
        <v>1257</v>
      </c>
      <c r="B1318" s="138">
        <f>'Expenditures 15-22'!H174</f>
        <v>9782674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3443985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6110000</v>
      </c>
      <c r="C1329" s="2" t="s">
        <v>572</v>
      </c>
      <c r="D1329" s="2" t="str">
        <f t="shared" si="19"/>
        <v>Error?</v>
      </c>
    </row>
    <row r="1330" spans="1:4" x14ac:dyDescent="0.2">
      <c r="A1330" s="5">
        <v>1269</v>
      </c>
      <c r="B1330" s="138">
        <f>'Expenditures 15-22'!K171</f>
        <v>228689</v>
      </c>
      <c r="C1330" s="2" t="s">
        <v>572</v>
      </c>
      <c r="D1330" s="2" t="str">
        <f t="shared" si="19"/>
        <v>Error?</v>
      </c>
    </row>
    <row r="1331" spans="1:4" x14ac:dyDescent="0.2">
      <c r="A1331" s="5">
        <v>1270</v>
      </c>
      <c r="B1331" s="138">
        <f>'Expenditures 15-22'!K172</f>
        <v>9782674</v>
      </c>
      <c r="C1331" s="2" t="s">
        <v>572</v>
      </c>
      <c r="D1331" s="2" t="str">
        <f t="shared" si="19"/>
        <v>Error?</v>
      </c>
    </row>
    <row r="1332" spans="1:4" x14ac:dyDescent="0.2">
      <c r="A1332" s="5">
        <v>1271</v>
      </c>
      <c r="B1332" s="138">
        <f>'Expenditures 15-22'!K174</f>
        <v>9782674</v>
      </c>
      <c r="C1332" s="2" t="s">
        <v>572</v>
      </c>
      <c r="D1332" s="2" t="str">
        <f t="shared" si="19"/>
        <v>Error?</v>
      </c>
    </row>
    <row r="1333" spans="1:4" x14ac:dyDescent="0.2">
      <c r="A1333" s="5">
        <v>1272</v>
      </c>
      <c r="B1333" s="138">
        <f>'Expenditures 15-22'!K175</f>
        <v>-2187431</v>
      </c>
      <c r="C1333" s="2" t="s">
        <v>572</v>
      </c>
      <c r="D1333" s="2" t="str">
        <f t="shared" si="19"/>
        <v>Error?</v>
      </c>
    </row>
    <row r="1334" spans="1:4" x14ac:dyDescent="0.2">
      <c r="A1334" s="10">
        <v>1273</v>
      </c>
      <c r="D1334" s="2" t="str">
        <f t="shared" si="19"/>
        <v>OK</v>
      </c>
    </row>
    <row r="1335" spans="1:4" x14ac:dyDescent="0.2">
      <c r="A1335" s="5">
        <v>1274</v>
      </c>
      <c r="B1335" s="138">
        <f>'Expenditures 15-22'!C182</f>
        <v>2984326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2984326</v>
      </c>
      <c r="C1339" s="2" t="s">
        <v>572</v>
      </c>
      <c r="D1339" s="2" t="str">
        <f t="shared" si="19"/>
        <v>Error?</v>
      </c>
    </row>
    <row r="1340" spans="1:4" x14ac:dyDescent="0.2">
      <c r="A1340" s="5">
        <v>1279</v>
      </c>
      <c r="B1340" s="138">
        <f>'Expenditures 15-22'!C210</f>
        <v>2984326</v>
      </c>
      <c r="C1340" s="2" t="s">
        <v>572</v>
      </c>
      <c r="D1340" s="2" t="str">
        <f t="shared" si="19"/>
        <v>Error?</v>
      </c>
    </row>
    <row r="1341" spans="1:4" x14ac:dyDescent="0.2">
      <c r="A1341" s="5">
        <v>1280</v>
      </c>
      <c r="B1341" s="138">
        <f>'Expenditures 15-22'!D182</f>
        <v>388501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388501</v>
      </c>
      <c r="C1345" s="2" t="s">
        <v>572</v>
      </c>
      <c r="D1345" s="2" t="str">
        <f t="shared" si="20"/>
        <v>Error?</v>
      </c>
    </row>
    <row r="1346" spans="1:4" x14ac:dyDescent="0.2">
      <c r="A1346" s="5">
        <v>1285</v>
      </c>
      <c r="B1346" s="138">
        <f>'Expenditures 15-22'!D210</f>
        <v>388501</v>
      </c>
      <c r="C1346" s="2" t="s">
        <v>572</v>
      </c>
      <c r="D1346" s="2" t="str">
        <f t="shared" si="20"/>
        <v>Error?</v>
      </c>
    </row>
    <row r="1347" spans="1:4" x14ac:dyDescent="0.2">
      <c r="A1347" s="5">
        <v>1286</v>
      </c>
      <c r="B1347" s="138">
        <f>'Expenditures 15-22'!E182</f>
        <v>604824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604824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604824</v>
      </c>
      <c r="C1353" s="2" t="s">
        <v>572</v>
      </c>
      <c r="D1353" s="2" t="str">
        <f t="shared" si="20"/>
        <v>Error?</v>
      </c>
    </row>
    <row r="1354" spans="1:4" x14ac:dyDescent="0.2">
      <c r="A1354" s="5">
        <v>1293</v>
      </c>
      <c r="B1354" s="138">
        <f>'Expenditures 15-22'!F182</f>
        <v>773318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773318</v>
      </c>
      <c r="C1358" s="2" t="s">
        <v>572</v>
      </c>
      <c r="D1358" s="2" t="str">
        <f t="shared" si="20"/>
        <v>Error?</v>
      </c>
    </row>
    <row r="1359" spans="1:4" x14ac:dyDescent="0.2">
      <c r="A1359" s="5">
        <v>1298</v>
      </c>
      <c r="B1359" s="138">
        <f>'Expenditures 15-22'!F210</f>
        <v>773318</v>
      </c>
      <c r="C1359" s="2" t="s">
        <v>572</v>
      </c>
      <c r="D1359" s="2" t="str">
        <f t="shared" si="20"/>
        <v>Error?</v>
      </c>
    </row>
    <row r="1360" spans="1:4" x14ac:dyDescent="0.2">
      <c r="A1360" s="5">
        <v>1299</v>
      </c>
      <c r="B1360" s="138">
        <f>'Expenditures 15-22'!G182</f>
        <v>508722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508722</v>
      </c>
      <c r="C1364" s="2" t="s">
        <v>572</v>
      </c>
      <c r="D1364" s="2" t="str">
        <f t="shared" si="20"/>
        <v>Error?</v>
      </c>
    </row>
    <row r="1365" spans="1:4" x14ac:dyDescent="0.2">
      <c r="A1365" s="5">
        <v>1304</v>
      </c>
      <c r="B1365" s="138">
        <f>'Expenditures 15-22'!G210</f>
        <v>508722</v>
      </c>
      <c r="C1365" s="2" t="s">
        <v>572</v>
      </c>
      <c r="D1365" s="2" t="str">
        <f t="shared" si="20"/>
        <v>Error?</v>
      </c>
    </row>
    <row r="1366" spans="1:4" x14ac:dyDescent="0.2">
      <c r="A1366" s="5">
        <v>1305</v>
      </c>
      <c r="B1366" s="138">
        <f>'Expenditures 15-22'!H182</f>
        <v>1645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1645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1645</v>
      </c>
      <c r="C1376" s="2" t="s">
        <v>572</v>
      </c>
      <c r="D1376" s="2" t="str">
        <f t="shared" si="20"/>
        <v>Error?</v>
      </c>
    </row>
    <row r="1377" spans="1:4" x14ac:dyDescent="0.2">
      <c r="A1377" s="5">
        <v>1316</v>
      </c>
      <c r="B1377" s="138">
        <f>'Expenditures 15-22'!K182</f>
        <v>5261336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5261336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5261336</v>
      </c>
      <c r="C1388" s="2" t="s">
        <v>572</v>
      </c>
      <c r="D1388" s="2" t="str">
        <f t="shared" si="20"/>
        <v>Error?</v>
      </c>
    </row>
    <row r="1389" spans="1:4" x14ac:dyDescent="0.2">
      <c r="A1389" s="5">
        <v>1328</v>
      </c>
      <c r="B1389" s="138">
        <f>'Expenditures 15-22'!K211</f>
        <v>-212263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2741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86503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30969</v>
      </c>
      <c r="D1407" s="2" t="str">
        <f t="shared" ref="D1407:D1470" si="21">IF(ISBLANK(B1407),"OK",IF(A1407-B1407=0,"OK","Error?"))</f>
        <v>Error?</v>
      </c>
    </row>
    <row r="1408" spans="1:4" x14ac:dyDescent="0.2">
      <c r="A1408" s="5">
        <v>1347</v>
      </c>
      <c r="B1408" s="138">
        <f>'Expenditures 15-22'!D223</f>
        <v>67203</v>
      </c>
      <c r="D1408" s="2" t="str">
        <f t="shared" si="21"/>
        <v>Error?</v>
      </c>
    </row>
    <row r="1409" spans="1:4" x14ac:dyDescent="0.2">
      <c r="A1409" s="5">
        <v>1348</v>
      </c>
      <c r="B1409" s="138">
        <f>'Expenditures 15-22'!D224</f>
        <v>20955</v>
      </c>
      <c r="D1409" s="2" t="str">
        <f t="shared" si="21"/>
        <v>Error?</v>
      </c>
    </row>
    <row r="1410" spans="1:4" x14ac:dyDescent="0.2">
      <c r="A1410" s="5">
        <v>1349</v>
      </c>
      <c r="B1410" s="138">
        <f>'Expenditures 15-22'!D229</f>
        <v>794699</v>
      </c>
      <c r="C1410" s="2" t="s">
        <v>572</v>
      </c>
      <c r="D1410" s="2" t="str">
        <f t="shared" si="21"/>
        <v>Error?</v>
      </c>
    </row>
    <row r="1411" spans="1:4" x14ac:dyDescent="0.2">
      <c r="A1411" s="5">
        <v>1350</v>
      </c>
      <c r="B1411" s="138">
        <f>'Expenditures 15-22'!D232</f>
        <v>39070</v>
      </c>
      <c r="D1411" s="2" t="str">
        <f t="shared" si="21"/>
        <v>Error?</v>
      </c>
    </row>
    <row r="1412" spans="1:4" x14ac:dyDescent="0.2">
      <c r="A1412" s="5">
        <v>1351</v>
      </c>
      <c r="B1412" s="138">
        <f>'Expenditures 15-22'!D233</f>
        <v>19807</v>
      </c>
      <c r="D1412" s="2" t="str">
        <f t="shared" si="21"/>
        <v>Error?</v>
      </c>
    </row>
    <row r="1413" spans="1:4" x14ac:dyDescent="0.2">
      <c r="A1413" s="5">
        <v>1352</v>
      </c>
      <c r="B1413" s="138">
        <f>'Expenditures 15-22'!D234</f>
        <v>220603</v>
      </c>
      <c r="D1413" s="2" t="str">
        <f t="shared" si="21"/>
        <v>Error?</v>
      </c>
    </row>
    <row r="1414" spans="1:4" x14ac:dyDescent="0.2">
      <c r="A1414" s="5">
        <v>1353</v>
      </c>
      <c r="B1414" s="138">
        <f>'Expenditures 15-22'!D235</f>
        <v>7355</v>
      </c>
      <c r="D1414" s="2" t="str">
        <f t="shared" si="21"/>
        <v>Error?</v>
      </c>
    </row>
    <row r="1415" spans="1:4" x14ac:dyDescent="0.2">
      <c r="A1415" s="5">
        <v>1354</v>
      </c>
      <c r="B1415" s="138">
        <f>'Expenditures 15-22'!D236</f>
        <v>15966</v>
      </c>
      <c r="D1415" s="2" t="str">
        <f t="shared" si="21"/>
        <v>Error?</v>
      </c>
    </row>
    <row r="1416" spans="1:4" x14ac:dyDescent="0.2">
      <c r="A1416" s="5">
        <v>1355</v>
      </c>
      <c r="B1416" s="138">
        <f>'Expenditures 15-22'!D237</f>
        <v>8651</v>
      </c>
      <c r="D1416" s="2" t="str">
        <f t="shared" si="21"/>
        <v>Error?</v>
      </c>
    </row>
    <row r="1417" spans="1:4" x14ac:dyDescent="0.2">
      <c r="A1417" s="5">
        <v>1356</v>
      </c>
      <c r="B1417" s="138">
        <f>'Expenditures 15-22'!D238</f>
        <v>311452</v>
      </c>
      <c r="C1417" s="2" t="s">
        <v>572</v>
      </c>
      <c r="D1417" s="2" t="str">
        <f t="shared" si="21"/>
        <v>Error?</v>
      </c>
    </row>
    <row r="1418" spans="1:4" x14ac:dyDescent="0.2">
      <c r="A1418" s="5">
        <v>1357</v>
      </c>
      <c r="B1418" s="138">
        <f>'Expenditures 15-22'!D240</f>
        <v>33134</v>
      </c>
      <c r="D1418" s="2" t="str">
        <f t="shared" si="21"/>
        <v>Error?</v>
      </c>
    </row>
    <row r="1419" spans="1:4" x14ac:dyDescent="0.2">
      <c r="A1419" s="5">
        <v>1358</v>
      </c>
      <c r="B1419" s="138">
        <f>'Expenditures 15-22'!D241</f>
        <v>24443</v>
      </c>
      <c r="D1419" s="2" t="str">
        <f t="shared" si="21"/>
        <v>Error?</v>
      </c>
    </row>
    <row r="1420" spans="1:4" x14ac:dyDescent="0.2">
      <c r="A1420" s="5">
        <v>1359</v>
      </c>
      <c r="B1420" s="138">
        <f>'Expenditures 15-22'!D242</f>
        <v>9168</v>
      </c>
      <c r="D1420" s="2" t="str">
        <f t="shared" si="21"/>
        <v>Error?</v>
      </c>
    </row>
    <row r="1421" spans="1:4" x14ac:dyDescent="0.2">
      <c r="A1421" s="5">
        <v>1360</v>
      </c>
      <c r="B1421" s="138">
        <f>'Expenditures 15-22'!D243</f>
        <v>66745</v>
      </c>
      <c r="C1421" s="2" t="s">
        <v>572</v>
      </c>
      <c r="D1421" s="2" t="str">
        <f t="shared" si="21"/>
        <v>Error?</v>
      </c>
    </row>
    <row r="1422" spans="1:4" x14ac:dyDescent="0.2">
      <c r="A1422" s="5">
        <v>1361</v>
      </c>
      <c r="B1422" s="138">
        <f>'Expenditures 15-22'!D245</f>
        <v>11680</v>
      </c>
      <c r="D1422" s="2" t="str">
        <f t="shared" si="21"/>
        <v>Error?</v>
      </c>
    </row>
    <row r="1423" spans="1:4" x14ac:dyDescent="0.2">
      <c r="A1423" s="5">
        <v>1362</v>
      </c>
      <c r="B1423" s="138">
        <f>'Expenditures 15-22'!D246</f>
        <v>13982</v>
      </c>
      <c r="D1423" s="2" t="str">
        <f t="shared" si="21"/>
        <v>Error?</v>
      </c>
    </row>
    <row r="1424" spans="1:4" x14ac:dyDescent="0.2">
      <c r="A1424" s="5">
        <v>1363</v>
      </c>
      <c r="B1424" s="138">
        <f>'Expenditures 15-22'!D257</f>
        <v>25662</v>
      </c>
      <c r="C1424" s="2" t="s">
        <v>572</v>
      </c>
      <c r="D1424" s="2" t="str">
        <f t="shared" si="21"/>
        <v>Error?</v>
      </c>
    </row>
    <row r="1425" spans="1:4" x14ac:dyDescent="0.2">
      <c r="A1425" s="5">
        <v>1364</v>
      </c>
      <c r="B1425" s="138">
        <f>'Expenditures 15-22'!D259</f>
        <v>211453</v>
      </c>
      <c r="D1425" s="2" t="str">
        <f t="shared" si="21"/>
        <v>Error?</v>
      </c>
    </row>
    <row r="1426" spans="1:4" x14ac:dyDescent="0.2">
      <c r="A1426" s="5">
        <v>1365</v>
      </c>
      <c r="B1426" s="138">
        <f>'Expenditures 15-22'!D260</f>
        <v>18869</v>
      </c>
      <c r="D1426" s="2" t="str">
        <f t="shared" si="21"/>
        <v>Error?</v>
      </c>
    </row>
    <row r="1427" spans="1:4" x14ac:dyDescent="0.2">
      <c r="A1427" s="5">
        <v>1366</v>
      </c>
      <c r="B1427" s="138">
        <f>'Expenditures 15-22'!D261</f>
        <v>230322</v>
      </c>
      <c r="C1427" s="2" t="s">
        <v>572</v>
      </c>
      <c r="D1427" s="2" t="str">
        <f t="shared" si="21"/>
        <v>Error?</v>
      </c>
    </row>
    <row r="1428" spans="1:4" x14ac:dyDescent="0.2">
      <c r="A1428" s="5">
        <v>1367</v>
      </c>
      <c r="B1428" s="138">
        <f>'Expenditures 15-22'!D263</f>
        <v>2333</v>
      </c>
      <c r="D1428" s="2" t="str">
        <f t="shared" si="21"/>
        <v>Error?</v>
      </c>
    </row>
    <row r="1429" spans="1:4" x14ac:dyDescent="0.2">
      <c r="A1429" s="5">
        <v>1368</v>
      </c>
      <c r="B1429" s="138">
        <f>'Expenditures 15-22'!D264</f>
        <v>62442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527995</v>
      </c>
      <c r="D1431" s="2" t="str">
        <f t="shared" si="21"/>
        <v>Error?</v>
      </c>
    </row>
    <row r="1432" spans="1:4" x14ac:dyDescent="0.2">
      <c r="A1432" s="5">
        <v>1371</v>
      </c>
      <c r="B1432" s="138">
        <f>'Expenditures 15-22'!D267</f>
        <v>520247</v>
      </c>
      <c r="D1432" s="2" t="str">
        <f t="shared" si="21"/>
        <v>Error?</v>
      </c>
    </row>
    <row r="1433" spans="1:4" x14ac:dyDescent="0.2">
      <c r="A1433" s="5">
        <v>1372</v>
      </c>
      <c r="B1433" s="138">
        <f>'Expenditures 15-22'!D268</f>
        <v>191227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1304244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35756</v>
      </c>
      <c r="D1439" s="2" t="str">
        <f t="shared" si="21"/>
        <v>Error?</v>
      </c>
    </row>
    <row r="1440" spans="1:4" x14ac:dyDescent="0.2">
      <c r="A1440" s="5">
        <v>1379</v>
      </c>
      <c r="B1440" s="138">
        <f>'Expenditures 15-22'!D275</f>
        <v>39058</v>
      </c>
      <c r="D1440" s="2" t="str">
        <f t="shared" si="21"/>
        <v>Error?</v>
      </c>
    </row>
    <row r="1441" spans="1:4" x14ac:dyDescent="0.2">
      <c r="A1441" s="10">
        <v>1380</v>
      </c>
      <c r="D1441" s="2" t="str">
        <f t="shared" si="21"/>
        <v>OK</v>
      </c>
    </row>
    <row r="1442" spans="1:4" x14ac:dyDescent="0.2">
      <c r="A1442" s="5">
        <v>1381</v>
      </c>
      <c r="B1442" s="138">
        <f>'Expenditures 15-22'!D276</f>
        <v>101087</v>
      </c>
      <c r="D1442" s="2" t="str">
        <f t="shared" si="21"/>
        <v>Error?</v>
      </c>
    </row>
    <row r="1443" spans="1:4" x14ac:dyDescent="0.2">
      <c r="A1443" s="10">
        <v>1382</v>
      </c>
      <c r="D1443" s="2" t="str">
        <f t="shared" si="21"/>
        <v>OK</v>
      </c>
    </row>
    <row r="1444" spans="1:4" x14ac:dyDescent="0.2">
      <c r="A1444" s="5">
        <v>1383</v>
      </c>
      <c r="B1444" s="138">
        <f>'Expenditures 15-22'!D277</f>
        <v>175901</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2114326</v>
      </c>
      <c r="C1446" s="2" t="s">
        <v>572</v>
      </c>
      <c r="D1446" s="2" t="str">
        <f t="shared" si="21"/>
        <v>Error?</v>
      </c>
    </row>
    <row r="1447" spans="1:4" x14ac:dyDescent="0.2">
      <c r="A1447" s="5">
        <v>1386</v>
      </c>
      <c r="B1447" s="138">
        <f>'Expenditures 15-22'!D280</f>
        <v>52</v>
      </c>
      <c r="D1447" s="2" t="str">
        <f t="shared" si="21"/>
        <v>Error?</v>
      </c>
    </row>
    <row r="1448" spans="1:4" x14ac:dyDescent="0.2">
      <c r="A1448" s="5">
        <v>1387</v>
      </c>
      <c r="B1448" s="138">
        <f>'Expenditures 15-22'!D295</f>
        <v>2909077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2741</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86503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30969</v>
      </c>
      <c r="C1471" s="2" t="s">
        <v>572</v>
      </c>
      <c r="D1471" s="2" t="str">
        <f t="shared" ref="D1471:D1534" si="22">IF(ISBLANK(B1471),"OK",IF(A1471-B1471=0,"OK","Error?"))</f>
        <v>Error?</v>
      </c>
    </row>
    <row r="1472" spans="1:4" x14ac:dyDescent="0.2">
      <c r="A1472" s="5">
        <v>1411</v>
      </c>
      <c r="B1472" s="138">
        <f>'Expenditures 15-22'!K223</f>
        <v>67203</v>
      </c>
      <c r="C1472" s="2" t="s">
        <v>572</v>
      </c>
      <c r="D1472" s="2" t="str">
        <f t="shared" si="22"/>
        <v>Error?</v>
      </c>
    </row>
    <row r="1473" spans="1:4" x14ac:dyDescent="0.2">
      <c r="A1473" s="5">
        <v>1412</v>
      </c>
      <c r="B1473" s="138">
        <f>'Expenditures 15-22'!K224</f>
        <v>20955</v>
      </c>
      <c r="C1473" s="2" t="s">
        <v>572</v>
      </c>
      <c r="D1473" s="2" t="str">
        <f t="shared" si="22"/>
        <v>Error?</v>
      </c>
    </row>
    <row r="1474" spans="1:4" x14ac:dyDescent="0.2">
      <c r="A1474" s="5">
        <v>1413</v>
      </c>
      <c r="B1474" s="138">
        <f>'Expenditures 15-22'!K229</f>
        <v>794699</v>
      </c>
      <c r="C1474" s="2" t="s">
        <v>572</v>
      </c>
      <c r="D1474" s="2" t="str">
        <f t="shared" si="22"/>
        <v>Error?</v>
      </c>
    </row>
    <row r="1475" spans="1:4" x14ac:dyDescent="0.2">
      <c r="A1475" s="5">
        <v>1414</v>
      </c>
      <c r="B1475" s="138">
        <f>'Expenditures 15-22'!K232</f>
        <v>39070</v>
      </c>
      <c r="C1475" s="2" t="s">
        <v>572</v>
      </c>
      <c r="D1475" s="2" t="str">
        <f t="shared" si="22"/>
        <v>Error?</v>
      </c>
    </row>
    <row r="1476" spans="1:4" x14ac:dyDescent="0.2">
      <c r="A1476" s="5">
        <v>1415</v>
      </c>
      <c r="B1476" s="138">
        <f>'Expenditures 15-22'!K233</f>
        <v>19807</v>
      </c>
      <c r="C1476" s="2" t="s">
        <v>572</v>
      </c>
      <c r="D1476" s="2" t="str">
        <f t="shared" si="22"/>
        <v>Error?</v>
      </c>
    </row>
    <row r="1477" spans="1:4" x14ac:dyDescent="0.2">
      <c r="A1477" s="5">
        <v>1416</v>
      </c>
      <c r="B1477" s="138">
        <f>'Expenditures 15-22'!K234</f>
        <v>220603</v>
      </c>
      <c r="C1477" s="2" t="s">
        <v>572</v>
      </c>
      <c r="D1477" s="2" t="str">
        <f t="shared" si="22"/>
        <v>Error?</v>
      </c>
    </row>
    <row r="1478" spans="1:4" x14ac:dyDescent="0.2">
      <c r="A1478" s="5">
        <v>1417</v>
      </c>
      <c r="B1478" s="138">
        <f>'Expenditures 15-22'!K235</f>
        <v>7355</v>
      </c>
      <c r="C1478" s="2" t="s">
        <v>572</v>
      </c>
      <c r="D1478" s="2" t="str">
        <f t="shared" si="22"/>
        <v>Error?</v>
      </c>
    </row>
    <row r="1479" spans="1:4" x14ac:dyDescent="0.2">
      <c r="A1479" s="5">
        <v>1418</v>
      </c>
      <c r="B1479" s="138">
        <f>'Expenditures 15-22'!K236</f>
        <v>15966</v>
      </c>
      <c r="C1479" s="2" t="s">
        <v>572</v>
      </c>
      <c r="D1479" s="2" t="str">
        <f t="shared" si="22"/>
        <v>Error?</v>
      </c>
    </row>
    <row r="1480" spans="1:4" x14ac:dyDescent="0.2">
      <c r="A1480" s="5">
        <v>1419</v>
      </c>
      <c r="B1480" s="138">
        <f>'Expenditures 15-22'!K237</f>
        <v>8651</v>
      </c>
      <c r="C1480" s="2" t="s">
        <v>572</v>
      </c>
      <c r="D1480" s="2" t="str">
        <f t="shared" si="22"/>
        <v>Error?</v>
      </c>
    </row>
    <row r="1481" spans="1:4" x14ac:dyDescent="0.2">
      <c r="A1481" s="5">
        <v>1420</v>
      </c>
      <c r="B1481" s="138">
        <f>'Expenditures 15-22'!K238</f>
        <v>311452</v>
      </c>
      <c r="C1481" s="2" t="s">
        <v>572</v>
      </c>
      <c r="D1481" s="2" t="str">
        <f t="shared" si="22"/>
        <v>Error?</v>
      </c>
    </row>
    <row r="1482" spans="1:4" x14ac:dyDescent="0.2">
      <c r="A1482" s="5">
        <v>1421</v>
      </c>
      <c r="B1482" s="138">
        <f>'Expenditures 15-22'!K240</f>
        <v>33134</v>
      </c>
      <c r="C1482" s="2" t="s">
        <v>572</v>
      </c>
      <c r="D1482" s="2" t="str">
        <f t="shared" si="22"/>
        <v>Error?</v>
      </c>
    </row>
    <row r="1483" spans="1:4" x14ac:dyDescent="0.2">
      <c r="A1483" s="5">
        <v>1422</v>
      </c>
      <c r="B1483" s="138">
        <f>'Expenditures 15-22'!K241</f>
        <v>24443</v>
      </c>
      <c r="C1483" s="2" t="s">
        <v>572</v>
      </c>
      <c r="D1483" s="2" t="str">
        <f t="shared" si="22"/>
        <v>Error?</v>
      </c>
    </row>
    <row r="1484" spans="1:4" x14ac:dyDescent="0.2">
      <c r="A1484" s="5">
        <v>1423</v>
      </c>
      <c r="B1484" s="138">
        <f>'Expenditures 15-22'!K242</f>
        <v>9168</v>
      </c>
      <c r="C1484" s="2" t="s">
        <v>572</v>
      </c>
      <c r="D1484" s="2" t="str">
        <f t="shared" si="22"/>
        <v>Error?</v>
      </c>
    </row>
    <row r="1485" spans="1:4" x14ac:dyDescent="0.2">
      <c r="A1485" s="5">
        <v>1424</v>
      </c>
      <c r="B1485" s="138">
        <f>'Expenditures 15-22'!K243</f>
        <v>66745</v>
      </c>
      <c r="C1485" s="2" t="s">
        <v>572</v>
      </c>
      <c r="D1485" s="2" t="str">
        <f t="shared" si="22"/>
        <v>Error?</v>
      </c>
    </row>
    <row r="1486" spans="1:4" x14ac:dyDescent="0.2">
      <c r="A1486" s="5">
        <v>1425</v>
      </c>
      <c r="B1486" s="138">
        <f>'Expenditures 15-22'!K245</f>
        <v>11680</v>
      </c>
      <c r="C1486" s="2" t="s">
        <v>572</v>
      </c>
      <c r="D1486" s="2" t="str">
        <f t="shared" si="22"/>
        <v>Error?</v>
      </c>
    </row>
    <row r="1487" spans="1:4" x14ac:dyDescent="0.2">
      <c r="A1487" s="5">
        <v>1426</v>
      </c>
      <c r="B1487" s="138">
        <f>'Expenditures 15-22'!K246</f>
        <v>13982</v>
      </c>
      <c r="C1487" s="2" t="s">
        <v>572</v>
      </c>
      <c r="D1487" s="2" t="str">
        <f t="shared" si="22"/>
        <v>Error?</v>
      </c>
    </row>
    <row r="1488" spans="1:4" x14ac:dyDescent="0.2">
      <c r="A1488" s="5">
        <v>1427</v>
      </c>
      <c r="B1488" s="138">
        <f>'Expenditures 15-22'!K257</f>
        <v>25662</v>
      </c>
      <c r="C1488" s="2" t="s">
        <v>572</v>
      </c>
      <c r="D1488" s="2" t="str">
        <f t="shared" si="22"/>
        <v>Error?</v>
      </c>
    </row>
    <row r="1489" spans="1:4" x14ac:dyDescent="0.2">
      <c r="A1489" s="5">
        <v>1428</v>
      </c>
      <c r="B1489" s="138">
        <f>'Expenditures 15-22'!K259</f>
        <v>211453</v>
      </c>
      <c r="C1489" s="2" t="s">
        <v>572</v>
      </c>
      <c r="D1489" s="2" t="str">
        <f t="shared" si="22"/>
        <v>Error?</v>
      </c>
    </row>
    <row r="1490" spans="1:4" x14ac:dyDescent="0.2">
      <c r="A1490" s="5">
        <v>1429</v>
      </c>
      <c r="B1490" s="138">
        <f>'Expenditures 15-22'!K260</f>
        <v>18869</v>
      </c>
      <c r="C1490" s="2" t="s">
        <v>572</v>
      </c>
      <c r="D1490" s="2" t="str">
        <f t="shared" si="22"/>
        <v>Error?</v>
      </c>
    </row>
    <row r="1491" spans="1:4" x14ac:dyDescent="0.2">
      <c r="A1491" s="5">
        <v>1430</v>
      </c>
      <c r="B1491" s="138">
        <f>'Expenditures 15-22'!K261</f>
        <v>230322</v>
      </c>
      <c r="C1491" s="2" t="s">
        <v>572</v>
      </c>
      <c r="D1491" s="2" t="str">
        <f t="shared" si="22"/>
        <v>Error?</v>
      </c>
    </row>
    <row r="1492" spans="1:4" x14ac:dyDescent="0.2">
      <c r="A1492" s="5">
        <v>1431</v>
      </c>
      <c r="B1492" s="138">
        <f>'Expenditures 15-22'!K263</f>
        <v>2333</v>
      </c>
      <c r="C1492" s="2" t="s">
        <v>572</v>
      </c>
      <c r="D1492" s="2" t="str">
        <f t="shared" si="22"/>
        <v>Error?</v>
      </c>
    </row>
    <row r="1493" spans="1:4" x14ac:dyDescent="0.2">
      <c r="A1493" s="5">
        <v>1432</v>
      </c>
      <c r="B1493" s="138">
        <f>'Expenditures 15-22'!K264</f>
        <v>62442</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527995</v>
      </c>
      <c r="C1495" s="2" t="s">
        <v>572</v>
      </c>
      <c r="D1495" s="2" t="str">
        <f t="shared" si="22"/>
        <v>Error?</v>
      </c>
    </row>
    <row r="1496" spans="1:4" x14ac:dyDescent="0.2">
      <c r="A1496" s="5">
        <v>1435</v>
      </c>
      <c r="B1496" s="138">
        <f>'Expenditures 15-22'!K267</f>
        <v>520247</v>
      </c>
      <c r="C1496" s="2" t="s">
        <v>572</v>
      </c>
      <c r="D1496" s="2" t="str">
        <f t="shared" si="22"/>
        <v>Error?</v>
      </c>
    </row>
    <row r="1497" spans="1:4" x14ac:dyDescent="0.2">
      <c r="A1497" s="5">
        <v>1436</v>
      </c>
      <c r="B1497" s="138">
        <f>'Expenditures 15-22'!K268</f>
        <v>191227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1304244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35756</v>
      </c>
      <c r="C1503" s="2" t="s">
        <v>572</v>
      </c>
      <c r="D1503" s="2" t="str">
        <f t="shared" si="22"/>
        <v>Error?</v>
      </c>
    </row>
    <row r="1504" spans="1:4" x14ac:dyDescent="0.2">
      <c r="A1504" s="5">
        <v>1443</v>
      </c>
      <c r="B1504" s="138">
        <f>'Expenditures 15-22'!K275</f>
        <v>39058</v>
      </c>
      <c r="C1504" s="2" t="s">
        <v>572</v>
      </c>
      <c r="D1504" s="2" t="str">
        <f t="shared" si="22"/>
        <v>Error?</v>
      </c>
    </row>
    <row r="1505" spans="1:4" x14ac:dyDescent="0.2">
      <c r="A1505" s="10">
        <v>1444</v>
      </c>
      <c r="D1505" s="2" t="str">
        <f t="shared" si="22"/>
        <v>OK</v>
      </c>
    </row>
    <row r="1506" spans="1:4" x14ac:dyDescent="0.2">
      <c r="A1506" s="5">
        <v>1445</v>
      </c>
      <c r="B1506" s="138">
        <f>'Expenditures 15-22'!K276</f>
        <v>101087</v>
      </c>
      <c r="C1506" s="2" t="s">
        <v>572</v>
      </c>
      <c r="D1506" s="2" t="str">
        <f t="shared" si="22"/>
        <v>Error?</v>
      </c>
    </row>
    <row r="1507" spans="1:4" x14ac:dyDescent="0.2">
      <c r="A1507" s="10">
        <v>1446</v>
      </c>
      <c r="D1507" s="2" t="str">
        <f t="shared" si="22"/>
        <v>OK</v>
      </c>
    </row>
    <row r="1508" spans="1:4" x14ac:dyDescent="0.2">
      <c r="A1508" s="5">
        <v>1447</v>
      </c>
      <c r="B1508" s="138">
        <f>'Expenditures 15-22'!K277</f>
        <v>175901</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2114326</v>
      </c>
      <c r="C1510" s="2" t="s">
        <v>572</v>
      </c>
      <c r="D1510" s="2" t="str">
        <f t="shared" si="22"/>
        <v>Error?</v>
      </c>
    </row>
    <row r="1511" spans="1:4" x14ac:dyDescent="0.2">
      <c r="A1511" s="5">
        <v>1450</v>
      </c>
      <c r="B1511" s="138">
        <f>'Expenditures 15-22'!K280</f>
        <v>52</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2909077</v>
      </c>
      <c r="C1517" s="2" t="s">
        <v>572</v>
      </c>
      <c r="D1517" s="2" t="str">
        <f t="shared" si="22"/>
        <v>Error?</v>
      </c>
    </row>
    <row r="1518" spans="1:4" x14ac:dyDescent="0.2">
      <c r="A1518" s="5">
        <v>1457</v>
      </c>
      <c r="B1518" s="138">
        <f>'Expenditures 15-22'!K296</f>
        <v>148316</v>
      </c>
      <c r="C1518" s="2" t="s">
        <v>572</v>
      </c>
      <c r="D1518" s="2" t="str">
        <f t="shared" si="22"/>
        <v>Error?</v>
      </c>
    </row>
    <row r="1519" spans="1:4" x14ac:dyDescent="0.2">
      <c r="A1519" s="5">
        <v>1458</v>
      </c>
      <c r="B1519" s="138">
        <f>'Expenditures 15-22'!C301</f>
        <v>12320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12320</v>
      </c>
      <c r="C1523" s="2" t="s">
        <v>572</v>
      </c>
      <c r="D1523" s="2" t="str">
        <f t="shared" si="22"/>
        <v>Error?</v>
      </c>
    </row>
    <row r="1524" spans="1:4" x14ac:dyDescent="0.2">
      <c r="A1524" s="5">
        <v>1463</v>
      </c>
      <c r="B1524" s="138">
        <f>'Expenditures 15-22'!C312</f>
        <v>12320</v>
      </c>
      <c r="C1524" s="2" t="s">
        <v>572</v>
      </c>
      <c r="D1524" s="2" t="str">
        <f t="shared" si="22"/>
        <v>Error?</v>
      </c>
    </row>
    <row r="1525" spans="1:4" x14ac:dyDescent="0.2">
      <c r="A1525" s="5">
        <v>1464</v>
      </c>
      <c r="B1525" s="138">
        <f>'Expenditures 15-22'!D301</f>
        <v>1792</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1792</v>
      </c>
      <c r="C1529" s="2" t="s">
        <v>572</v>
      </c>
      <c r="D1529" s="2" t="str">
        <f t="shared" si="22"/>
        <v>Error?</v>
      </c>
    </row>
    <row r="1530" spans="1:4" x14ac:dyDescent="0.2">
      <c r="A1530" s="5">
        <v>1469</v>
      </c>
      <c r="B1530" s="138">
        <f>'Expenditures 15-22'!D312</f>
        <v>1792</v>
      </c>
      <c r="C1530" s="2" t="s">
        <v>572</v>
      </c>
      <c r="D1530" s="2" t="str">
        <f t="shared" si="22"/>
        <v>Error?</v>
      </c>
    </row>
    <row r="1531" spans="1:4" x14ac:dyDescent="0.2">
      <c r="A1531" s="5">
        <v>1470</v>
      </c>
      <c r="B1531" s="138">
        <f>'Expenditures 15-22'!E301</f>
        <v>27494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27494</v>
      </c>
      <c r="C1535" s="2" t="s">
        <v>572</v>
      </c>
      <c r="D1535" s="2" t="str">
        <f t="shared" ref="D1535:D1598" si="23">IF(ISBLANK(B1535),"OK",IF(A1535-B1535=0,"OK","Error?"))</f>
        <v>Error?</v>
      </c>
    </row>
    <row r="1536" spans="1:4" x14ac:dyDescent="0.2">
      <c r="A1536" s="5">
        <v>1475</v>
      </c>
      <c r="B1536" s="138">
        <f>'Expenditures 15-22'!E312</f>
        <v>27494</v>
      </c>
      <c r="C1536" s="2" t="s">
        <v>572</v>
      </c>
      <c r="D1536" s="2" t="str">
        <f t="shared" si="23"/>
        <v>Error?</v>
      </c>
    </row>
    <row r="1537" spans="1:4" x14ac:dyDescent="0.2">
      <c r="A1537" s="5">
        <v>1476</v>
      </c>
      <c r="B1537" s="138">
        <f>'Expenditures 15-22'!F301</f>
        <v>25123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25123</v>
      </c>
      <c r="C1541" s="2" t="s">
        <v>572</v>
      </c>
      <c r="D1541" s="2" t="str">
        <f t="shared" si="23"/>
        <v>Error?</v>
      </c>
    </row>
    <row r="1542" spans="1:4" x14ac:dyDescent="0.2">
      <c r="A1542" s="5">
        <v>1481</v>
      </c>
      <c r="B1542" s="138">
        <f>'Expenditures 15-22'!F312</f>
        <v>25123</v>
      </c>
      <c r="C1542" s="2" t="s">
        <v>572</v>
      </c>
      <c r="D1542" s="2" t="str">
        <f t="shared" si="23"/>
        <v>Error?</v>
      </c>
    </row>
    <row r="1543" spans="1:4" x14ac:dyDescent="0.2">
      <c r="A1543" s="5">
        <v>1482</v>
      </c>
      <c r="B1543" s="138">
        <f>'Expenditures 15-22'!G301</f>
        <v>191107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191107</v>
      </c>
      <c r="C1547" s="2" t="s">
        <v>572</v>
      </c>
      <c r="D1547" s="2" t="str">
        <f t="shared" si="23"/>
        <v>Error?</v>
      </c>
    </row>
    <row r="1548" spans="1:4" x14ac:dyDescent="0.2">
      <c r="A1548" s="5">
        <v>1487</v>
      </c>
      <c r="B1548" s="138">
        <f>'Expenditures 15-22'!G312</f>
        <v>191107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257836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257836</v>
      </c>
      <c r="C1559" s="2" t="s">
        <v>572</v>
      </c>
      <c r="D1559" s="2" t="str">
        <f t="shared" si="23"/>
        <v>Error?</v>
      </c>
    </row>
    <row r="1560" spans="1:4" x14ac:dyDescent="0.2">
      <c r="A1560" s="5">
        <v>1499</v>
      </c>
      <c r="B1560" s="138">
        <f>'Expenditures 15-22'!K312</f>
        <v>257836</v>
      </c>
      <c r="C1560" s="2" t="s">
        <v>572</v>
      </c>
      <c r="D1560" s="2" t="str">
        <f t="shared" si="23"/>
        <v>Error?</v>
      </c>
    </row>
    <row r="1561" spans="1:4" x14ac:dyDescent="0.2">
      <c r="A1561" s="5">
        <v>1500</v>
      </c>
      <c r="B1561" s="138">
        <f>'Expenditures 15-22'!K313</f>
        <v>263141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45497769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47508101</v>
      </c>
      <c r="C1630" s="2" t="s">
        <v>572</v>
      </c>
      <c r="D1630" s="2" t="str">
        <f t="shared" si="24"/>
        <v>Error?</v>
      </c>
    </row>
    <row r="1631" spans="1:4" x14ac:dyDescent="0.2">
      <c r="A1631" s="5">
        <v>1570</v>
      </c>
      <c r="B1631" s="138">
        <f>'Acct Summary 7-8'!D79</f>
        <v>4417342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4537769</v>
      </c>
      <c r="C1644" s="2" t="s">
        <v>572</v>
      </c>
      <c r="D1644" s="2" t="str">
        <f t="shared" si="24"/>
        <v>Error?</v>
      </c>
    </row>
    <row r="1645" spans="1:4" x14ac:dyDescent="0.2">
      <c r="A1645" s="5">
        <v>1584</v>
      </c>
      <c r="B1645" s="138">
        <f>'Acct Summary 7-8'!E79</f>
        <v>5369670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4086641</v>
      </c>
      <c r="C1658" s="2" t="s">
        <v>572</v>
      </c>
      <c r="D1658" s="2" t="str">
        <f t="shared" si="24"/>
        <v>Error?</v>
      </c>
    </row>
    <row r="1659" spans="1:4" x14ac:dyDescent="0.2">
      <c r="A1659" s="5">
        <v>1598</v>
      </c>
      <c r="B1659" s="138">
        <f>'Acct Summary 7-8'!F79</f>
        <v>4868426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4656163</v>
      </c>
      <c r="C1672" s="2" t="s">
        <v>572</v>
      </c>
      <c r="D1672" s="2" t="str">
        <f t="shared" si="25"/>
        <v>Error?</v>
      </c>
    </row>
    <row r="1673" spans="1:4" x14ac:dyDescent="0.2">
      <c r="A1673" s="5">
        <v>1612</v>
      </c>
      <c r="B1673" s="138">
        <f>'Acct Summary 7-8'!G79</f>
        <v>2067655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2215971</v>
      </c>
      <c r="C1686" s="2" t="s">
        <v>572</v>
      </c>
      <c r="D1686" s="2" t="str">
        <f t="shared" si="25"/>
        <v>Error?</v>
      </c>
    </row>
    <row r="1687" spans="1:4" x14ac:dyDescent="0.2">
      <c r="A1687" s="5">
        <v>1626</v>
      </c>
      <c r="B1687" s="138">
        <f>'Acct Summary 7-8'!H79</f>
        <v>313779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226920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29557750</v>
      </c>
      <c r="C1744" s="2" t="s">
        <v>572</v>
      </c>
      <c r="D1744" s="2" t="str">
        <f t="shared" si="26"/>
        <v>Error?</v>
      </c>
    </row>
    <row r="1745" spans="1:5" x14ac:dyDescent="0.2">
      <c r="A1745" s="5">
        <v>1684</v>
      </c>
      <c r="B1745" s="138">
        <f>'Tax Sched 23'!B5</f>
        <v>5901076</v>
      </c>
      <c r="C1745" s="2" t="s">
        <v>572</v>
      </c>
      <c r="D1745" s="2" t="str">
        <f t="shared" si="26"/>
        <v>Error?</v>
      </c>
    </row>
    <row r="1746" spans="1:5" x14ac:dyDescent="0.2">
      <c r="A1746" s="5">
        <v>1685</v>
      </c>
      <c r="B1746" s="138">
        <f>'Tax Sched 23'!B6</f>
        <v>6938348</v>
      </c>
      <c r="C1746" s="2" t="s">
        <v>572</v>
      </c>
      <c r="D1746" s="2" t="str">
        <f t="shared" si="26"/>
        <v>Error?</v>
      </c>
    </row>
    <row r="1747" spans="1:5" x14ac:dyDescent="0.2">
      <c r="A1747" s="5">
        <v>1686</v>
      </c>
      <c r="B1747" s="138">
        <f>'Tax Sched 23'!B7</f>
        <v>1785370</v>
      </c>
      <c r="C1747" s="2" t="s">
        <v>572</v>
      </c>
      <c r="D1747" s="2" t="str">
        <f t="shared" si="26"/>
        <v>Error?</v>
      </c>
    </row>
    <row r="1748" spans="1:5" x14ac:dyDescent="0.2">
      <c r="A1748" s="5">
        <v>1687</v>
      </c>
      <c r="B1748" s="138">
        <f>'Tax Sched 23'!B8</f>
        <v>1459145</v>
      </c>
      <c r="C1748" s="2" t="s">
        <v>572</v>
      </c>
      <c r="D1748" s="2" t="str">
        <f t="shared" si="26"/>
        <v>Error?</v>
      </c>
    </row>
    <row r="1749" spans="1:5" x14ac:dyDescent="0.2">
      <c r="A1749" s="5">
        <v>1688</v>
      </c>
      <c r="B1749" s="138">
        <f>'Tax Sched 23'!B10</f>
        <v>390331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1043447</v>
      </c>
      <c r="C1752" s="2" t="s">
        <v>572</v>
      </c>
      <c r="D1752" s="2" t="str">
        <f t="shared" si="26"/>
        <v>Error?</v>
      </c>
    </row>
    <row r="1753" spans="1:5" x14ac:dyDescent="0.2">
      <c r="A1753" s="5">
        <v>1692</v>
      </c>
      <c r="B1753" s="138">
        <f>'Tax Sched 23'!B12</f>
        <v>802996</v>
      </c>
      <c r="C1753" s="2" t="s">
        <v>572</v>
      </c>
      <c r="D1753" s="2" t="str">
        <f t="shared" si="26"/>
        <v>Error?</v>
      </c>
    </row>
    <row r="1754" spans="1:5" x14ac:dyDescent="0.2">
      <c r="A1754" s="5">
        <v>1693</v>
      </c>
      <c r="B1754" s="138">
        <f>'Tax Sched 23'!B14</f>
        <v>5981402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55319010</v>
      </c>
      <c r="C1759" s="2" t="s">
        <v>572</v>
      </c>
      <c r="D1759" s="2" t="str">
        <f t="shared" si="26"/>
        <v>Error?</v>
      </c>
    </row>
    <row r="1760" spans="1:5" x14ac:dyDescent="0.2">
      <c r="A1760" s="5">
        <v>1699</v>
      </c>
      <c r="B1760" s="138">
        <f>'Tax Sched 23'!D4</f>
        <v>13396754</v>
      </c>
      <c r="C1760" s="2" t="s">
        <v>572</v>
      </c>
      <c r="D1760" s="2" t="str">
        <f t="shared" si="26"/>
        <v>Error?</v>
      </c>
    </row>
    <row r="1761" spans="1:5" x14ac:dyDescent="0.2">
      <c r="A1761" s="5">
        <v>1700</v>
      </c>
      <c r="B1761" s="138">
        <f>'Tax Sched 23'!D5</f>
        <v>2702241</v>
      </c>
      <c r="C1761" s="2" t="s">
        <v>572</v>
      </c>
      <c r="D1761" s="2" t="str">
        <f t="shared" si="26"/>
        <v>Error?</v>
      </c>
    </row>
    <row r="1762" spans="1:5" s="8" customFormat="1" x14ac:dyDescent="0.2">
      <c r="A1762" s="5">
        <v>1701</v>
      </c>
      <c r="B1762" s="138">
        <f>'Tax Sched 23'!D6</f>
        <v>3827225</v>
      </c>
      <c r="C1762" s="2" t="s">
        <v>572</v>
      </c>
      <c r="D1762" s="2" t="str">
        <f t="shared" si="26"/>
        <v>Error?</v>
      </c>
      <c r="E1762" s="9"/>
    </row>
    <row r="1763" spans="1:5" x14ac:dyDescent="0.2">
      <c r="A1763" s="5">
        <v>1702</v>
      </c>
      <c r="B1763" s="138">
        <f>'Tax Sched 23'!D7</f>
        <v>801520</v>
      </c>
      <c r="C1763" s="2" t="s">
        <v>572</v>
      </c>
      <c r="D1763" s="2" t="str">
        <f t="shared" si="26"/>
        <v>Error?</v>
      </c>
    </row>
    <row r="1764" spans="1:5" x14ac:dyDescent="0.2">
      <c r="A1764" s="5">
        <v>1703</v>
      </c>
      <c r="B1764" s="138">
        <f>'Tax Sched 23'!D8</f>
        <v>682421</v>
      </c>
      <c r="C1764" s="2" t="s">
        <v>572</v>
      </c>
      <c r="D1764" s="2" t="str">
        <f t="shared" si="26"/>
        <v>Error?</v>
      </c>
    </row>
    <row r="1765" spans="1:5" x14ac:dyDescent="0.2">
      <c r="A1765" s="5">
        <v>1704</v>
      </c>
      <c r="B1765" s="138">
        <f>'Tax Sched 23'!D10</f>
        <v>183205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549614</v>
      </c>
      <c r="C1768" s="2" t="s">
        <v>572</v>
      </c>
      <c r="D1768" s="2" t="str">
        <f t="shared" si="26"/>
        <v>Error?</v>
      </c>
    </row>
    <row r="1769" spans="1:5" x14ac:dyDescent="0.2">
      <c r="A1769" s="5">
        <v>1708</v>
      </c>
      <c r="B1769" s="138">
        <f>'Tax Sched 23'!D12</f>
        <v>368019</v>
      </c>
      <c r="C1769" s="2" t="s">
        <v>572</v>
      </c>
      <c r="D1769" s="2" t="str">
        <f t="shared" si="26"/>
        <v>Error?</v>
      </c>
    </row>
    <row r="1770" spans="1:5" x14ac:dyDescent="0.2">
      <c r="A1770" s="5">
        <v>1709</v>
      </c>
      <c r="B1770" s="138">
        <f>'Tax Sched 23'!D14</f>
        <v>2770943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25964363</v>
      </c>
      <c r="C1775" s="2" t="s">
        <v>572</v>
      </c>
      <c r="D1775" s="2" t="str">
        <f t="shared" si="26"/>
        <v>Error?</v>
      </c>
    </row>
    <row r="1776" spans="1:5" x14ac:dyDescent="0.2">
      <c r="A1776" s="5">
        <v>1715</v>
      </c>
      <c r="B1776" s="138">
        <f>'Tax Sched 23'!C4</f>
        <v>16160996</v>
      </c>
      <c r="D1776" s="2" t="str">
        <f t="shared" si="26"/>
        <v>Error?</v>
      </c>
    </row>
    <row r="1777" spans="1:4" x14ac:dyDescent="0.2">
      <c r="A1777" s="5">
        <v>1716</v>
      </c>
      <c r="B1777" s="138">
        <f>'Tax Sched 23'!C5</f>
        <v>3198835</v>
      </c>
      <c r="D1777" s="2" t="str">
        <f t="shared" si="26"/>
        <v>Error?</v>
      </c>
    </row>
    <row r="1778" spans="1:4" x14ac:dyDescent="0.2">
      <c r="A1778" s="5">
        <v>1717</v>
      </c>
      <c r="B1778" s="138">
        <f>'Tax Sched 23'!C6</f>
        <v>3111123</v>
      </c>
      <c r="D1778" s="2" t="str">
        <f t="shared" si="26"/>
        <v>Error?</v>
      </c>
    </row>
    <row r="1779" spans="1:4" x14ac:dyDescent="0.2">
      <c r="A1779" s="5">
        <v>1718</v>
      </c>
      <c r="B1779" s="138">
        <f>'Tax Sched 23'!C7</f>
        <v>983850</v>
      </c>
      <c r="D1779" s="2" t="str">
        <f t="shared" si="26"/>
        <v>Error?</v>
      </c>
    </row>
    <row r="1780" spans="1:4" x14ac:dyDescent="0.2">
      <c r="A1780" s="5">
        <v>1719</v>
      </c>
      <c r="B1780" s="138">
        <f>'Tax Sched 23'!C8</f>
        <v>776724</v>
      </c>
      <c r="D1780" s="2" t="str">
        <f t="shared" si="26"/>
        <v>Error?</v>
      </c>
    </row>
    <row r="1781" spans="1:4" x14ac:dyDescent="0.2">
      <c r="A1781" s="5">
        <v>1720</v>
      </c>
      <c r="B1781" s="138">
        <f>'Tax Sched 23'!C10</f>
        <v>207126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493833</v>
      </c>
      <c r="D1784" s="2" t="str">
        <f t="shared" si="26"/>
        <v>Error?</v>
      </c>
    </row>
    <row r="1785" spans="1:4" x14ac:dyDescent="0.2">
      <c r="A1785" s="5">
        <v>1724</v>
      </c>
      <c r="B1785" s="138">
        <f>'Tax Sched 23'!C12</f>
        <v>434977</v>
      </c>
      <c r="D1785" s="2" t="str">
        <f t="shared" si="26"/>
        <v>Error?</v>
      </c>
    </row>
    <row r="1786" spans="1:4" x14ac:dyDescent="0.2">
      <c r="A1786" s="5">
        <v>1725</v>
      </c>
      <c r="B1786" s="138">
        <f>'Tax Sched 23'!C14</f>
        <v>3210459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29354647</v>
      </c>
      <c r="C1791" s="2" t="s">
        <v>572</v>
      </c>
      <c r="D1791" s="2" t="str">
        <f t="shared" ref="D1791:D1854" si="27">IF(ISBLANK(B1791),"OK",IF(A1791-B1791=0,"OK","Error?"))</f>
        <v>Error?</v>
      </c>
    </row>
    <row r="1792" spans="1:4" x14ac:dyDescent="0.2">
      <c r="A1792" s="5">
        <v>1731</v>
      </c>
      <c r="B1792" s="138">
        <f>'Tax Sched 23'!F4</f>
        <v>15049011</v>
      </c>
      <c r="C1792" s="2" t="s">
        <v>572</v>
      </c>
      <c r="D1792" s="2" t="str">
        <f t="shared" si="27"/>
        <v>Error?</v>
      </c>
    </row>
    <row r="1793" spans="1:4" x14ac:dyDescent="0.2">
      <c r="A1793" s="5">
        <v>1732</v>
      </c>
      <c r="B1793" s="138">
        <f>'Tax Sched 23'!F5</f>
        <v>2978735</v>
      </c>
      <c r="C1793" s="2" t="s">
        <v>572</v>
      </c>
      <c r="D1793" s="2" t="str">
        <f t="shared" si="27"/>
        <v>Error?</v>
      </c>
    </row>
    <row r="1794" spans="1:4" x14ac:dyDescent="0.2">
      <c r="A1794" s="5">
        <v>1733</v>
      </c>
      <c r="B1794" s="138">
        <f>'Tax Sched 23'!F6</f>
        <v>2897044</v>
      </c>
      <c r="C1794" s="2" t="s">
        <v>572</v>
      </c>
      <c r="D1794" s="2" t="str">
        <f t="shared" si="27"/>
        <v>Error?</v>
      </c>
    </row>
    <row r="1795" spans="1:4" x14ac:dyDescent="0.2">
      <c r="A1795" s="5">
        <v>1734</v>
      </c>
      <c r="B1795" s="138">
        <f>'Tax Sched 23'!F7</f>
        <v>916150</v>
      </c>
      <c r="C1795" s="2" t="s">
        <v>572</v>
      </c>
      <c r="D1795" s="2" t="str">
        <f t="shared" si="27"/>
        <v>Error?</v>
      </c>
    </row>
    <row r="1796" spans="1:4" x14ac:dyDescent="0.2">
      <c r="A1796" s="5">
        <v>1735</v>
      </c>
      <c r="B1796" s="138">
        <f>'Tax Sched 23'!F8</f>
        <v>723279</v>
      </c>
      <c r="C1796" s="2" t="s">
        <v>572</v>
      </c>
      <c r="D1796" s="2" t="str">
        <f t="shared" si="27"/>
        <v>Error?</v>
      </c>
    </row>
    <row r="1797" spans="1:4" x14ac:dyDescent="0.2">
      <c r="A1797" s="5">
        <v>1736</v>
      </c>
      <c r="B1797" s="138">
        <f>'Tax Sched 23'!F10</f>
        <v>192880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459844</v>
      </c>
      <c r="C1800" s="2" t="s">
        <v>572</v>
      </c>
      <c r="D1800" s="2" t="str">
        <f t="shared" si="27"/>
        <v>Error?</v>
      </c>
    </row>
    <row r="1801" spans="1:4" x14ac:dyDescent="0.2">
      <c r="A1801" s="5">
        <v>1740</v>
      </c>
      <c r="B1801" s="138">
        <f>'Tax Sched 23'!F12</f>
        <v>405028</v>
      </c>
      <c r="C1801" s="2" t="s">
        <v>572</v>
      </c>
      <c r="D1801" s="2" t="str">
        <f t="shared" si="27"/>
        <v>Error?</v>
      </c>
    </row>
    <row r="1802" spans="1:4" x14ac:dyDescent="0.2">
      <c r="A1802" s="5">
        <v>1741</v>
      </c>
      <c r="B1802" s="138">
        <f>'Tax Sched 23'!F14</f>
        <v>2989543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27334793</v>
      </c>
      <c r="C1807" s="2" t="s">
        <v>572</v>
      </c>
      <c r="D1807" s="2" t="str">
        <f t="shared" si="27"/>
        <v>Error?</v>
      </c>
    </row>
    <row r="1808" spans="1:4" x14ac:dyDescent="0.2">
      <c r="A1808" s="5">
        <v>1747</v>
      </c>
      <c r="B1808" s="138">
        <f>'Tax Sched 23'!E4</f>
        <v>31210007</v>
      </c>
      <c r="D1808" s="2" t="str">
        <f t="shared" si="27"/>
        <v>Error?</v>
      </c>
    </row>
    <row r="1809" spans="1:4" x14ac:dyDescent="0.2">
      <c r="A1809" s="5">
        <v>1748</v>
      </c>
      <c r="B1809" s="138">
        <f>'Tax Sched 23'!E5</f>
        <v>6177570</v>
      </c>
      <c r="D1809" s="2" t="str">
        <f t="shared" si="27"/>
        <v>Error?</v>
      </c>
    </row>
    <row r="1810" spans="1:4" x14ac:dyDescent="0.2">
      <c r="A1810" s="5">
        <v>1749</v>
      </c>
      <c r="B1810" s="138">
        <f>'Tax Sched 23'!E6</f>
        <v>6008167</v>
      </c>
      <c r="D1810" s="2" t="str">
        <f t="shared" si="27"/>
        <v>Error?</v>
      </c>
    </row>
    <row r="1811" spans="1:4" x14ac:dyDescent="0.2">
      <c r="A1811" s="5">
        <v>1750</v>
      </c>
      <c r="B1811" s="138">
        <f>'Tax Sched 23'!E7</f>
        <v>1900000</v>
      </c>
      <c r="D1811" s="2" t="str">
        <f t="shared" si="27"/>
        <v>Error?</v>
      </c>
    </row>
    <row r="1812" spans="1:4" x14ac:dyDescent="0.2">
      <c r="A1812" s="5">
        <v>1751</v>
      </c>
      <c r="B1812" s="138">
        <f>'Tax Sched 23'!E8</f>
        <v>1500003</v>
      </c>
      <c r="D1812" s="2" t="str">
        <f t="shared" si="27"/>
        <v>Error?</v>
      </c>
    </row>
    <row r="1813" spans="1:4" x14ac:dyDescent="0.2">
      <c r="A1813" s="5">
        <v>1752</v>
      </c>
      <c r="B1813" s="138">
        <f>'Tax Sched 23'!E10</f>
        <v>400006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953677</v>
      </c>
      <c r="D1816" s="2" t="str">
        <f t="shared" si="27"/>
        <v>Error?</v>
      </c>
    </row>
    <row r="1817" spans="1:4" x14ac:dyDescent="0.2">
      <c r="A1817" s="5">
        <v>1756</v>
      </c>
      <c r="B1817" s="138">
        <f>'Tax Sched 23'!E12</f>
        <v>840005</v>
      </c>
      <c r="D1817" s="2" t="str">
        <f t="shared" si="27"/>
        <v>Error?</v>
      </c>
    </row>
    <row r="1818" spans="1:4" x14ac:dyDescent="0.2">
      <c r="A1818" s="5">
        <v>1757</v>
      </c>
      <c r="B1818" s="138">
        <f>'Tax Sched 23'!E14</f>
        <v>6200002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56689440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101136940</v>
      </c>
      <c r="C1939" s="2" t="s">
        <v>572</v>
      </c>
      <c r="D1939" s="2" t="str">
        <f t="shared" si="29"/>
        <v>Error?</v>
      </c>
    </row>
    <row r="1940" spans="1:5" x14ac:dyDescent="0.2">
      <c r="A1940" s="5">
        <v>1879</v>
      </c>
      <c r="B1940" s="138">
        <f>'Short-Term Long-Term Debt 24'!F49</f>
        <v>13865000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5981402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5981402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5981402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6009087</v>
      </c>
      <c r="D2008" s="2" t="str">
        <f t="shared" si="30"/>
        <v>Error?</v>
      </c>
    </row>
    <row r="2009" spans="1:4" x14ac:dyDescent="0.2">
      <c r="A2009" s="5">
        <v>1948</v>
      </c>
      <c r="B2009" s="138">
        <f>'Cap Outlay Deprec 26'!C8</f>
        <v>154899676</v>
      </c>
      <c r="D2009" s="2" t="str">
        <f t="shared" si="30"/>
        <v>Error?</v>
      </c>
    </row>
    <row r="2010" spans="1:4" x14ac:dyDescent="0.2">
      <c r="A2010" s="5">
        <v>1949</v>
      </c>
      <c r="B2010" s="138">
        <f>'Cap Outlay Deprec 26'!C10</f>
        <v>10231021</v>
      </c>
      <c r="D2010" s="2" t="str">
        <f t="shared" si="30"/>
        <v>Error?</v>
      </c>
    </row>
    <row r="2011" spans="1:4" x14ac:dyDescent="0.2">
      <c r="A2011" s="5">
        <v>1950</v>
      </c>
      <c r="B2011" s="138">
        <f>'Cap Outlay Deprec 26'!C12</f>
        <v>13899729</v>
      </c>
      <c r="D2011" s="2" t="str">
        <f t="shared" si="30"/>
        <v>Error?</v>
      </c>
    </row>
    <row r="2012" spans="1:4" x14ac:dyDescent="0.2">
      <c r="A2012" s="5">
        <v>1951</v>
      </c>
      <c r="B2012" s="138">
        <f>'Cap Outlay Deprec 26'!C13</f>
        <v>6684700</v>
      </c>
      <c r="D2012" s="2" t="str">
        <f t="shared" si="30"/>
        <v>Error?</v>
      </c>
    </row>
    <row r="2013" spans="1:4" x14ac:dyDescent="0.2">
      <c r="A2013" s="5">
        <v>1952</v>
      </c>
      <c r="B2013" s="138">
        <f>'Cap Outlay Deprec 26'!C16</f>
        <v>191817059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937841</v>
      </c>
      <c r="D2015" s="2" t="str">
        <f t="shared" si="30"/>
        <v>Error?</v>
      </c>
    </row>
    <row r="2016" spans="1:4" x14ac:dyDescent="0.2">
      <c r="A2016" s="5">
        <v>1955</v>
      </c>
      <c r="B2016" s="138">
        <f>'Cap Outlay Deprec 26'!D10</f>
        <v>202202</v>
      </c>
      <c r="D2016" s="2" t="str">
        <f t="shared" si="30"/>
        <v>Error?</v>
      </c>
    </row>
    <row r="2017" spans="1:4" x14ac:dyDescent="0.2">
      <c r="A2017" s="5">
        <v>1956</v>
      </c>
      <c r="B2017" s="138">
        <f>'Cap Outlay Deprec 26'!D12</f>
        <v>325343</v>
      </c>
      <c r="D2017" s="2" t="str">
        <f t="shared" si="30"/>
        <v>Error?</v>
      </c>
    </row>
    <row r="2018" spans="1:4" x14ac:dyDescent="0.2">
      <c r="A2018" s="5">
        <v>1957</v>
      </c>
      <c r="B2018" s="138">
        <f>'Cap Outlay Deprec 26'!D13</f>
        <v>535734</v>
      </c>
      <c r="D2018" s="2" t="str">
        <f t="shared" si="30"/>
        <v>Error?</v>
      </c>
    </row>
    <row r="2019" spans="1:4" x14ac:dyDescent="0.2">
      <c r="A2019" s="5">
        <v>1958</v>
      </c>
      <c r="B2019" s="138">
        <f>'Cap Outlay Deprec 26'!D16</f>
        <v>2082591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578534</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424704</v>
      </c>
      <c r="D2023" s="2" t="str">
        <f t="shared" si="30"/>
        <v>Error?</v>
      </c>
    </row>
    <row r="2024" spans="1:4" x14ac:dyDescent="0.2">
      <c r="A2024" s="5">
        <v>1963</v>
      </c>
      <c r="B2024" s="138">
        <f>'Cap Outlay Deprec 26'!E13</f>
        <v>33666</v>
      </c>
      <c r="D2024" s="2" t="str">
        <f t="shared" si="30"/>
        <v>Error?</v>
      </c>
    </row>
    <row r="2025" spans="1:4" x14ac:dyDescent="0.2">
      <c r="A2025" s="5">
        <v>1964</v>
      </c>
      <c r="B2025" s="138">
        <f>'Cap Outlay Deprec 26'!E16</f>
        <v>1129750</v>
      </c>
      <c r="C2025" s="2" t="s">
        <v>572</v>
      </c>
      <c r="D2025" s="2" t="str">
        <f t="shared" si="30"/>
        <v>Error?</v>
      </c>
    </row>
    <row r="2026" spans="1:4" x14ac:dyDescent="0.2">
      <c r="A2026" s="5">
        <v>1965</v>
      </c>
      <c r="B2026" s="138">
        <f>'Cap Outlay Deprec 26'!F5</f>
        <v>6009087</v>
      </c>
      <c r="C2026" s="2" t="s">
        <v>572</v>
      </c>
      <c r="D2026" s="2" t="str">
        <f t="shared" si="30"/>
        <v>Error?</v>
      </c>
    </row>
    <row r="2027" spans="1:4" x14ac:dyDescent="0.2">
      <c r="A2027" s="5">
        <v>1966</v>
      </c>
      <c r="B2027" s="138">
        <f>'Cap Outlay Deprec 26'!F8</f>
        <v>155258983</v>
      </c>
      <c r="C2027" s="2" t="s">
        <v>572</v>
      </c>
      <c r="D2027" s="2" t="str">
        <f t="shared" si="30"/>
        <v>Error?</v>
      </c>
    </row>
    <row r="2028" spans="1:4" x14ac:dyDescent="0.2">
      <c r="A2028" s="5">
        <v>1967</v>
      </c>
      <c r="B2028" s="138">
        <f>'Cap Outlay Deprec 26'!F10</f>
        <v>10433223</v>
      </c>
      <c r="C2028" s="2" t="s">
        <v>572</v>
      </c>
      <c r="D2028" s="2" t="str">
        <f t="shared" si="30"/>
        <v>Error?</v>
      </c>
    </row>
    <row r="2029" spans="1:4" x14ac:dyDescent="0.2">
      <c r="A2029" s="5">
        <v>1968</v>
      </c>
      <c r="B2029" s="138">
        <f>'Cap Outlay Deprec 26'!F12</f>
        <v>13800368</v>
      </c>
      <c r="C2029" s="2" t="s">
        <v>572</v>
      </c>
      <c r="D2029" s="2" t="str">
        <f t="shared" si="30"/>
        <v>Error?</v>
      </c>
    </row>
    <row r="2030" spans="1:4" x14ac:dyDescent="0.2">
      <c r="A2030" s="5">
        <v>1969</v>
      </c>
      <c r="B2030" s="138">
        <f>'Cap Outlay Deprec 26'!F13</f>
        <v>7186768</v>
      </c>
      <c r="C2030" s="2" t="s">
        <v>572</v>
      </c>
      <c r="D2030" s="2" t="str">
        <f t="shared" si="30"/>
        <v>Error?</v>
      </c>
    </row>
    <row r="2031" spans="1:4" x14ac:dyDescent="0.2">
      <c r="A2031" s="5">
        <v>1970</v>
      </c>
      <c r="B2031" s="138">
        <f>'Cap Outlay Deprec 26'!F16</f>
        <v>192769900</v>
      </c>
      <c r="C2031" s="2" t="s">
        <v>572</v>
      </c>
      <c r="D2031" s="2" t="str">
        <f t="shared" si="30"/>
        <v>Error?</v>
      </c>
    </row>
    <row r="2032" spans="1:4" x14ac:dyDescent="0.2">
      <c r="A2032" s="10">
        <v>1971</v>
      </c>
      <c r="D2032" s="2" t="str">
        <f t="shared" si="30"/>
        <v>OK</v>
      </c>
    </row>
    <row r="2033" spans="1:4" x14ac:dyDescent="0.2">
      <c r="A2033" s="5">
        <v>1972</v>
      </c>
      <c r="B2033" s="138">
        <f>'Cap Outlay Deprec 26'!H8</f>
        <v>59378332</v>
      </c>
      <c r="D2033" s="2" t="str">
        <f t="shared" si="30"/>
        <v>Error?</v>
      </c>
    </row>
    <row r="2034" spans="1:4" x14ac:dyDescent="0.2">
      <c r="A2034" s="5">
        <v>1973</v>
      </c>
      <c r="B2034" s="138">
        <f>'Cap Outlay Deprec 26'!H10</f>
        <v>5562975</v>
      </c>
      <c r="D2034" s="2" t="str">
        <f t="shared" si="30"/>
        <v>Error?</v>
      </c>
    </row>
    <row r="2035" spans="1:4" x14ac:dyDescent="0.2">
      <c r="A2035" s="5">
        <v>1974</v>
      </c>
      <c r="B2035" s="138">
        <f>'Cap Outlay Deprec 26'!H12</f>
        <v>9698503</v>
      </c>
      <c r="D2035" s="2" t="str">
        <f t="shared" si="30"/>
        <v>Error?</v>
      </c>
    </row>
    <row r="2036" spans="1:4" x14ac:dyDescent="0.2">
      <c r="A2036" s="5">
        <v>1975</v>
      </c>
      <c r="B2036" s="138">
        <f>'Cap Outlay Deprec 26'!H13</f>
        <v>4789955</v>
      </c>
      <c r="D2036" s="2" t="str">
        <f t="shared" si="30"/>
        <v>Error?</v>
      </c>
    </row>
    <row r="2037" spans="1:4" x14ac:dyDescent="0.2">
      <c r="A2037" s="5">
        <v>1976</v>
      </c>
      <c r="B2037" s="138">
        <f>'Cap Outlay Deprec 26'!H16</f>
        <v>79429765</v>
      </c>
      <c r="C2037" s="2" t="s">
        <v>572</v>
      </c>
      <c r="D2037" s="2" t="str">
        <f t="shared" si="30"/>
        <v>Error?</v>
      </c>
    </row>
    <row r="2038" spans="1:4" x14ac:dyDescent="0.2">
      <c r="A2038" s="10">
        <v>1977</v>
      </c>
      <c r="D2038" s="2" t="str">
        <f t="shared" si="30"/>
        <v>OK</v>
      </c>
    </row>
    <row r="2039" spans="1:4" x14ac:dyDescent="0.2">
      <c r="A2039" s="5">
        <v>1978</v>
      </c>
      <c r="B2039" s="138">
        <f>'Cap Outlay Deprec 26'!I8</f>
        <v>3697469</v>
      </c>
      <c r="D2039" s="2" t="str">
        <f t="shared" si="30"/>
        <v>Error?</v>
      </c>
    </row>
    <row r="2040" spans="1:4" x14ac:dyDescent="0.2">
      <c r="A2040" s="5">
        <v>1979</v>
      </c>
      <c r="B2040" s="138">
        <f>'Cap Outlay Deprec 26'!I10</f>
        <v>477192</v>
      </c>
      <c r="D2040" s="2" t="str">
        <f t="shared" si="30"/>
        <v>Error?</v>
      </c>
    </row>
    <row r="2041" spans="1:4" x14ac:dyDescent="0.2">
      <c r="A2041" s="5">
        <v>1980</v>
      </c>
      <c r="B2041" s="138">
        <f>'Cap Outlay Deprec 26'!I12</f>
        <v>734072</v>
      </c>
      <c r="D2041" s="2" t="str">
        <f t="shared" si="30"/>
        <v>Error?</v>
      </c>
    </row>
    <row r="2042" spans="1:4" x14ac:dyDescent="0.2">
      <c r="A2042" s="5">
        <v>1981</v>
      </c>
      <c r="B2042" s="138">
        <f>'Cap Outlay Deprec 26'!I13</f>
        <v>462129</v>
      </c>
      <c r="D2042" s="2" t="str">
        <f t="shared" si="30"/>
        <v>Error?</v>
      </c>
    </row>
    <row r="2043" spans="1:4" x14ac:dyDescent="0.2">
      <c r="A2043" s="5">
        <v>1982</v>
      </c>
      <c r="B2043" s="138">
        <f>'Cap Outlay Deprec 26'!I16</f>
        <v>5370862</v>
      </c>
      <c r="C2043" s="2" t="s">
        <v>572</v>
      </c>
      <c r="D2043" s="2" t="str">
        <f t="shared" si="30"/>
        <v>Error?</v>
      </c>
    </row>
    <row r="2044" spans="1:4" x14ac:dyDescent="0.2">
      <c r="A2044" s="10">
        <v>1983</v>
      </c>
      <c r="D2044" s="2" t="str">
        <f t="shared" si="30"/>
        <v>OK</v>
      </c>
    </row>
    <row r="2045" spans="1:4" x14ac:dyDescent="0.2">
      <c r="A2045" s="5">
        <v>1984</v>
      </c>
      <c r="B2045" s="138">
        <f>'Cap Outlay Deprec 26'!J8</f>
        <v>324711</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410711</v>
      </c>
      <c r="D2047" s="2" t="str">
        <f t="shared" ref="D2047:D2110" si="31">IF(ISBLANK(B2047),"OK",IF(A2047-B2047=0,"OK","Error?"))</f>
        <v>Error?</v>
      </c>
    </row>
    <row r="2048" spans="1:4" x14ac:dyDescent="0.2">
      <c r="A2048" s="5">
        <v>1987</v>
      </c>
      <c r="B2048" s="138">
        <f>'Cap Outlay Deprec 26'!J13</f>
        <v>33666</v>
      </c>
      <c r="D2048" s="2" t="str">
        <f t="shared" si="31"/>
        <v>Error?</v>
      </c>
    </row>
    <row r="2049" spans="1:4" x14ac:dyDescent="0.2">
      <c r="A2049" s="5">
        <v>1988</v>
      </c>
      <c r="B2049" s="138">
        <f>'Cap Outlay Deprec 26'!J16</f>
        <v>769088</v>
      </c>
      <c r="C2049" s="2" t="s">
        <v>572</v>
      </c>
      <c r="D2049" s="2" t="str">
        <f t="shared" si="31"/>
        <v>Error?</v>
      </c>
    </row>
    <row r="2050" spans="1:4" x14ac:dyDescent="0.2">
      <c r="A2050" s="10">
        <v>1989</v>
      </c>
      <c r="D2050" s="2" t="str">
        <f t="shared" si="31"/>
        <v>OK</v>
      </c>
    </row>
    <row r="2051" spans="1:4" x14ac:dyDescent="0.2">
      <c r="A2051" s="5">
        <v>1990</v>
      </c>
      <c r="B2051" s="138">
        <f>'Cap Outlay Deprec 26'!K8</f>
        <v>62751090</v>
      </c>
      <c r="C2051" s="2" t="s">
        <v>572</v>
      </c>
      <c r="D2051" s="2" t="str">
        <f t="shared" si="31"/>
        <v>Error?</v>
      </c>
    </row>
    <row r="2052" spans="1:4" x14ac:dyDescent="0.2">
      <c r="A2052" s="5">
        <v>1991</v>
      </c>
      <c r="B2052" s="138">
        <f>'Cap Outlay Deprec 26'!K10</f>
        <v>6040167</v>
      </c>
      <c r="C2052" s="2" t="s">
        <v>572</v>
      </c>
      <c r="D2052" s="2" t="str">
        <f t="shared" si="31"/>
        <v>Error?</v>
      </c>
    </row>
    <row r="2053" spans="1:4" x14ac:dyDescent="0.2">
      <c r="A2053" s="5">
        <v>1992</v>
      </c>
      <c r="B2053" s="138">
        <f>'Cap Outlay Deprec 26'!K12</f>
        <v>10021864</v>
      </c>
      <c r="C2053" s="2" t="s">
        <v>572</v>
      </c>
      <c r="D2053" s="2" t="str">
        <f t="shared" si="31"/>
        <v>Error?</v>
      </c>
    </row>
    <row r="2054" spans="1:4" x14ac:dyDescent="0.2">
      <c r="A2054" s="5">
        <v>1993</v>
      </c>
      <c r="B2054" s="138">
        <f>'Cap Outlay Deprec 26'!K13</f>
        <v>5218418</v>
      </c>
      <c r="C2054" s="2" t="s">
        <v>572</v>
      </c>
      <c r="D2054" s="2" t="str">
        <f t="shared" si="31"/>
        <v>Error?</v>
      </c>
    </row>
    <row r="2055" spans="1:4" x14ac:dyDescent="0.2">
      <c r="A2055" s="5">
        <v>1994</v>
      </c>
      <c r="B2055" s="138">
        <f>'Cap Outlay Deprec 26'!K16</f>
        <v>84031539</v>
      </c>
      <c r="C2055" s="2" t="s">
        <v>572</v>
      </c>
      <c r="D2055" s="2" t="str">
        <f t="shared" si="31"/>
        <v>Error?</v>
      </c>
    </row>
    <row r="2056" spans="1:4" x14ac:dyDescent="0.2">
      <c r="A2056" s="5">
        <v>1995</v>
      </c>
      <c r="B2056" s="138">
        <f>'Cap Outlay Deprec 26'!L5</f>
        <v>6009087</v>
      </c>
      <c r="C2056" s="2" t="s">
        <v>572</v>
      </c>
      <c r="D2056" s="2" t="str">
        <f t="shared" si="31"/>
        <v>Error?</v>
      </c>
    </row>
    <row r="2057" spans="1:4" x14ac:dyDescent="0.2">
      <c r="A2057" s="5">
        <v>1996</v>
      </c>
      <c r="B2057" s="138">
        <f>'Cap Outlay Deprec 26'!L8</f>
        <v>92507893</v>
      </c>
      <c r="C2057" s="2" t="s">
        <v>572</v>
      </c>
      <c r="D2057" s="2" t="str">
        <f t="shared" si="31"/>
        <v>Error?</v>
      </c>
    </row>
    <row r="2058" spans="1:4" x14ac:dyDescent="0.2">
      <c r="A2058" s="5">
        <v>1997</v>
      </c>
      <c r="B2058" s="138">
        <f>'Cap Outlay Deprec 26'!L10</f>
        <v>4393056</v>
      </c>
      <c r="C2058" s="2" t="s">
        <v>572</v>
      </c>
      <c r="D2058" s="2" t="str">
        <f t="shared" si="31"/>
        <v>Error?</v>
      </c>
    </row>
    <row r="2059" spans="1:4" x14ac:dyDescent="0.2">
      <c r="A2059" s="5">
        <v>1998</v>
      </c>
      <c r="B2059" s="138">
        <f>'Cap Outlay Deprec 26'!L12</f>
        <v>3778504</v>
      </c>
      <c r="C2059" s="2" t="s">
        <v>572</v>
      </c>
      <c r="D2059" s="2" t="str">
        <f t="shared" si="31"/>
        <v>Error?</v>
      </c>
    </row>
    <row r="2060" spans="1:4" x14ac:dyDescent="0.2">
      <c r="A2060" s="5">
        <v>1999</v>
      </c>
      <c r="B2060" s="138">
        <f>'Cap Outlay Deprec 26'!L13</f>
        <v>1968350</v>
      </c>
      <c r="C2060" s="2" t="s">
        <v>572</v>
      </c>
      <c r="D2060" s="2" t="str">
        <f t="shared" si="31"/>
        <v>Error?</v>
      </c>
    </row>
    <row r="2061" spans="1:4" x14ac:dyDescent="0.2">
      <c r="A2061" s="5">
        <v>2000</v>
      </c>
      <c r="B2061" s="138">
        <f>'Cap Outlay Deprec 26'!L16</f>
        <v>108738361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7274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42407629</v>
      </c>
      <c r="C2551" s="2" t="s">
        <v>572</v>
      </c>
      <c r="D2551" s="2" t="str">
        <f t="shared" si="38"/>
        <v>Error?</v>
      </c>
    </row>
    <row r="2552" spans="1:4" x14ac:dyDescent="0.2">
      <c r="A2552" s="10">
        <v>2491</v>
      </c>
      <c r="D2552" s="2" t="str">
        <f t="shared" si="38"/>
        <v>OK</v>
      </c>
    </row>
    <row r="2553" spans="1:4" x14ac:dyDescent="0.2">
      <c r="A2553" s="5">
        <v>2492</v>
      </c>
      <c r="B2553" s="138">
        <f>'Acct Summary 7-8'!C6</f>
        <v>22367569</v>
      </c>
      <c r="C2553" s="2" t="s">
        <v>572</v>
      </c>
      <c r="D2553" s="2" t="str">
        <f t="shared" si="38"/>
        <v>Error?</v>
      </c>
    </row>
    <row r="2554" spans="1:4" x14ac:dyDescent="0.2">
      <c r="A2554" s="5">
        <v>2493</v>
      </c>
      <c r="B2554" s="138">
        <f>'Acct Summary 7-8'!C7</f>
        <v>4726089</v>
      </c>
      <c r="C2554" s="2" t="s">
        <v>572</v>
      </c>
      <c r="D2554" s="2" t="str">
        <f t="shared" si="38"/>
        <v>Error?</v>
      </c>
    </row>
    <row r="2555" spans="1:4" x14ac:dyDescent="0.2">
      <c r="A2555" s="5">
        <v>2494</v>
      </c>
      <c r="B2555" s="138">
        <f>'Acct Summary 7-8'!C8</f>
        <v>69501287</v>
      </c>
      <c r="C2555" s="2" t="s">
        <v>572</v>
      </c>
      <c r="D2555" s="2" t="str">
        <f t="shared" si="38"/>
        <v>Error?</v>
      </c>
    </row>
    <row r="2556" spans="1:4" x14ac:dyDescent="0.2">
      <c r="A2556" s="5">
        <v>2495</v>
      </c>
      <c r="B2556" s="138">
        <f>'Acct Summary 7-8'!C12</f>
        <v>45488981</v>
      </c>
      <c r="C2556" s="2" t="s">
        <v>572</v>
      </c>
      <c r="D2556" s="2" t="str">
        <f t="shared" si="38"/>
        <v>Error?</v>
      </c>
    </row>
    <row r="2557" spans="1:4" x14ac:dyDescent="0.2">
      <c r="A2557" s="5">
        <v>2496</v>
      </c>
      <c r="B2557" s="138">
        <f>'Acct Summary 7-8'!C13</f>
        <v>20817487</v>
      </c>
      <c r="C2557" s="2" t="s">
        <v>572</v>
      </c>
      <c r="D2557" s="2" t="str">
        <f t="shared" si="38"/>
        <v>Error?</v>
      </c>
    </row>
    <row r="2558" spans="1:4" x14ac:dyDescent="0.2">
      <c r="A2558" s="5">
        <v>2497</v>
      </c>
      <c r="B2558" s="138">
        <f>'Acct Summary 7-8'!C14</f>
        <v>554818</v>
      </c>
      <c r="C2558" s="2" t="s">
        <v>572</v>
      </c>
      <c r="D2558" s="2" t="str">
        <f t="shared" si="38"/>
        <v>Error?</v>
      </c>
    </row>
    <row r="2559" spans="1:4" x14ac:dyDescent="0.2">
      <c r="A2559" s="5">
        <v>2498</v>
      </c>
      <c r="B2559" s="138">
        <f>'Acct Summary 7-8'!C15</f>
        <v>7274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66868560</v>
      </c>
      <c r="C2561" s="2" t="s">
        <v>572</v>
      </c>
      <c r="D2561" s="2" t="str">
        <f t="shared" si="39"/>
        <v>Error?</v>
      </c>
    </row>
    <row r="2562" spans="1:4" x14ac:dyDescent="0.2">
      <c r="A2562" s="5">
        <v>2501</v>
      </c>
      <c r="B2562" s="138">
        <f>'Acct Summary 7-8'!C20</f>
        <v>2632727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6339367</v>
      </c>
      <c r="C2564" s="2" t="s">
        <v>572</v>
      </c>
      <c r="D2564" s="2" t="str">
        <f t="shared" si="39"/>
        <v>Error?</v>
      </c>
    </row>
    <row r="2565" spans="1:4" x14ac:dyDescent="0.2">
      <c r="A2565" s="10">
        <v>2504</v>
      </c>
      <c r="D2565" s="2" t="str">
        <f t="shared" si="39"/>
        <v>OK</v>
      </c>
    </row>
    <row r="2566" spans="1:4" x14ac:dyDescent="0.2">
      <c r="A2566" s="5">
        <v>2505</v>
      </c>
      <c r="B2566" s="138">
        <f>'Acct Summary 7-8'!D6</f>
        <v>875000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7214367</v>
      </c>
      <c r="C2568" s="2" t="s">
        <v>572</v>
      </c>
      <c r="D2568" s="2" t="str">
        <f t="shared" si="39"/>
        <v>Error?</v>
      </c>
    </row>
    <row r="2569" spans="1:4" x14ac:dyDescent="0.2">
      <c r="A2569" s="5">
        <v>2508</v>
      </c>
      <c r="B2569" s="138">
        <f>'Acct Summary 7-8'!D13</f>
        <v>7093940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7093940</v>
      </c>
      <c r="C2573" s="2" t="s">
        <v>572</v>
      </c>
      <c r="D2573" s="2" t="str">
        <f t="shared" si="39"/>
        <v>Error?</v>
      </c>
    </row>
    <row r="2574" spans="1:4" x14ac:dyDescent="0.2">
      <c r="A2574" s="5">
        <v>2513</v>
      </c>
      <c r="B2574" s="138">
        <f>'Acct Summary 7-8'!D20</f>
        <v>120427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1984566</v>
      </c>
      <c r="C2591" s="2" t="s">
        <v>572</v>
      </c>
      <c r="D2591" s="2" t="str">
        <f t="shared" si="39"/>
        <v>Error?</v>
      </c>
    </row>
    <row r="2592" spans="1:4" x14ac:dyDescent="0.2">
      <c r="A2592" s="10">
        <v>2531</v>
      </c>
      <c r="D2592" s="2" t="str">
        <f t="shared" si="39"/>
        <v>OK</v>
      </c>
    </row>
    <row r="2593" spans="1:4" x14ac:dyDescent="0.2">
      <c r="A2593" s="5">
        <v>2532</v>
      </c>
      <c r="B2593" s="138">
        <f>'Acct Summary 7-8'!F6</f>
        <v>3064507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5049073</v>
      </c>
      <c r="C2595" s="2" t="s">
        <v>572</v>
      </c>
      <c r="D2595" s="2" t="str">
        <f t="shared" si="39"/>
        <v>Error?</v>
      </c>
    </row>
    <row r="2596" spans="1:4" x14ac:dyDescent="0.2">
      <c r="A2596" s="5">
        <v>2535</v>
      </c>
      <c r="B2596" s="138">
        <f>'Acct Summary 7-8'!F13</f>
        <v>5261336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5261336</v>
      </c>
      <c r="C2600" s="2" t="s">
        <v>572</v>
      </c>
      <c r="D2600" s="2" t="str">
        <f t="shared" si="39"/>
        <v>Error?</v>
      </c>
    </row>
    <row r="2601" spans="1:4" x14ac:dyDescent="0.2">
      <c r="A2601" s="5">
        <v>2540</v>
      </c>
      <c r="B2601" s="138">
        <f>'Acct Summary 7-8'!F20</f>
        <v>-212263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3057393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3057393</v>
      </c>
      <c r="C2606" s="2" t="s">
        <v>572</v>
      </c>
      <c r="D2606" s="2" t="str">
        <f t="shared" si="39"/>
        <v>Error?</v>
      </c>
    </row>
    <row r="2607" spans="1:4" x14ac:dyDescent="0.2">
      <c r="A2607" s="5">
        <v>2546</v>
      </c>
      <c r="B2607" s="138">
        <f>'Acct Summary 7-8'!G12</f>
        <v>794699</v>
      </c>
      <c r="C2607" s="2" t="s">
        <v>572</v>
      </c>
      <c r="D2607" s="2" t="str">
        <f t="shared" si="39"/>
        <v>Error?</v>
      </c>
    </row>
    <row r="2608" spans="1:4" x14ac:dyDescent="0.2">
      <c r="A2608" s="5">
        <v>2547</v>
      </c>
      <c r="B2608" s="138">
        <f>'Acct Summary 7-8'!G13</f>
        <v>2114326</v>
      </c>
      <c r="C2608" s="2" t="s">
        <v>572</v>
      </c>
      <c r="D2608" s="2" t="str">
        <f t="shared" si="39"/>
        <v>Error?</v>
      </c>
    </row>
    <row r="2609" spans="1:4" x14ac:dyDescent="0.2">
      <c r="A2609" s="5">
        <v>2548</v>
      </c>
      <c r="B2609" s="138">
        <f>'Acct Summary 7-8'!G14</f>
        <v>52</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2909077</v>
      </c>
      <c r="C2612" s="2" t="s">
        <v>572</v>
      </c>
      <c r="D2612" s="2" t="str">
        <f t="shared" si="39"/>
        <v>Error?</v>
      </c>
    </row>
    <row r="2613" spans="1:4" x14ac:dyDescent="0.2">
      <c r="A2613" s="5">
        <v>2552</v>
      </c>
      <c r="B2613" s="138">
        <f>'Acct Summary 7-8'!G20</f>
        <v>148316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7527905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7595243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9782674</v>
      </c>
      <c r="C2634" s="2" t="s">
        <v>572</v>
      </c>
      <c r="D2634" s="2" t="str">
        <f t="shared" si="40"/>
        <v>Error?</v>
      </c>
    </row>
    <row r="2635" spans="1:4" x14ac:dyDescent="0.2">
      <c r="A2635" s="5">
        <v>2574</v>
      </c>
      <c r="B2635" s="138">
        <f>'Acct Summary 7-8'!E17</f>
        <v>9782674</v>
      </c>
      <c r="C2635" s="2" t="s">
        <v>572</v>
      </c>
      <c r="D2635" s="2" t="str">
        <f t="shared" si="40"/>
        <v>Error?</v>
      </c>
    </row>
    <row r="2636" spans="1:4" x14ac:dyDescent="0.2">
      <c r="A2636" s="5">
        <v>2575</v>
      </c>
      <c r="B2636" s="138">
        <f>'Acct Summary 7-8'!E20</f>
        <v>-2187431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520977</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520977</v>
      </c>
      <c r="C2658" s="2" t="s">
        <v>572</v>
      </c>
      <c r="D2658" s="2" t="str">
        <f t="shared" si="40"/>
        <v>Error?</v>
      </c>
    </row>
    <row r="2659" spans="1:4" x14ac:dyDescent="0.2">
      <c r="A2659" s="5">
        <v>2598</v>
      </c>
      <c r="B2659" s="138">
        <f>'Acct Summary 7-8'!H13</f>
        <v>257836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257836</v>
      </c>
      <c r="C2661" s="2" t="s">
        <v>572</v>
      </c>
      <c r="D2661" s="2" t="str">
        <f t="shared" si="40"/>
        <v>Error?</v>
      </c>
    </row>
    <row r="2662" spans="1:4" x14ac:dyDescent="0.2">
      <c r="A2662" s="5">
        <v>2601</v>
      </c>
      <c r="B2662" s="138">
        <f>'Acct Summary 7-8'!H20</f>
        <v>263141</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22931</v>
      </c>
      <c r="D2718" s="2" t="str">
        <f t="shared" si="41"/>
        <v>Error?</v>
      </c>
    </row>
    <row r="2719" spans="1:4" x14ac:dyDescent="0.2">
      <c r="A2719" s="5">
        <v>2658</v>
      </c>
      <c r="B2719" s="138">
        <f>'Expenditures 15-22'!D51</f>
        <v>9394</v>
      </c>
      <c r="D2719" s="2" t="str">
        <f t="shared" si="41"/>
        <v>Error?</v>
      </c>
    </row>
    <row r="2720" spans="1:4" x14ac:dyDescent="0.2">
      <c r="A2720" s="5">
        <v>2659</v>
      </c>
      <c r="B2720" s="138">
        <f>'Expenditures 15-22'!E51</f>
        <v>4119</v>
      </c>
      <c r="D2720" s="2" t="str">
        <f t="shared" si="41"/>
        <v>Error?</v>
      </c>
    </row>
    <row r="2721" spans="1:4" x14ac:dyDescent="0.2">
      <c r="A2721" s="5">
        <v>2660</v>
      </c>
      <c r="B2721" s="138">
        <f>'Expenditures 15-22'!F51</f>
        <v>1751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38195</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81471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3773316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3773316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833410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833410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3773316</v>
      </c>
      <c r="D2912" s="2" t="str">
        <f t="shared" si="44"/>
        <v>Error?</v>
      </c>
    </row>
    <row r="2913" spans="1:4" x14ac:dyDescent="0.2">
      <c r="A2913" s="5">
        <v>2852</v>
      </c>
      <c r="B2913" s="138">
        <f>'Assets-Liab 5-6'!I41</f>
        <v>3773316</v>
      </c>
      <c r="C2913" s="2" t="s">
        <v>572</v>
      </c>
      <c r="D2913" s="2" t="str">
        <f t="shared" si="44"/>
        <v>Error?</v>
      </c>
    </row>
    <row r="2914" spans="1:4" x14ac:dyDescent="0.2">
      <c r="A2914" s="5">
        <v>2853</v>
      </c>
      <c r="B2914" s="138">
        <f>'Assets-Liab 5-6'!L33</f>
        <v>833410</v>
      </c>
      <c r="D2914" s="2" t="str">
        <f t="shared" si="44"/>
        <v>Error?</v>
      </c>
    </row>
    <row r="2915" spans="1:4" x14ac:dyDescent="0.2">
      <c r="A2915" s="10">
        <v>2854</v>
      </c>
      <c r="D2915" s="2" t="str">
        <f t="shared" si="44"/>
        <v>OK</v>
      </c>
    </row>
    <row r="2916" spans="1:4" x14ac:dyDescent="0.2">
      <c r="A2916" s="5">
        <v>2855</v>
      </c>
      <c r="B2916" s="138">
        <f>'Assets-Liab 5-6'!L34</f>
        <v>833410</v>
      </c>
      <c r="C2916" s="2" t="s">
        <v>572</v>
      </c>
      <c r="D2916" s="2" t="str">
        <f t="shared" si="44"/>
        <v>Error?</v>
      </c>
    </row>
    <row r="2917" spans="1:4" x14ac:dyDescent="0.2">
      <c r="A2917" s="5">
        <v>2856</v>
      </c>
      <c r="B2917" s="138">
        <f>'Assets-Liab 5-6'!L41</f>
        <v>833410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211739</v>
      </c>
      <c r="D3055" s="2" t="str">
        <f t="shared" si="46"/>
        <v>Error?</v>
      </c>
    </row>
    <row r="3056" spans="1:4" x14ac:dyDescent="0.2">
      <c r="A3056" s="5">
        <v>2995</v>
      </c>
      <c r="B3056" s="138">
        <f>'Expenditures 15-22'!D10</f>
        <v>42684</v>
      </c>
      <c r="D3056" s="2" t="str">
        <f t="shared" si="46"/>
        <v>Error?</v>
      </c>
    </row>
    <row r="3057" spans="1:4" x14ac:dyDescent="0.2">
      <c r="A3057" s="5">
        <v>2996</v>
      </c>
      <c r="B3057" s="138">
        <f>'Expenditures 15-22'!E10</f>
        <v>3160</v>
      </c>
      <c r="D3057" s="2" t="str">
        <f t="shared" si="46"/>
        <v>Error?</v>
      </c>
    </row>
    <row r="3058" spans="1:4" x14ac:dyDescent="0.2">
      <c r="A3058" s="5">
        <v>2997</v>
      </c>
      <c r="B3058" s="138">
        <f>'Expenditures 15-22'!F10</f>
        <v>187887</v>
      </c>
      <c r="D3058" s="2" t="str">
        <f t="shared" si="46"/>
        <v>Error?</v>
      </c>
    </row>
    <row r="3059" spans="1:4" x14ac:dyDescent="0.2">
      <c r="A3059" s="5">
        <v>2998</v>
      </c>
      <c r="B3059" s="138">
        <f>'Expenditures 15-22'!G10</f>
        <v>12339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503031</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13865000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469057</v>
      </c>
      <c r="C3225" s="2" t="s">
        <v>572</v>
      </c>
      <c r="D3225" s="2" t="str">
        <f t="shared" si="49"/>
        <v>Error?</v>
      </c>
    </row>
    <row r="3226" spans="1:4" x14ac:dyDescent="0.2">
      <c r="A3226" s="5">
        <v>3165</v>
      </c>
      <c r="B3226" s="138">
        <f>'Acct Summary 7-8'!I8</f>
        <v>469057</v>
      </c>
      <c r="C3226" s="2" t="s">
        <v>572</v>
      </c>
      <c r="D3226" s="2" t="str">
        <f t="shared" si="49"/>
        <v>Error?</v>
      </c>
    </row>
    <row r="3227" spans="1:4" x14ac:dyDescent="0.2">
      <c r="A3227" s="5">
        <v>3166</v>
      </c>
      <c r="B3227" s="138">
        <f>'Acct Summary 7-8'!I20</f>
        <v>469057</v>
      </c>
      <c r="C3227" s="2" t="s">
        <v>572</v>
      </c>
      <c r="D3227" s="2" t="str">
        <f t="shared" si="49"/>
        <v>Error?</v>
      </c>
    </row>
    <row r="3228" spans="1:4" x14ac:dyDescent="0.2">
      <c r="A3228" s="5">
        <v>3167</v>
      </c>
      <c r="B3228" s="138">
        <f>'Acct Summary 7-8'!C43</f>
        <v>10605</v>
      </c>
      <c r="D3228" s="2" t="str">
        <f t="shared" si="49"/>
        <v>Error?</v>
      </c>
    </row>
    <row r="3229" spans="1:4" x14ac:dyDescent="0.2">
      <c r="A3229" s="5">
        <v>3168</v>
      </c>
      <c r="B3229" s="138">
        <f>'Acct Summary 7-8'!C44</f>
        <v>10605</v>
      </c>
      <c r="C3229" s="2" t="s">
        <v>572</v>
      </c>
      <c r="D3229" s="2" t="str">
        <f t="shared" si="49"/>
        <v>Error?</v>
      </c>
    </row>
    <row r="3230" spans="1:4" x14ac:dyDescent="0.2">
      <c r="A3230" s="5">
        <v>3169</v>
      </c>
      <c r="B3230" s="138">
        <f>'Acct Summary 7-8'!C75</f>
        <v>633000</v>
      </c>
      <c r="D3230" s="2" t="str">
        <f t="shared" si="49"/>
        <v>Error?</v>
      </c>
    </row>
    <row r="3231" spans="1:4" x14ac:dyDescent="0.2">
      <c r="A3231" s="5">
        <v>3170</v>
      </c>
      <c r="B3231" s="138">
        <f>'Acct Summary 7-8'!C76</f>
        <v>633000</v>
      </c>
      <c r="C3231" s="2" t="s">
        <v>572</v>
      </c>
      <c r="D3231" s="2" t="str">
        <f t="shared" si="49"/>
        <v>Error?</v>
      </c>
    </row>
    <row r="3232" spans="1:4" x14ac:dyDescent="0.2">
      <c r="A3232" s="5">
        <v>3171</v>
      </c>
      <c r="B3232" s="138">
        <f>'Acct Summary 7-8'!C77</f>
        <v>-622395</v>
      </c>
      <c r="C3232" s="2" t="s">
        <v>572</v>
      </c>
      <c r="D3232" s="2" t="str">
        <f t="shared" si="49"/>
        <v>Error?</v>
      </c>
    </row>
    <row r="3233" spans="1:4" x14ac:dyDescent="0.2">
      <c r="A3233" s="5">
        <v>3172</v>
      </c>
      <c r="B3233" s="138">
        <f>'Acct Summary 7-8'!C78</f>
        <v>2010332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120427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-212263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148316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983000</v>
      </c>
      <c r="D3273" s="2" t="str">
        <f t="shared" si="50"/>
        <v>Error?</v>
      </c>
    </row>
    <row r="3274" spans="1:4" x14ac:dyDescent="0.2">
      <c r="A3274" s="5">
        <v>3213</v>
      </c>
      <c r="B3274" s="138">
        <f>'Acct Summary 7-8'!E44</f>
        <v>16343970</v>
      </c>
      <c r="C3274" s="2" t="s">
        <v>572</v>
      </c>
      <c r="D3274" s="2" t="str">
        <f t="shared" si="50"/>
        <v>Error?</v>
      </c>
    </row>
    <row r="3275" spans="1:4" x14ac:dyDescent="0.2">
      <c r="A3275" s="5">
        <v>3214</v>
      </c>
      <c r="B3275" s="138">
        <f>'Acct Summary 7-8'!E75</f>
        <v>15439568</v>
      </c>
      <c r="D3275" s="2" t="str">
        <f t="shared" si="50"/>
        <v>Error?</v>
      </c>
    </row>
    <row r="3276" spans="1:4" x14ac:dyDescent="0.2">
      <c r="A3276" s="5">
        <v>3215</v>
      </c>
      <c r="B3276" s="138">
        <f>'Acct Summary 7-8'!E76</f>
        <v>15439568</v>
      </c>
      <c r="C3276" s="2" t="s">
        <v>572</v>
      </c>
      <c r="D3276" s="2" t="str">
        <f t="shared" si="50"/>
        <v>Error?</v>
      </c>
    </row>
    <row r="3277" spans="1:4" x14ac:dyDescent="0.2">
      <c r="A3277" s="5">
        <v>3216</v>
      </c>
      <c r="B3277" s="138">
        <f>'Acct Summary 7-8'!E77</f>
        <v>904402</v>
      </c>
      <c r="C3277" s="2" t="s">
        <v>572</v>
      </c>
      <c r="D3277" s="2" t="str">
        <f t="shared" si="50"/>
        <v>Error?</v>
      </c>
    </row>
    <row r="3278" spans="1:4" x14ac:dyDescent="0.2">
      <c r="A3278" s="5">
        <v>3217</v>
      </c>
      <c r="B3278" s="138">
        <f>'Acct Summary 7-8'!E78</f>
        <v>-1283029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350000</v>
      </c>
      <c r="D3297" s="2" t="str">
        <f t="shared" si="50"/>
        <v>Error?</v>
      </c>
    </row>
    <row r="3298" spans="1:4" x14ac:dyDescent="0.2">
      <c r="A3298" s="5">
        <v>3237</v>
      </c>
      <c r="B3298" s="138">
        <f>'Acct Summary 7-8'!H76</f>
        <v>350000</v>
      </c>
      <c r="C3298" s="2" t="s">
        <v>572</v>
      </c>
      <c r="D3298" s="2" t="str">
        <f t="shared" si="50"/>
        <v>Error?</v>
      </c>
    </row>
    <row r="3299" spans="1:4" x14ac:dyDescent="0.2">
      <c r="A3299" s="5">
        <v>3238</v>
      </c>
      <c r="B3299" s="138">
        <f>'Acct Summary 7-8'!H77</f>
        <v>-350000</v>
      </c>
      <c r="C3299" s="2" t="s">
        <v>572</v>
      </c>
      <c r="D3299" s="2" t="str">
        <f t="shared" si="50"/>
        <v>Error?</v>
      </c>
    </row>
    <row r="3300" spans="1:4" x14ac:dyDescent="0.2">
      <c r="A3300" s="5">
        <v>3239</v>
      </c>
      <c r="B3300" s="138">
        <f>'Acct Summary 7-8'!H78</f>
        <v>-86859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469057</v>
      </c>
      <c r="C3320" s="2" t="s">
        <v>572</v>
      </c>
      <c r="D3320" s="2" t="str">
        <f t="shared" si="50"/>
        <v>Error?</v>
      </c>
    </row>
    <row r="3321" spans="1:4" x14ac:dyDescent="0.2">
      <c r="A3321" s="5">
        <v>3260</v>
      </c>
      <c r="B3321" s="138">
        <f>'Acct Summary 7-8'!I79</f>
        <v>3304259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3773316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7471770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2040191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50575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90375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4182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267613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9925376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257572</v>
      </c>
      <c r="D3387" s="2" t="str">
        <f t="shared" si="51"/>
        <v>Error?</v>
      </c>
    </row>
    <row r="3388" spans="1:4" x14ac:dyDescent="0.2">
      <c r="A3388" s="5">
        <v>3327</v>
      </c>
      <c r="B3388" s="138">
        <f>'Expenditures 15-22'!D217</f>
        <v>318300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257572</v>
      </c>
      <c r="C3390" s="2" t="s">
        <v>572</v>
      </c>
      <c r="D3390" s="2" t="str">
        <f t="shared" si="51"/>
        <v>Error?</v>
      </c>
    </row>
    <row r="3391" spans="1:4" x14ac:dyDescent="0.2">
      <c r="A3391" s="5">
        <v>3330</v>
      </c>
      <c r="B3391" s="138">
        <f>'Expenditures 15-22'!K217</f>
        <v>318300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1255040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1459145</v>
      </c>
      <c r="C3446" s="2" t="s">
        <v>572</v>
      </c>
      <c r="D3446" s="2" t="str">
        <f t="shared" si="52"/>
        <v>Error?</v>
      </c>
    </row>
    <row r="3447" spans="1:4" x14ac:dyDescent="0.2">
      <c r="A3447" s="5">
        <v>3386</v>
      </c>
      <c r="B3447" s="138">
        <f>'Tax Sched 23'!D16</f>
        <v>682421</v>
      </c>
      <c r="C3447" s="2" t="s">
        <v>572</v>
      </c>
      <c r="D3447" s="2" t="str">
        <f t="shared" si="52"/>
        <v>Error?</v>
      </c>
    </row>
    <row r="3448" spans="1:4" x14ac:dyDescent="0.2">
      <c r="A3448" s="5">
        <v>3387</v>
      </c>
      <c r="B3448" s="138">
        <f>'Tax Sched 23'!C16</f>
        <v>776724</v>
      </c>
      <c r="D3448" s="2" t="str">
        <f t="shared" si="52"/>
        <v>Error?</v>
      </c>
    </row>
    <row r="3449" spans="1:4" x14ac:dyDescent="0.2">
      <c r="A3449" s="5">
        <v>3388</v>
      </c>
      <c r="B3449" s="138">
        <f>'Tax Sched 23'!F16</f>
        <v>723279</v>
      </c>
      <c r="C3449" s="2" t="s">
        <v>572</v>
      </c>
      <c r="D3449" s="2" t="str">
        <f t="shared" si="52"/>
        <v>Error?</v>
      </c>
    </row>
    <row r="3450" spans="1:4" x14ac:dyDescent="0.2">
      <c r="A3450" s="5">
        <v>3389</v>
      </c>
      <c r="B3450" s="138">
        <f>'Tax Sched 23'!E16</f>
        <v>1500003</v>
      </c>
      <c r="D3450" s="2" t="str">
        <f t="shared" si="52"/>
        <v>Error?</v>
      </c>
    </row>
    <row r="3451" spans="1:4" x14ac:dyDescent="0.2">
      <c r="A3451" s="5">
        <v>3390</v>
      </c>
      <c r="B3451" s="138">
        <f>'Cap Outlay Deprec 26'!C15</f>
        <v>92846</v>
      </c>
      <c r="D3451" s="2" t="str">
        <f t="shared" si="52"/>
        <v>Error?</v>
      </c>
    </row>
    <row r="3452" spans="1:4" x14ac:dyDescent="0.2">
      <c r="A3452" s="5">
        <v>3391</v>
      </c>
      <c r="B3452" s="138">
        <f>'Cap Outlay Deprec 26'!D15</f>
        <v>81471</v>
      </c>
      <c r="D3452" s="2" t="str">
        <f t="shared" si="52"/>
        <v>Error?</v>
      </c>
    </row>
    <row r="3453" spans="1:4" x14ac:dyDescent="0.2">
      <c r="A3453" s="5">
        <v>3392</v>
      </c>
      <c r="B3453" s="138">
        <f>'Cap Outlay Deprec 26'!E15</f>
        <v>92846</v>
      </c>
      <c r="D3453" s="2" t="str">
        <f t="shared" si="52"/>
        <v>Error?</v>
      </c>
    </row>
    <row r="3454" spans="1:4" x14ac:dyDescent="0.2">
      <c r="A3454" s="5">
        <v>3393</v>
      </c>
      <c r="B3454" s="138">
        <f>'Cap Outlay Deprec 26'!F15</f>
        <v>81471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81471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382416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382416</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382416</v>
      </c>
      <c r="D3567" s="2" t="str">
        <f t="shared" si="54"/>
        <v>Error?</v>
      </c>
    </row>
    <row r="3568" spans="1:4" x14ac:dyDescent="0.2">
      <c r="A3568" s="5">
        <v>3507</v>
      </c>
      <c r="B3568" s="138">
        <f>'Assets-Liab 5-6'!K41</f>
        <v>382416</v>
      </c>
      <c r="C3568" s="2" t="s">
        <v>572</v>
      </c>
      <c r="D3568" s="2" t="str">
        <f t="shared" si="54"/>
        <v>Error?</v>
      </c>
    </row>
    <row r="3569" spans="1:4" x14ac:dyDescent="0.2">
      <c r="A3569" s="5">
        <v>3508</v>
      </c>
      <c r="B3569" s="138">
        <f>'Acct Summary 7-8'!K4</f>
        <v>805479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805479</v>
      </c>
      <c r="C3571" s="2" t="s">
        <v>572</v>
      </c>
      <c r="D3571" s="2" t="str">
        <f t="shared" si="54"/>
        <v>Error?</v>
      </c>
    </row>
    <row r="3572" spans="1:4" x14ac:dyDescent="0.2">
      <c r="A3572" s="5">
        <v>3511</v>
      </c>
      <c r="B3572" s="138">
        <f>'Acct Summary 7-8'!K13</f>
        <v>806443</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806443</v>
      </c>
      <c r="C3575" s="2" t="s">
        <v>572</v>
      </c>
      <c r="D3575" s="2" t="str">
        <f t="shared" si="54"/>
        <v>Error?</v>
      </c>
    </row>
    <row r="3576" spans="1:4" x14ac:dyDescent="0.2">
      <c r="A3576" s="5">
        <v>3515</v>
      </c>
      <c r="B3576" s="138">
        <f>'Acct Summary 7-8'!K20</f>
        <v>-964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-964</v>
      </c>
      <c r="C3588" s="2" t="s">
        <v>572</v>
      </c>
      <c r="D3588" s="2" t="str">
        <f t="shared" si="55"/>
        <v>Error?</v>
      </c>
    </row>
    <row r="3589" spans="1:4" x14ac:dyDescent="0.2">
      <c r="A3589" s="5">
        <v>3528</v>
      </c>
      <c r="B3589" s="138">
        <f>'Acct Summary 7-8'!K79</f>
        <v>383380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382416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806443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806443</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806443</v>
      </c>
      <c r="C3649" s="2" t="s">
        <v>572</v>
      </c>
      <c r="D3649" s="2" t="str">
        <f t="shared" si="56"/>
        <v>Error?</v>
      </c>
    </row>
    <row r="3650" spans="1:4" x14ac:dyDescent="0.2">
      <c r="A3650" s="5">
        <v>3589</v>
      </c>
      <c r="B3650" s="138">
        <f>'Expenditures 15-22'!G367</f>
        <v>806443</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806443</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806443</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806443</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806443</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-964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833760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27612579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97113866</v>
      </c>
      <c r="C4122" s="2" t="s">
        <v>572</v>
      </c>
      <c r="D4122" s="2" t="str">
        <f t="shared" si="63"/>
        <v>Error?</v>
      </c>
    </row>
    <row r="4123" spans="1:4" x14ac:dyDescent="0.2">
      <c r="A4123" s="5">
        <v>4062</v>
      </c>
      <c r="B4123" s="138">
        <f>'Acct Summary 7-8'!D10</f>
        <v>7214367</v>
      </c>
      <c r="C4123" s="2" t="s">
        <v>572</v>
      </c>
      <c r="D4123" s="2" t="str">
        <f t="shared" si="63"/>
        <v>Error?</v>
      </c>
    </row>
    <row r="4124" spans="1:4" x14ac:dyDescent="0.2">
      <c r="A4124" s="5">
        <v>4063</v>
      </c>
      <c r="B4124" s="138">
        <f>'Acct Summary 7-8'!E10</f>
        <v>7595243</v>
      </c>
      <c r="C4124" s="2" t="s">
        <v>572</v>
      </c>
      <c r="D4124" s="2" t="str">
        <f t="shared" si="63"/>
        <v>Error?</v>
      </c>
    </row>
    <row r="4125" spans="1:4" x14ac:dyDescent="0.2">
      <c r="A4125" s="5">
        <v>4064</v>
      </c>
      <c r="B4125" s="138">
        <f>'Acct Summary 7-8'!F10</f>
        <v>5049073</v>
      </c>
      <c r="C4125" s="2" t="s">
        <v>572</v>
      </c>
      <c r="D4125" s="2" t="str">
        <f t="shared" si="63"/>
        <v>Error?</v>
      </c>
    </row>
    <row r="4126" spans="1:4" x14ac:dyDescent="0.2">
      <c r="A4126" s="5">
        <v>4065</v>
      </c>
      <c r="B4126" s="138">
        <f>'Acct Summary 7-8'!G10</f>
        <v>3057393</v>
      </c>
      <c r="C4126" s="2" t="s">
        <v>572</v>
      </c>
      <c r="D4126" s="2" t="str">
        <f t="shared" si="63"/>
        <v>Error?</v>
      </c>
    </row>
    <row r="4127" spans="1:4" x14ac:dyDescent="0.2">
      <c r="A4127" s="5">
        <v>4066</v>
      </c>
      <c r="B4127" s="138">
        <f>'Acct Summary 7-8'!H10</f>
        <v>520977</v>
      </c>
      <c r="C4127" s="2" t="s">
        <v>572</v>
      </c>
      <c r="D4127" s="2" t="str">
        <f t="shared" si="63"/>
        <v>Error?</v>
      </c>
    </row>
    <row r="4128" spans="1:4" x14ac:dyDescent="0.2">
      <c r="A4128" s="5">
        <v>4067</v>
      </c>
      <c r="B4128" s="138">
        <f>'Acct Summary 7-8'!I10</f>
        <v>469057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805479</v>
      </c>
      <c r="C4130" s="2" t="s">
        <v>572</v>
      </c>
      <c r="D4130" s="2" t="str">
        <f t="shared" si="63"/>
        <v>Error?</v>
      </c>
    </row>
    <row r="4131" spans="1:4" x14ac:dyDescent="0.2">
      <c r="A4131" s="5">
        <v>4070</v>
      </c>
      <c r="B4131" s="138">
        <f>'Acct Summary 7-8'!C18</f>
        <v>27612579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94481139</v>
      </c>
      <c r="C4136" s="2" t="s">
        <v>572</v>
      </c>
      <c r="D4136" s="2" t="str">
        <f t="shared" si="63"/>
        <v>Error?</v>
      </c>
    </row>
    <row r="4137" spans="1:4" x14ac:dyDescent="0.2">
      <c r="A4137" s="5">
        <v>4076</v>
      </c>
      <c r="B4137" s="138">
        <f>'Acct Summary 7-8'!D19</f>
        <v>7093940</v>
      </c>
      <c r="C4137" s="2" t="s">
        <v>572</v>
      </c>
      <c r="D4137" s="2" t="str">
        <f t="shared" si="63"/>
        <v>Error?</v>
      </c>
    </row>
    <row r="4138" spans="1:4" x14ac:dyDescent="0.2">
      <c r="A4138" s="5">
        <v>4077</v>
      </c>
      <c r="B4138" s="138">
        <f>'Acct Summary 7-8'!E19</f>
        <v>9782674</v>
      </c>
      <c r="C4138" s="2" t="s">
        <v>572</v>
      </c>
      <c r="D4138" s="2" t="str">
        <f t="shared" si="63"/>
        <v>Error?</v>
      </c>
    </row>
    <row r="4139" spans="1:4" x14ac:dyDescent="0.2">
      <c r="A4139" s="5">
        <v>4078</v>
      </c>
      <c r="B4139" s="138">
        <f>'Acct Summary 7-8'!F19</f>
        <v>5261336</v>
      </c>
      <c r="C4139" s="2" t="s">
        <v>572</v>
      </c>
      <c r="D4139" s="2" t="str">
        <f t="shared" si="63"/>
        <v>Error?</v>
      </c>
    </row>
    <row r="4140" spans="1:4" x14ac:dyDescent="0.2">
      <c r="A4140" s="5">
        <v>4079</v>
      </c>
      <c r="B4140" s="138">
        <f>'Acct Summary 7-8'!G19</f>
        <v>2909077</v>
      </c>
      <c r="C4140" s="2" t="s">
        <v>572</v>
      </c>
      <c r="D4140" s="2" t="str">
        <f t="shared" si="63"/>
        <v>Error?</v>
      </c>
    </row>
    <row r="4141" spans="1:4" x14ac:dyDescent="0.2">
      <c r="A4141" s="5">
        <v>4080</v>
      </c>
      <c r="B4141" s="138">
        <f>'Acct Summary 7-8'!H19</f>
        <v>257836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806443</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93837545</v>
      </c>
      <c r="C4171" s="2" t="s">
        <v>572</v>
      </c>
      <c r="D4171" s="2" t="str">
        <f t="shared" si="64"/>
        <v>Error?</v>
      </c>
    </row>
    <row r="4172" spans="1:4" x14ac:dyDescent="0.2">
      <c r="A4172" s="5">
        <v>4111</v>
      </c>
      <c r="B4172" s="138">
        <f>'Short-Term Long-Term Debt 24'!J49</f>
        <v>89750904</v>
      </c>
      <c r="C4172" s="2" t="s">
        <v>572</v>
      </c>
      <c r="D4172" s="2" t="str">
        <f t="shared" si="64"/>
        <v>Error?</v>
      </c>
    </row>
    <row r="4173" spans="1:4" x14ac:dyDescent="0.2">
      <c r="A4173" s="5">
        <v>4112</v>
      </c>
      <c r="B4173" s="138">
        <f>'Short-Term Long-Term Debt 24'!H49</f>
        <v>6110000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-15054395</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3696.6930000000002</v>
      </c>
      <c r="C4265" s="2" t="s">
        <v>572</v>
      </c>
      <c r="D4265" s="2" t="str">
        <f t="shared" si="65"/>
        <v>Error?</v>
      </c>
      <c r="E4265" s="128"/>
    </row>
    <row r="4266" spans="1:5" x14ac:dyDescent="0.2">
      <c r="A4266" s="12">
        <v>4205</v>
      </c>
      <c r="B4266" s="138">
        <f>('FP Info 3'!F10)*100000</f>
        <v>731.70699999999999</v>
      </c>
      <c r="C4266" s="2" t="s">
        <v>572</v>
      </c>
      <c r="D4266" s="2" t="str">
        <f t="shared" si="65"/>
        <v>Error?</v>
      </c>
      <c r="E4266" s="128"/>
    </row>
    <row r="4267" spans="1:5" x14ac:dyDescent="0.2">
      <c r="A4267" s="12">
        <v>4206</v>
      </c>
      <c r="B4267" s="138">
        <f>('FP Info 3'!H10)*100000</f>
        <v>225.047</v>
      </c>
      <c r="C4267" s="2" t="s">
        <v>572</v>
      </c>
      <c r="D4267" s="2" t="str">
        <f t="shared" si="65"/>
        <v>Error?</v>
      </c>
      <c r="E4267" s="128"/>
    </row>
    <row r="4268" spans="1:5" x14ac:dyDescent="0.2">
      <c r="A4268" s="12">
        <v>4207</v>
      </c>
      <c r="B4268" s="138">
        <f>('FP Info 3'!J10)*100000</f>
        <v>4653</v>
      </c>
      <c r="C4268" s="2" t="s">
        <v>572</v>
      </c>
      <c r="D4268" s="2" t="str">
        <f t="shared" si="65"/>
        <v>Error?</v>
      </c>
    </row>
    <row r="4269" spans="1:5" x14ac:dyDescent="0.2">
      <c r="A4269" s="12">
        <v>4208</v>
      </c>
      <c r="B4269" s="138">
        <f>'FP Info 3'!J16</f>
        <v>60475349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250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50441</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252965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288123</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17530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107930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64726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67338</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47.378999999999998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67338</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155331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844268297</v>
      </c>
      <c r="D4995" s="2" t="str">
        <f t="shared" si="77"/>
        <v>Error?</v>
      </c>
    </row>
    <row r="4996" spans="1:4" x14ac:dyDescent="0.2">
      <c r="A4996" s="12">
        <v>4935</v>
      </c>
      <c r="B4996" s="138">
        <f>'FP Info 3'!H31</f>
        <v>116509024.98600002</v>
      </c>
      <c r="D4996" s="2" t="str">
        <f t="shared" si="77"/>
        <v>Error?</v>
      </c>
    </row>
    <row r="4997" spans="1:4" x14ac:dyDescent="0.2">
      <c r="A4997" s="12">
        <v>4936</v>
      </c>
      <c r="B4997" s="138">
        <f>'FP Info 3'!H37</f>
        <v>93837545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29557750</v>
      </c>
      <c r="D5061" s="2" t="str">
        <f t="shared" si="78"/>
        <v>Error?</v>
      </c>
    </row>
    <row r="5062" spans="1:4" x14ac:dyDescent="0.2">
      <c r="A5062" s="10">
        <v>5001</v>
      </c>
      <c r="D5062" s="2" t="str">
        <f t="shared" si="78"/>
        <v>OK</v>
      </c>
    </row>
    <row r="5063" spans="1:4" x14ac:dyDescent="0.2">
      <c r="A5063" s="5">
        <v>5002</v>
      </c>
      <c r="B5063" s="138">
        <f>'Revenues 9-14'!C7</f>
        <v>5981402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35539152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179530</v>
      </c>
      <c r="D5072" s="2" t="str">
        <f t="shared" si="78"/>
        <v>Error?</v>
      </c>
    </row>
    <row r="5073" spans="1:4" x14ac:dyDescent="0.2">
      <c r="A5073" s="5">
        <v>5012</v>
      </c>
      <c r="B5073" s="138">
        <f>'Revenues 9-14'!C21</f>
        <v>3145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28508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3093957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3305140</v>
      </c>
      <c r="C5087" s="2" t="s">
        <v>572</v>
      </c>
      <c r="D5087" s="2" t="str">
        <f t="shared" si="78"/>
        <v>Error?</v>
      </c>
    </row>
    <row r="5088" spans="1:4" x14ac:dyDescent="0.2">
      <c r="A5088" s="5">
        <v>5027</v>
      </c>
      <c r="B5088" s="138">
        <f>'Revenues 9-14'!C65</f>
        <v>750377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750377</v>
      </c>
      <c r="C5090" s="2" t="s">
        <v>572</v>
      </c>
      <c r="D5090" s="2" t="str">
        <f t="shared" si="78"/>
        <v>Error?</v>
      </c>
    </row>
    <row r="5091" spans="1:4" x14ac:dyDescent="0.2">
      <c r="A5091" s="5">
        <v>5030</v>
      </c>
      <c r="B5091" s="138">
        <f>'Revenues 9-14'!C70</f>
        <v>30155</v>
      </c>
      <c r="D5091" s="2" t="str">
        <f t="shared" si="78"/>
        <v>Error?</v>
      </c>
    </row>
    <row r="5092" spans="1:4" x14ac:dyDescent="0.2">
      <c r="A5092" s="5">
        <v>5031</v>
      </c>
      <c r="B5092" s="138">
        <f>'Revenues 9-14'!C71</f>
        <v>123062</v>
      </c>
      <c r="D5092" s="2" t="str">
        <f t="shared" si="78"/>
        <v>Error?</v>
      </c>
    </row>
    <row r="5093" spans="1:4" x14ac:dyDescent="0.2">
      <c r="A5093" s="5">
        <v>5032</v>
      </c>
      <c r="B5093" s="138">
        <f>'Revenues 9-14'!C72</f>
        <v>21254</v>
      </c>
      <c r="D5093" s="2" t="str">
        <f t="shared" si="78"/>
        <v>Error?</v>
      </c>
    </row>
    <row r="5094" spans="1:4" x14ac:dyDescent="0.2">
      <c r="A5094" s="5">
        <v>5033</v>
      </c>
      <c r="B5094" s="138">
        <f>'Revenues 9-14'!C73</f>
        <v>21363</v>
      </c>
      <c r="D5094" s="2" t="str">
        <f t="shared" si="78"/>
        <v>Error?</v>
      </c>
    </row>
    <row r="5095" spans="1:4" x14ac:dyDescent="0.2">
      <c r="A5095" s="5">
        <v>5034</v>
      </c>
      <c r="B5095" s="138">
        <f>'Revenues 9-14'!C74</f>
        <v>49803</v>
      </c>
      <c r="D5095" s="2" t="str">
        <f t="shared" si="78"/>
        <v>Error?</v>
      </c>
    </row>
    <row r="5096" spans="1:4" x14ac:dyDescent="0.2">
      <c r="A5096" s="5">
        <v>5035</v>
      </c>
      <c r="B5096" s="138">
        <f>'Revenues 9-14'!C75</f>
        <v>757918</v>
      </c>
      <c r="C5096" s="2" t="s">
        <v>572</v>
      </c>
      <c r="D5096" s="2" t="str">
        <f t="shared" si="78"/>
        <v>Error?</v>
      </c>
    </row>
    <row r="5097" spans="1:4" x14ac:dyDescent="0.2">
      <c r="A5097" s="5">
        <v>5036</v>
      </c>
      <c r="B5097" s="138">
        <f>'Revenues 9-14'!C77</f>
        <v>182366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86529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268895</v>
      </c>
      <c r="C5102" s="2" t="s">
        <v>572</v>
      </c>
      <c r="D5102" s="2" t="str">
        <f t="shared" si="78"/>
        <v>Error?</v>
      </c>
    </row>
    <row r="5103" spans="1:4" x14ac:dyDescent="0.2">
      <c r="A5103" s="5">
        <v>5042</v>
      </c>
      <c r="B5103" s="138">
        <f>'Revenues 9-14'!C84</f>
        <v>700476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700476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574450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69086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316593</v>
      </c>
      <c r="D5119" s="2" t="str">
        <f t="shared" ref="D5119:D5182" si="79">IF(ISBLANK(B5119),"OK",IF(A5119-B5119=0,"OK","Error?"))</f>
        <v>Error?</v>
      </c>
    </row>
    <row r="5120" spans="1:4" x14ac:dyDescent="0.2">
      <c r="A5120" s="5">
        <v>5059</v>
      </c>
      <c r="B5120" s="138">
        <f>'Revenues 9-14'!C108</f>
        <v>1085671</v>
      </c>
      <c r="C5120" s="2" t="s">
        <v>572</v>
      </c>
      <c r="D5120" s="2" t="str">
        <f t="shared" si="79"/>
        <v>Error?</v>
      </c>
    </row>
    <row r="5121" spans="1:4" x14ac:dyDescent="0.2">
      <c r="A5121" s="5">
        <v>5060</v>
      </c>
      <c r="B5121" s="138">
        <f>'Revenues 9-14'!C109</f>
        <v>42407629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19420243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19420243</v>
      </c>
      <c r="C5132" s="2" t="s">
        <v>572</v>
      </c>
      <c r="D5132" s="2" t="str">
        <f t="shared" si="79"/>
        <v>Error?</v>
      </c>
    </row>
    <row r="5133" spans="1:4" x14ac:dyDescent="0.2">
      <c r="A5133" s="5">
        <v>5072</v>
      </c>
      <c r="B5133" s="138">
        <f>'Revenues 9-14'!C125</f>
        <v>135728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157635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293363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63190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63190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19814</v>
      </c>
      <c r="D5167" s="2" t="str">
        <f t="shared" si="79"/>
        <v>Error?</v>
      </c>
    </row>
    <row r="5168" spans="1:4" x14ac:dyDescent="0.2">
      <c r="A5168" s="5">
        <v>5107</v>
      </c>
      <c r="B5168" s="138">
        <f>'Revenues 9-14'!C148</f>
        <v>61551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2354077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2947326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22367569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1006383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197620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1204003</v>
      </c>
      <c r="C5246" s="2" t="s">
        <v>572</v>
      </c>
      <c r="D5246" s="2" t="str">
        <f t="shared" si="80"/>
        <v>Error?</v>
      </c>
    </row>
    <row r="5247" spans="1:4" x14ac:dyDescent="0.2">
      <c r="A5247" s="5">
        <v>5186</v>
      </c>
      <c r="B5247" s="138">
        <f>'Revenues 9-14'!C200</f>
        <v>1000576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17530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1000826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51196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1399074</v>
      </c>
      <c r="D5278" s="2" t="str">
        <f t="shared" si="81"/>
        <v>Error?</v>
      </c>
    </row>
    <row r="5279" spans="1:4" x14ac:dyDescent="0.2">
      <c r="A5279" s="5">
        <v>5218</v>
      </c>
      <c r="B5279" s="138">
        <f>'Revenues 9-14'!C214</f>
        <v>287623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1737893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50441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1652</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4726089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4726089</v>
      </c>
      <c r="C5326" s="2" t="s">
        <v>572</v>
      </c>
      <c r="D5326" s="2" t="str">
        <f t="shared" si="82"/>
        <v>Error?</v>
      </c>
    </row>
    <row r="5327" spans="1:5" x14ac:dyDescent="0.2">
      <c r="A5327" s="5">
        <v>5266</v>
      </c>
      <c r="B5327" s="138">
        <f>'Revenues 9-14'!C268</f>
        <v>69501287</v>
      </c>
      <c r="C5327" s="2" t="s">
        <v>572</v>
      </c>
      <c r="D5327" s="2" t="str">
        <f t="shared" si="82"/>
        <v>Error?</v>
      </c>
    </row>
    <row r="5328" spans="1:5" x14ac:dyDescent="0.2">
      <c r="A5328" s="5">
        <v>5267</v>
      </c>
      <c r="B5328" s="138">
        <f>'Revenues 9-14'!D5</f>
        <v>5901076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5901076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200000</v>
      </c>
      <c r="C5339" s="2" t="s">
        <v>572</v>
      </c>
      <c r="D5339" s="2" t="str">
        <f t="shared" si="82"/>
        <v>Error?</v>
      </c>
    </row>
    <row r="5340" spans="1:4" x14ac:dyDescent="0.2">
      <c r="A5340" s="5">
        <v>5279</v>
      </c>
      <c r="B5340" s="138">
        <f>'Revenues 9-14'!D65</f>
        <v>82922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82922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33347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33347</v>
      </c>
      <c r="C5348" s="2" t="s">
        <v>572</v>
      </c>
      <c r="D5348" s="2" t="str">
        <f t="shared" si="82"/>
        <v>Error?</v>
      </c>
    </row>
    <row r="5349" spans="1:4" x14ac:dyDescent="0.2">
      <c r="A5349" s="5">
        <v>5288</v>
      </c>
      <c r="B5349" s="138">
        <f>'Revenues 9-14'!D95</f>
        <v>36775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65733</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19514</v>
      </c>
      <c r="D5354" s="2" t="str">
        <f t="shared" si="82"/>
        <v>Error?</v>
      </c>
    </row>
    <row r="5355" spans="1:4" x14ac:dyDescent="0.2">
      <c r="A5355" s="5">
        <v>5294</v>
      </c>
      <c r="B5355" s="138">
        <f>'Revenues 9-14'!D108</f>
        <v>122022</v>
      </c>
      <c r="C5355" s="2" t="s">
        <v>572</v>
      </c>
      <c r="D5355" s="2" t="str">
        <f t="shared" si="82"/>
        <v>Error?</v>
      </c>
    </row>
    <row r="5356" spans="1:4" x14ac:dyDescent="0.2">
      <c r="A5356" s="5">
        <v>5295</v>
      </c>
      <c r="B5356" s="138">
        <f>'Revenues 9-14'!D109</f>
        <v>6339367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65000</v>
      </c>
      <c r="D5391" s="2" t="str">
        <f t="shared" si="83"/>
        <v>Error?</v>
      </c>
    </row>
    <row r="5392" spans="1:4" x14ac:dyDescent="0.2">
      <c r="A5392" s="10">
        <v>5331</v>
      </c>
      <c r="D5392" s="2" t="str">
        <f t="shared" si="83"/>
        <v>OK</v>
      </c>
    </row>
    <row r="5393" spans="1:4" x14ac:dyDescent="0.2">
      <c r="A5393" s="5">
        <v>5332</v>
      </c>
      <c r="B5393" s="138">
        <f>'Revenues 9-14'!D153</f>
        <v>10000</v>
      </c>
      <c r="D5393" s="2" t="str">
        <f t="shared" si="83"/>
        <v>Error?</v>
      </c>
    </row>
    <row r="5394" spans="1:4" x14ac:dyDescent="0.2">
      <c r="A5394" s="5">
        <v>5333</v>
      </c>
      <c r="B5394" s="138">
        <f>'Revenues 9-14'!D155</f>
        <v>75000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75000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875000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7214367</v>
      </c>
      <c r="C5508" s="2" t="s">
        <v>572</v>
      </c>
      <c r="D5508" s="2" t="str">
        <f t="shared" si="85"/>
        <v>Error?</v>
      </c>
    </row>
    <row r="5509" spans="1:4" x14ac:dyDescent="0.2">
      <c r="A5509" s="5">
        <v>5448</v>
      </c>
      <c r="B5509" s="138">
        <f>'Revenues 9-14'!E5</f>
        <v>6938348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6938348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503106</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503106</v>
      </c>
      <c r="C5518" s="2" t="s">
        <v>572</v>
      </c>
      <c r="D5518" s="2" t="str">
        <f t="shared" si="85"/>
        <v>Error?</v>
      </c>
    </row>
    <row r="5519" spans="1:4" x14ac:dyDescent="0.2">
      <c r="A5519" s="5">
        <v>5458</v>
      </c>
      <c r="B5519" s="138">
        <f>'Revenues 9-14'!E65</f>
        <v>86451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86451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7527905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7595243</v>
      </c>
      <c r="C5552" s="2" t="s">
        <v>572</v>
      </c>
      <c r="D5552" s="2" t="str">
        <f t="shared" si="85"/>
        <v>Error?</v>
      </c>
    </row>
    <row r="5553" spans="1:4" x14ac:dyDescent="0.2">
      <c r="A5553" s="5">
        <v>5492</v>
      </c>
      <c r="B5553" s="138">
        <f>'Revenues 9-14'!F5</f>
        <v>1785370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1785370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49878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42366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92244</v>
      </c>
      <c r="C5579" s="2" t="s">
        <v>572</v>
      </c>
      <c r="D5579" s="2" t="str">
        <f t="shared" si="86"/>
        <v>Error?</v>
      </c>
    </row>
    <row r="5580" spans="1:4" x14ac:dyDescent="0.2">
      <c r="A5580" s="5">
        <v>5519</v>
      </c>
      <c r="B5580" s="138">
        <f>'Revenues 9-14'!F65</f>
        <v>86701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86701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20251</v>
      </c>
      <c r="D5586" s="2" t="str">
        <f t="shared" si="86"/>
        <v>Error?</v>
      </c>
    </row>
    <row r="5587" spans="1:4" x14ac:dyDescent="0.2">
      <c r="A5587" s="5">
        <v>5526</v>
      </c>
      <c r="B5587" s="138">
        <f>'Revenues 9-14'!F108</f>
        <v>20251</v>
      </c>
      <c r="C5587" s="2" t="s">
        <v>572</v>
      </c>
      <c r="D5587" s="2" t="str">
        <f t="shared" si="86"/>
        <v>Error?</v>
      </c>
    </row>
    <row r="5588" spans="1:4" x14ac:dyDescent="0.2">
      <c r="A5588" s="5">
        <v>5527</v>
      </c>
      <c r="B5588" s="138">
        <f>'Revenues 9-14'!F109</f>
        <v>1984566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2519236</v>
      </c>
      <c r="D5615" s="2" t="str">
        <f t="shared" si="86"/>
        <v>Error?</v>
      </c>
    </row>
    <row r="5616" spans="1:4" x14ac:dyDescent="0.2">
      <c r="A5616" s="10">
        <v>5555</v>
      </c>
      <c r="D5616" s="2" t="str">
        <f t="shared" si="86"/>
        <v>OK</v>
      </c>
    </row>
    <row r="5617" spans="1:5" x14ac:dyDescent="0.2">
      <c r="A5617" s="5">
        <v>5556</v>
      </c>
      <c r="B5617" s="138">
        <f>'Revenues 9-14'!F153</f>
        <v>545271</v>
      </c>
      <c r="D5617" s="2" t="str">
        <f t="shared" si="86"/>
        <v>Error?</v>
      </c>
    </row>
    <row r="5618" spans="1:5" x14ac:dyDescent="0.2">
      <c r="A5618" s="5">
        <v>5557</v>
      </c>
      <c r="B5618" s="138">
        <f>'Revenues 9-14'!F155</f>
        <v>3064507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3064507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3064507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5049073</v>
      </c>
      <c r="C5720" s="2" t="s">
        <v>572</v>
      </c>
      <c r="D5720" s="2" t="str">
        <f t="shared" si="88"/>
        <v>Error?</v>
      </c>
    </row>
    <row r="5721" spans="1:4" x14ac:dyDescent="0.2">
      <c r="A5721" s="5">
        <v>5660</v>
      </c>
      <c r="B5721" s="138">
        <f>'Revenues 9-14'!G5</f>
        <v>1459145</v>
      </c>
      <c r="D5721" s="2" t="str">
        <f t="shared" si="88"/>
        <v>Error?</v>
      </c>
    </row>
    <row r="5722" spans="1:4" x14ac:dyDescent="0.2">
      <c r="A5722" s="5">
        <v>5661</v>
      </c>
      <c r="B5722" s="138">
        <f>'Revenues 9-14'!G7</f>
        <v>0</v>
      </c>
      <c r="D5722" s="2" t="str">
        <f t="shared" si="88"/>
        <v>Error?</v>
      </c>
    </row>
    <row r="5723" spans="1:4" x14ac:dyDescent="0.2">
      <c r="A5723" s="5">
        <v>5662</v>
      </c>
      <c r="B5723" s="138">
        <f>'Revenues 9-14'!G8</f>
        <v>1459145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2918290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95200</v>
      </c>
      <c r="C5730" s="2" t="s">
        <v>572</v>
      </c>
      <c r="D5730" s="2" t="str">
        <f t="shared" si="88"/>
        <v>Error?</v>
      </c>
    </row>
    <row r="5731" spans="1:4" x14ac:dyDescent="0.2">
      <c r="A5731" s="5">
        <v>5670</v>
      </c>
      <c r="B5731" s="138">
        <f>'Revenues 9-14'!G65</f>
        <v>43903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43903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3057393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9740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9740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463255</v>
      </c>
      <c r="D5885" s="2" t="str">
        <f t="shared" si="90"/>
        <v>Error?</v>
      </c>
    </row>
    <row r="5886" spans="1:4" x14ac:dyDescent="0.2">
      <c r="A5886" s="5">
        <v>5825</v>
      </c>
      <c r="B5886" s="138">
        <f>'Revenues 9-14'!H108</f>
        <v>511237</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520977</v>
      </c>
      <c r="C5915" s="2" t="s">
        <v>572</v>
      </c>
      <c r="D5915" s="2" t="str">
        <f t="shared" si="91"/>
        <v>Error?</v>
      </c>
    </row>
    <row r="5916" spans="1:4" x14ac:dyDescent="0.2">
      <c r="A5916" s="5">
        <v>5855</v>
      </c>
      <c r="B5916" s="138">
        <f>'Revenues 9-14'!I5</f>
        <v>390331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390331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78726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78726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469057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802996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802996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2483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2483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805479</v>
      </c>
      <c r="C6023" s="2" t="s">
        <v>572</v>
      </c>
      <c r="D6023" s="2" t="str">
        <f t="shared" si="93"/>
        <v>Error?</v>
      </c>
    </row>
    <row r="6024" spans="1:5" x14ac:dyDescent="0.2">
      <c r="A6024" s="5">
        <v>5963</v>
      </c>
      <c r="B6024" s="138">
        <f>'Revenues 9-14'!G109</f>
        <v>3057393</v>
      </c>
      <c r="C6024" s="2" t="s">
        <v>572</v>
      </c>
      <c r="D6024" s="2" t="str">
        <f t="shared" si="93"/>
        <v>Error?</v>
      </c>
    </row>
    <row r="6025" spans="1:5" x14ac:dyDescent="0.2">
      <c r="A6025" s="5">
        <v>5964</v>
      </c>
      <c r="B6025" s="138">
        <f>'Revenues 9-14'!H109</f>
        <v>520977</v>
      </c>
      <c r="C6025" s="2" t="s">
        <v>572</v>
      </c>
      <c r="D6025" s="2" t="str">
        <f t="shared" si="93"/>
        <v>Error?</v>
      </c>
    </row>
    <row r="6026" spans="1:5" x14ac:dyDescent="0.2">
      <c r="A6026" s="5">
        <v>5965</v>
      </c>
      <c r="B6026" s="138">
        <f>'Revenues 9-14'!I109</f>
        <v>469057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805479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512281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155162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5289.5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1204979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1204979</v>
      </c>
      <c r="D6215" s="2" t="str">
        <f t="shared" si="96"/>
        <v>Error?</v>
      </c>
      <c r="E6215" s="2" t="s">
        <v>190</v>
      </c>
    </row>
    <row r="6216" spans="1:5" x14ac:dyDescent="0.2">
      <c r="A6216">
        <v>6155</v>
      </c>
      <c r="B6216" s="138">
        <f>'Assets-Liab 5-6'!J41</f>
        <v>1204979</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1204979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1075112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1075112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1075112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730356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730356</v>
      </c>
      <c r="D6229" s="2" t="str">
        <f t="shared" si="96"/>
        <v>Error?</v>
      </c>
      <c r="E6229" s="2" t="s">
        <v>190</v>
      </c>
    </row>
    <row r="6230" spans="1:5" x14ac:dyDescent="0.2">
      <c r="A6230">
        <v>6169</v>
      </c>
      <c r="B6230" s="138">
        <f>'Acct Summary 7-8'!J20</f>
        <v>344756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344756</v>
      </c>
      <c r="D6263" s="2" t="str">
        <f t="shared" si="96"/>
        <v>Error?</v>
      </c>
      <c r="E6263" s="2" t="s">
        <v>190</v>
      </c>
    </row>
    <row r="6264" spans="1:5" x14ac:dyDescent="0.2">
      <c r="A6264">
        <v>6203</v>
      </c>
      <c r="B6264" s="138">
        <f>'Acct Summary 7-8'!J79</f>
        <v>860223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1204979</v>
      </c>
      <c r="D6266" s="2" t="str">
        <f t="shared" si="96"/>
        <v>Error?</v>
      </c>
      <c r="E6266" s="2" t="s">
        <v>190</v>
      </c>
    </row>
    <row r="6267" spans="1:5" x14ac:dyDescent="0.2">
      <c r="A6267">
        <v>6206</v>
      </c>
      <c r="B6267" s="138">
        <f>'Acct Summary 7-8'!C82</f>
        <v>2010332</v>
      </c>
      <c r="D6267" s="2" t="str">
        <f t="shared" si="96"/>
        <v>Error?</v>
      </c>
      <c r="E6267" s="2" t="s">
        <v>190</v>
      </c>
    </row>
    <row r="6268" spans="1:5" x14ac:dyDescent="0.2">
      <c r="A6268">
        <v>6207</v>
      </c>
      <c r="B6268" s="138">
        <f>'Acct Summary 7-8'!D82</f>
        <v>120427</v>
      </c>
      <c r="D6268" s="2" t="str">
        <f t="shared" si="96"/>
        <v>Error?</v>
      </c>
      <c r="E6268" s="2" t="s">
        <v>190</v>
      </c>
    </row>
    <row r="6269" spans="1:5" x14ac:dyDescent="0.2">
      <c r="A6269">
        <v>6208</v>
      </c>
      <c r="B6269" s="138">
        <f>'Acct Summary 7-8'!E82</f>
        <v>-1283029</v>
      </c>
      <c r="D6269" s="2" t="str">
        <f t="shared" si="96"/>
        <v>Error?</v>
      </c>
      <c r="E6269" s="2" t="s">
        <v>190</v>
      </c>
    </row>
    <row r="6270" spans="1:5" x14ac:dyDescent="0.2">
      <c r="A6270">
        <v>6209</v>
      </c>
      <c r="B6270" s="138">
        <f>'Acct Summary 7-8'!F82</f>
        <v>-212263</v>
      </c>
      <c r="D6270" s="2" t="str">
        <f t="shared" si="96"/>
        <v>Error?</v>
      </c>
      <c r="E6270" s="2" t="s">
        <v>190</v>
      </c>
    </row>
    <row r="6271" spans="1:5" x14ac:dyDescent="0.2">
      <c r="A6271">
        <v>6210</v>
      </c>
      <c r="B6271" s="138">
        <f>'Acct Summary 7-8'!G82</f>
        <v>148316</v>
      </c>
      <c r="D6271" s="2" t="str">
        <f t="shared" ref="D6271:D6334" si="97">IF(ISBLANK(B6271),"OK",IF(A6271-B6271=0,"OK","Error?"))</f>
        <v>Error?</v>
      </c>
      <c r="E6271" s="2" t="s">
        <v>190</v>
      </c>
    </row>
    <row r="6272" spans="1:5" x14ac:dyDescent="0.2">
      <c r="A6272">
        <v>6211</v>
      </c>
      <c r="B6272" s="138">
        <f>'Acct Summary 7-8'!H82</f>
        <v>-86859</v>
      </c>
      <c r="D6272" s="2" t="str">
        <f t="shared" si="97"/>
        <v>Error?</v>
      </c>
      <c r="E6272" s="2" t="s">
        <v>190</v>
      </c>
    </row>
    <row r="6273" spans="1:5" x14ac:dyDescent="0.2">
      <c r="A6273">
        <v>6212</v>
      </c>
      <c r="B6273" s="138">
        <f>'Acct Summary 7-8'!I82</f>
        <v>469057</v>
      </c>
      <c r="D6273" s="2" t="str">
        <f t="shared" si="97"/>
        <v>Error?</v>
      </c>
      <c r="E6273" s="2" t="s">
        <v>190</v>
      </c>
    </row>
    <row r="6274" spans="1:5" x14ac:dyDescent="0.2">
      <c r="A6274">
        <v>6213</v>
      </c>
      <c r="B6274" s="138">
        <f>'Acct Summary 7-8'!J82</f>
        <v>344756</v>
      </c>
      <c r="D6274" s="2" t="str">
        <f t="shared" si="97"/>
        <v>Error?</v>
      </c>
      <c r="E6274" s="2" t="s">
        <v>190</v>
      </c>
    </row>
    <row r="6275" spans="1:5" x14ac:dyDescent="0.2">
      <c r="A6275">
        <v>6214</v>
      </c>
      <c r="B6275" s="138">
        <f>'Acct Summary 7-8'!K82</f>
        <v>-964</v>
      </c>
      <c r="D6275" s="2" t="str">
        <f t="shared" si="97"/>
        <v>Error?</v>
      </c>
      <c r="E6275" s="2" t="s">
        <v>190</v>
      </c>
    </row>
    <row r="6276" spans="1:5" x14ac:dyDescent="0.2">
      <c r="A6276">
        <v>6215</v>
      </c>
      <c r="B6276" s="138">
        <f>'Acct Summary 7-8'!C83</f>
        <v>4.2315562139602254E-2</v>
      </c>
      <c r="D6276" s="2" t="str">
        <f t="shared" si="97"/>
        <v>Error?</v>
      </c>
      <c r="E6276" s="2" t="s">
        <v>190</v>
      </c>
    </row>
    <row r="6277" spans="1:5" x14ac:dyDescent="0.2">
      <c r="A6277">
        <v>6216</v>
      </c>
      <c r="B6277" s="138">
        <f>'Acct Summary 7-8'!D83</f>
        <v>2.6538812354705583E-2</v>
      </c>
      <c r="D6277" s="2" t="str">
        <f t="shared" si="97"/>
        <v>Error?</v>
      </c>
      <c r="E6277" s="2" t="s">
        <v>190</v>
      </c>
    </row>
    <row r="6278" spans="1:5" x14ac:dyDescent="0.2">
      <c r="A6278">
        <v>6217</v>
      </c>
      <c r="B6278" s="138">
        <f>'Acct Summary 7-8'!E83</f>
        <v>-0.3139568657976074</v>
      </c>
      <c r="D6278" s="2" t="str">
        <f t="shared" si="97"/>
        <v>Error?</v>
      </c>
      <c r="E6278" s="2" t="s">
        <v>190</v>
      </c>
    </row>
    <row r="6279" spans="1:5" x14ac:dyDescent="0.2">
      <c r="A6279">
        <v>6218</v>
      </c>
      <c r="B6279" s="138">
        <f>'Acct Summary 7-8'!F83</f>
        <v>-4.5587536346987853E-2</v>
      </c>
      <c r="D6279" s="2" t="str">
        <f t="shared" si="97"/>
        <v>Error?</v>
      </c>
      <c r="E6279" s="2" t="s">
        <v>190</v>
      </c>
    </row>
    <row r="6280" spans="1:5" x14ac:dyDescent="0.2">
      <c r="A6280">
        <v>6219</v>
      </c>
      <c r="B6280" s="138">
        <f>'Acct Summary 7-8'!G83</f>
        <v>6.6930478783341477E-2</v>
      </c>
      <c r="D6280" s="2" t="str">
        <f t="shared" si="97"/>
        <v>Error?</v>
      </c>
      <c r="E6280" s="2" t="s">
        <v>190</v>
      </c>
    </row>
    <row r="6281" spans="1:5" x14ac:dyDescent="0.2">
      <c r="A6281">
        <v>6220</v>
      </c>
      <c r="B6281" s="138">
        <f>'Acct Summary 7-8'!H83</f>
        <v>-0.38277366472765734</v>
      </c>
      <c r="D6281" s="2" t="str">
        <f t="shared" si="97"/>
        <v>Error?</v>
      </c>
      <c r="E6281" s="2" t="s">
        <v>190</v>
      </c>
    </row>
    <row r="6282" spans="1:5" x14ac:dyDescent="0.2">
      <c r="A6282">
        <v>6221</v>
      </c>
      <c r="B6282" s="138">
        <f>'Acct Summary 7-8'!I83</f>
        <v>0.12430896325672168</v>
      </c>
      <c r="D6282" s="2" t="str">
        <f t="shared" si="97"/>
        <v>Error?</v>
      </c>
      <c r="E6282" s="2" t="s">
        <v>190</v>
      </c>
    </row>
    <row r="6283" spans="1:5" x14ac:dyDescent="0.2">
      <c r="A6283">
        <v>6222</v>
      </c>
      <c r="B6283" s="138">
        <f>'Acct Summary 7-8'!J83</f>
        <v>0.28610955045689596</v>
      </c>
      <c r="D6283" s="2" t="str">
        <f t="shared" si="97"/>
        <v>Error?</v>
      </c>
      <c r="E6283" s="2" t="s">
        <v>190</v>
      </c>
    </row>
    <row r="6284" spans="1:5" x14ac:dyDescent="0.2">
      <c r="A6284">
        <v>6223</v>
      </c>
      <c r="B6284" s="138">
        <f>'Acct Summary 7-8'!K83</f>
        <v>-2.5208150286598887E-3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1043447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1043447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15757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15757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47982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15908</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71225</v>
      </c>
      <c r="D6339" s="2" t="str">
        <f t="shared" si="98"/>
        <v>Error?</v>
      </c>
      <c r="E6339" s="2" t="s">
        <v>190</v>
      </c>
    </row>
    <row r="6340" spans="1:5" x14ac:dyDescent="0.2">
      <c r="A6340">
        <v>6279</v>
      </c>
      <c r="B6340" s="138">
        <f>'Revenues 9-14'!C102</f>
        <v>54317</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15908</v>
      </c>
      <c r="D6351" s="2" t="str">
        <f t="shared" si="98"/>
        <v>Error?</v>
      </c>
      <c r="E6351" s="2" t="s">
        <v>190</v>
      </c>
    </row>
    <row r="6352" spans="1:5" x14ac:dyDescent="0.2">
      <c r="A6352">
        <v>6291</v>
      </c>
      <c r="B6352" s="138">
        <f>'Revenues 9-14'!J109</f>
        <v>1075112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811913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67338</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67338</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10625</v>
      </c>
      <c r="D6844" s="2" t="str">
        <f t="shared" si="105"/>
        <v>Error?</v>
      </c>
    </row>
    <row r="6845" spans="1:5" x14ac:dyDescent="0.2">
      <c r="A6845">
        <v>6784</v>
      </c>
      <c r="B6845" s="138">
        <f>'Expenditures 15-22'!J5</f>
        <v>62448</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1135232</v>
      </c>
      <c r="D6848" s="2" t="str">
        <f t="shared" si="106"/>
        <v>Error?</v>
      </c>
    </row>
    <row r="6849" spans="1:4" x14ac:dyDescent="0.2">
      <c r="A6849">
        <v>6788</v>
      </c>
      <c r="B6849" s="138">
        <f>'Expenditures 15-22'!I8</f>
        <v>670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203641</v>
      </c>
      <c r="D6853" s="2" t="str">
        <f t="shared" si="106"/>
        <v>Error?</v>
      </c>
    </row>
    <row r="6854" spans="1:4" x14ac:dyDescent="0.2">
      <c r="A6854">
        <v>6793</v>
      </c>
      <c r="B6854" s="138">
        <f>'Expenditures 15-22'!I10</f>
        <v>45222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2989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1800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141810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394256</v>
      </c>
      <c r="D6880" s="2" t="str">
        <f t="shared" si="106"/>
        <v>Error?</v>
      </c>
    </row>
    <row r="6881" spans="1:4" x14ac:dyDescent="0.2">
      <c r="A6881">
        <v>6820</v>
      </c>
      <c r="B6881" s="138">
        <f>'Expenditures 15-22'!K22</f>
        <v>394256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61306</v>
      </c>
      <c r="D6902" s="2" t="str">
        <f t="shared" si="106"/>
        <v>Error?</v>
      </c>
    </row>
    <row r="6903" spans="1:4" x14ac:dyDescent="0.2">
      <c r="A6903">
        <v>6842</v>
      </c>
      <c r="B6903" s="138">
        <f>'Expenditures 15-22'!J33</f>
        <v>62448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1598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1598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989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1584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2157</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2157</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5339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7274</v>
      </c>
      <c r="D6983" s="2" t="str">
        <f t="shared" si="108"/>
        <v>Error?</v>
      </c>
    </row>
    <row r="6984" spans="1:4" x14ac:dyDescent="0.2">
      <c r="A6984">
        <v>6923</v>
      </c>
      <c r="B6984" s="138">
        <f>'Expenditures 15-22'!K86</f>
        <v>7274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7274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66645</v>
      </c>
      <c r="D7020" s="2" t="str">
        <f t="shared" si="108"/>
        <v>Error?</v>
      </c>
    </row>
    <row r="7021" spans="1:4" x14ac:dyDescent="0.2">
      <c r="A7021">
        <v>6960</v>
      </c>
      <c r="B7021" s="138">
        <f>'Expenditures 15-22'!J114</f>
        <v>62448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774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774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774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730356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774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1075112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7187</v>
      </c>
      <c r="D7073" s="2" t="str">
        <f t="shared" si="109"/>
        <v>Error?</v>
      </c>
    </row>
    <row r="7074" spans="1:4" x14ac:dyDescent="0.2">
      <c r="A7074">
        <v>7013</v>
      </c>
      <c r="B7074" s="138">
        <f>'Expenditures 15-22'!K216</f>
        <v>7187</v>
      </c>
      <c r="D7074" s="2" t="str">
        <f t="shared" si="109"/>
        <v>Error?</v>
      </c>
    </row>
    <row r="7075" spans="1:4" x14ac:dyDescent="0.2">
      <c r="A7075">
        <v>7014</v>
      </c>
      <c r="B7075" s="138">
        <f>'Expenditures 15-22'!D218</f>
        <v>1506</v>
      </c>
      <c r="D7075" s="2" t="str">
        <f t="shared" si="109"/>
        <v>Error?</v>
      </c>
    </row>
    <row r="7076" spans="1:4" x14ac:dyDescent="0.2">
      <c r="A7076">
        <v>7015</v>
      </c>
      <c r="B7076" s="138">
        <f>'Expenditures 15-22'!K218</f>
        <v>1506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1763</v>
      </c>
      <c r="D7079" s="2" t="str">
        <f t="shared" si="109"/>
        <v>Error?</v>
      </c>
    </row>
    <row r="7080" spans="1:4" x14ac:dyDescent="0.2">
      <c r="A7080">
        <v>7019</v>
      </c>
      <c r="B7080" s="138">
        <f>'Expenditures 15-22'!K226</f>
        <v>1763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501302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501302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8326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8326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220728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220728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730356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730356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730356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730356</v>
      </c>
      <c r="D7224" s="2" t="str">
        <f t="shared" si="111"/>
        <v>Error?</v>
      </c>
    </row>
    <row r="7225" spans="1:4" x14ac:dyDescent="0.2">
      <c r="A7225">
        <v>7164</v>
      </c>
      <c r="B7225" s="138">
        <f>'Expenditures 15-22'!K343</f>
        <v>344756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270012</v>
      </c>
      <c r="D7246" s="2" t="str">
        <f t="shared" si="112"/>
        <v>Error?</v>
      </c>
    </row>
    <row r="7247" spans="1:4" x14ac:dyDescent="0.2">
      <c r="A7247">
        <f t="shared" si="113"/>
        <v>7186</v>
      </c>
      <c r="B7247" s="138">
        <f>'Expenditures 15-22'!E7</f>
        <v>6679</v>
      </c>
      <c r="D7247" s="2" t="str">
        <f t="shared" si="112"/>
        <v>Error?</v>
      </c>
    </row>
    <row r="7248" spans="1:4" x14ac:dyDescent="0.2">
      <c r="A7248">
        <f t="shared" si="113"/>
        <v>7187</v>
      </c>
      <c r="B7248" s="138">
        <f>'Expenditures 15-22'!F7</f>
        <v>46628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164538</v>
      </c>
      <c r="D7251" s="2" t="str">
        <f t="shared" si="112"/>
        <v>Error?</v>
      </c>
    </row>
    <row r="7252" spans="1:4" x14ac:dyDescent="0.2">
      <c r="A7252">
        <f t="shared" si="113"/>
        <v>7191</v>
      </c>
      <c r="B7252" s="138">
        <f>'Expenditures 15-22'!D9</f>
        <v>39103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122429</v>
      </c>
      <c r="D7263" s="2" t="str">
        <f t="shared" si="112"/>
        <v>Error?</v>
      </c>
    </row>
    <row r="7264" spans="1:4" x14ac:dyDescent="0.2">
      <c r="A7264">
        <f t="shared" si="113"/>
        <v>7203</v>
      </c>
      <c r="B7264" s="138">
        <f>'Expenditures 15-22'!D17</f>
        <v>13437</v>
      </c>
      <c r="D7264" s="2" t="str">
        <f t="shared" si="112"/>
        <v>Error?</v>
      </c>
    </row>
    <row r="7265" spans="1:5" x14ac:dyDescent="0.2">
      <c r="A7265">
        <f t="shared" si="113"/>
        <v>7204</v>
      </c>
      <c r="B7265" s="138">
        <f>'Expenditures 15-22'!E17</f>
        <v>4109</v>
      </c>
      <c r="D7265" s="2" t="str">
        <f t="shared" si="112"/>
        <v>Error?</v>
      </c>
    </row>
    <row r="7266" spans="1:5" x14ac:dyDescent="0.2">
      <c r="A7266">
        <f t="shared" si="113"/>
        <v>7205</v>
      </c>
      <c r="B7266" s="138">
        <f>'Expenditures 15-22'!F17</f>
        <v>1815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67419</v>
      </c>
      <c r="D7624" s="2" t="str">
        <f t="shared" si="124"/>
        <v>Error?</v>
      </c>
      <c r="E7624" s="2" t="s">
        <v>19</v>
      </c>
    </row>
    <row r="7625" spans="1:5" x14ac:dyDescent="0.2">
      <c r="A7625">
        <f t="shared" si="123"/>
        <v>7564</v>
      </c>
      <c r="B7625" s="138">
        <f>'Cap Outlay Deprec 26'!I17</f>
        <v>6741.9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5377603.9000000004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5981402</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67338</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599058.71</v>
      </c>
      <c r="D7797" s="2" t="str">
        <f t="shared" si="127"/>
        <v>Error?</v>
      </c>
      <c r="E7797" s="4" t="s">
        <v>1900</v>
      </c>
    </row>
    <row r="7798" spans="1:5" x14ac:dyDescent="0.2">
      <c r="A7798">
        <v>7737</v>
      </c>
      <c r="B7798" s="138">
        <f>'Contracts Paid in CY 29'!F141</f>
        <v>275000</v>
      </c>
      <c r="D7798" s="2" t="str">
        <f t="shared" si="127"/>
        <v>Error?</v>
      </c>
      <c r="E7798" s="4" t="s">
        <v>1900</v>
      </c>
    </row>
    <row r="7799" spans="1:5" x14ac:dyDescent="0.2">
      <c r="A7799">
        <v>7738</v>
      </c>
      <c r="B7799" s="138">
        <f>'Contracts Paid in CY 29'!G141</f>
        <v>324058.71000000002</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1190</v>
      </c>
      <c r="B2" s="2408"/>
      <c r="C2" s="2408"/>
      <c r="D2" s="2408"/>
      <c r="E2" s="2408"/>
      <c r="F2" s="2408"/>
      <c r="G2" s="2408"/>
      <c r="H2" s="2408"/>
      <c r="I2" s="2408"/>
      <c r="J2" s="2408"/>
      <c r="K2" s="2408"/>
      <c r="L2" s="2408"/>
    </row>
    <row r="3" spans="1:29" ht="13.5" customHeight="1" x14ac:dyDescent="0.2">
      <c r="A3" s="2394" t="s">
        <v>1189</v>
      </c>
      <c r="B3" s="2394"/>
      <c r="C3" s="2394"/>
      <c r="D3" s="2394"/>
      <c r="E3" s="2394"/>
      <c r="F3" s="2394"/>
      <c r="G3" s="2394"/>
      <c r="H3" s="2394"/>
      <c r="I3" s="2394"/>
      <c r="J3" s="2394"/>
      <c r="K3" s="2394"/>
      <c r="L3" s="2394"/>
    </row>
    <row r="4" spans="1:29" ht="13.5" customHeight="1" x14ac:dyDescent="0.2">
      <c r="A4" s="2408" t="s">
        <v>1985</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8" t="str">
        <f>COVER!A17</f>
        <v>Woodstock CUSD 200</v>
      </c>
      <c r="B7" s="2389"/>
      <c r="C7" s="2389"/>
      <c r="D7" s="2426"/>
      <c r="E7" s="2427">
        <f>COVER!A13</f>
        <v>44063200026</v>
      </c>
      <c r="F7" s="2428"/>
      <c r="G7" s="2395" t="str">
        <f>COVER!T23</f>
        <v>066-005340</v>
      </c>
      <c r="H7" s="2396"/>
      <c r="I7" s="2396"/>
      <c r="J7" s="2396"/>
      <c r="K7" s="2396"/>
      <c r="L7" s="2397"/>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8"/>
      <c r="B9" s="2399"/>
      <c r="C9" s="2399"/>
      <c r="D9" s="2399"/>
      <c r="E9" s="2399"/>
      <c r="F9" s="2400"/>
      <c r="G9" s="2401" t="str">
        <f>COVER!T13</f>
        <v>Evans, Marshall and Pease, PC</v>
      </c>
      <c r="H9" s="2402"/>
      <c r="I9" s="2402"/>
      <c r="J9" s="2402"/>
      <c r="K9" s="2402"/>
      <c r="L9" s="2403"/>
    </row>
    <row r="10" spans="1:29" ht="13.5" customHeight="1" x14ac:dyDescent="0.2">
      <c r="A10" s="2385">
        <f>COVER!A38</f>
        <v>0</v>
      </c>
      <c r="B10" s="2386"/>
      <c r="C10" s="2386"/>
      <c r="D10" s="2386"/>
      <c r="E10" s="2386"/>
      <c r="F10" s="2387"/>
      <c r="G10" s="2401" t="str">
        <f>COVER!T17</f>
        <v xml:space="preserve">1875 Hicks Road </v>
      </c>
      <c r="H10" s="2414"/>
      <c r="I10" s="2414"/>
      <c r="J10" s="2414"/>
      <c r="K10" s="2414"/>
      <c r="L10" s="2415"/>
    </row>
    <row r="11" spans="1:29" ht="13.5" customHeight="1" x14ac:dyDescent="0.2">
      <c r="A11" s="1184" t="s">
        <v>1518</v>
      </c>
      <c r="B11" s="1185"/>
      <c r="C11" s="1186"/>
      <c r="D11" s="1191"/>
      <c r="E11" s="1186"/>
      <c r="F11" s="1190"/>
      <c r="G11" s="2401" t="str">
        <f>COVER!T19</f>
        <v>Rolling Meadows</v>
      </c>
      <c r="H11" s="2414"/>
      <c r="I11" s="2414"/>
      <c r="J11" s="2414"/>
      <c r="K11" s="2414"/>
      <c r="L11" s="2415"/>
    </row>
    <row r="12" spans="1:29" ht="13.5" customHeight="1" x14ac:dyDescent="0.2">
      <c r="A12" s="2419" t="s">
        <v>1517</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1519</v>
      </c>
      <c r="H13" s="2410"/>
      <c r="I13" s="2422" t="str">
        <f>COVER!T25</f>
        <v>jeff@empcpa.com</v>
      </c>
      <c r="J13" s="2423"/>
      <c r="K13" s="2423"/>
      <c r="L13" s="2424"/>
    </row>
    <row r="14" spans="1:29" ht="13.5" customHeight="1" x14ac:dyDescent="0.2">
      <c r="A14" s="2401" t="str">
        <f>COVER!A19</f>
        <v>2990 Raffel Road</v>
      </c>
      <c r="B14" s="2414"/>
      <c r="C14" s="2414"/>
      <c r="D14" s="2414"/>
      <c r="E14" s="2414"/>
      <c r="F14" s="2415"/>
      <c r="G14" s="1195" t="s">
        <v>1184</v>
      </c>
      <c r="H14" s="1193"/>
      <c r="I14" s="1193"/>
      <c r="J14" s="1193"/>
      <c r="K14" s="1193"/>
      <c r="L14" s="1194"/>
    </row>
    <row r="15" spans="1:29" ht="13.5" customHeight="1" x14ac:dyDescent="0.2">
      <c r="A15" s="2401" t="str">
        <f>COVER!A21</f>
        <v xml:space="preserve">Woodstock  </v>
      </c>
      <c r="B15" s="2414"/>
      <c r="C15" s="2414"/>
      <c r="D15" s="2414"/>
      <c r="E15" s="2414"/>
      <c r="F15" s="2415"/>
      <c r="G15" s="2411" t="str">
        <f>COVER!T15</f>
        <v>Jeffery M. Rollefson, CPA</v>
      </c>
      <c r="H15" s="2412"/>
      <c r="I15" s="2412"/>
      <c r="J15" s="2412"/>
      <c r="K15" s="2412"/>
      <c r="L15" s="2413"/>
    </row>
    <row r="16" spans="1:29" ht="12.2" customHeight="1" x14ac:dyDescent="0.2">
      <c r="A16" s="2391">
        <f>COVER!A25</f>
        <v>60098</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1183</v>
      </c>
      <c r="H17" s="1193"/>
      <c r="I17" s="1193"/>
      <c r="J17" s="1193"/>
      <c r="K17" s="1197" t="s">
        <v>1182</v>
      </c>
      <c r="L17" s="1190"/>
      <c r="M17" s="1183"/>
    </row>
    <row r="18" spans="1:13" ht="12.2" customHeight="1" x14ac:dyDescent="0.2">
      <c r="A18" s="2385"/>
      <c r="B18" s="2386"/>
      <c r="C18" s="2386"/>
      <c r="D18" s="2386"/>
      <c r="E18" s="2386"/>
      <c r="F18" s="2387"/>
      <c r="G18" s="2388" t="str">
        <f>COVER!T21</f>
        <v>847-221-5700</v>
      </c>
      <c r="H18" s="2389"/>
      <c r="I18" s="2389"/>
      <c r="J18" s="2389"/>
      <c r="K18" s="2388" t="str">
        <f>COVER!X21</f>
        <v>547-221-5701</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Woodstock CUSD 200</v>
      </c>
      <c r="B1" s="2425"/>
      <c r="C1" s="2425"/>
      <c r="D1" s="2425"/>
    </row>
    <row r="2" spans="1:11" s="1212" customFormat="1" ht="12.75" x14ac:dyDescent="0.2">
      <c r="A2" s="2430">
        <f>'Single Audit Cover'!E7</f>
        <v>44063200026</v>
      </c>
      <c r="B2" s="2431"/>
      <c r="C2" s="2431"/>
      <c r="D2" s="2431"/>
    </row>
    <row r="3" spans="1:11" s="1212" customFormat="1" ht="12.75" x14ac:dyDescent="0.2">
      <c r="A3" s="2429" t="s">
        <v>1512</v>
      </c>
      <c r="B3" s="2425"/>
      <c r="C3" s="2425"/>
      <c r="D3" s="2425"/>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2" zoomScale="110" zoomScaleNormal="110" zoomScaleSheetLayoutView="100" workbookViewId="0">
      <selection activeCell="G36" sqref="G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Woodstock CUSD 200</v>
      </c>
      <c r="B1" s="2433"/>
      <c r="C1" s="2433"/>
      <c r="D1" s="2433"/>
      <c r="E1" s="2433"/>
    </row>
    <row r="2" spans="1:5" x14ac:dyDescent="0.2">
      <c r="A2" s="2434">
        <f>'Single Audit Cover'!E7</f>
        <v>44063200026</v>
      </c>
      <c r="B2" s="2434"/>
      <c r="C2" s="2434"/>
      <c r="D2" s="2434"/>
      <c r="E2" s="2434"/>
    </row>
    <row r="3" spans="1:5" ht="4.5" customHeight="1" x14ac:dyDescent="0.2"/>
    <row r="4" spans="1:5" x14ac:dyDescent="0.2">
      <c r="A4" s="2433" t="s">
        <v>1244</v>
      </c>
      <c r="B4" s="2433"/>
      <c r="C4" s="2433"/>
      <c r="D4" s="2433"/>
      <c r="E4" s="2433"/>
    </row>
    <row r="5" spans="1:5" x14ac:dyDescent="0.2">
      <c r="A5" s="2436" t="str">
        <f>'Single Audit Cover'!A4</f>
        <v>Year Ending June 30, 2019</v>
      </c>
      <c r="B5" s="2436"/>
      <c r="C5" s="2436"/>
      <c r="D5" s="2436"/>
      <c r="E5" s="2436"/>
    </row>
    <row r="6" spans="1:5" x14ac:dyDescent="0.2">
      <c r="A6" s="2433" t="s">
        <v>1243</v>
      </c>
      <c r="B6" s="2433"/>
      <c r="C6" s="2433"/>
      <c r="D6" s="2433"/>
      <c r="E6" s="2433"/>
    </row>
    <row r="8" spans="1:5" x14ac:dyDescent="0.2">
      <c r="A8" s="1257" t="s">
        <v>1242</v>
      </c>
    </row>
    <row r="10" spans="1:5" x14ac:dyDescent="0.2">
      <c r="A10" s="1258" t="s">
        <v>1241</v>
      </c>
      <c r="B10" s="1259" t="s">
        <v>1240</v>
      </c>
      <c r="C10" s="1259"/>
      <c r="D10" s="1260">
        <f>SUM('Acct Summary 7-8'!C7:K7)</f>
        <v>4793427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155162</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-288123</v>
      </c>
    </row>
    <row r="19" spans="1:4" ht="13.5" thickBot="1" x14ac:dyDescent="0.25">
      <c r="A19" s="1262" t="s">
        <v>1234</v>
      </c>
      <c r="D19" s="1263">
        <f>SUM(D10:D17)</f>
        <v>4660466</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5" t="s">
        <v>2176</v>
      </c>
      <c r="B24" s="2435"/>
      <c r="D24" s="1265">
        <v>-67338</v>
      </c>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1232</v>
      </c>
      <c r="D32" s="1260">
        <f>SUM(D19:D30)</f>
        <v>4593128</v>
      </c>
    </row>
    <row r="33" spans="1:4" x14ac:dyDescent="0.2">
      <c r="D33" s="1266"/>
    </row>
    <row r="34" spans="1:4" x14ac:dyDescent="0.2">
      <c r="A34" s="317" t="s">
        <v>1231</v>
      </c>
    </row>
    <row r="35" spans="1:4" x14ac:dyDescent="0.2">
      <c r="A35" s="317" t="s">
        <v>1230</v>
      </c>
      <c r="B35" s="1255" t="s">
        <v>1229</v>
      </c>
      <c r="D35" s="1267">
        <v>4380319</v>
      </c>
    </row>
    <row r="37" spans="1:4" x14ac:dyDescent="0.2">
      <c r="A37" s="1257" t="s">
        <v>1228</v>
      </c>
    </row>
    <row r="39" spans="1:4" ht="13.35" customHeight="1" x14ac:dyDescent="0.2">
      <c r="A39" s="1264" t="s">
        <v>1227</v>
      </c>
    </row>
    <row r="40" spans="1:4" x14ac:dyDescent="0.2">
      <c r="A40" s="2432" t="s">
        <v>2175</v>
      </c>
      <c r="B40" s="2432"/>
      <c r="D40" s="1265">
        <v>212809</v>
      </c>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1226</v>
      </c>
      <c r="C47" s="1269"/>
      <c r="D47" s="1270">
        <f>SUM(D35:D45)</f>
        <v>4593128</v>
      </c>
    </row>
    <row r="49" spans="2:4" x14ac:dyDescent="0.2">
      <c r="B49" s="1269" t="s">
        <v>1225</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6" zoomScaleNormal="100" workbookViewId="0">
      <selection activeCell="F15" sqref="F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Woodstock CUSD 200</v>
      </c>
      <c r="C1" s="2437"/>
      <c r="D1" s="2437"/>
      <c r="E1" s="2437"/>
      <c r="F1" s="2437"/>
      <c r="G1" s="2437"/>
      <c r="H1" s="2437"/>
      <c r="I1" s="2437"/>
      <c r="J1" s="2437"/>
      <c r="K1" s="2437"/>
      <c r="L1" s="2437"/>
      <c r="M1" s="2437"/>
    </row>
    <row r="2" spans="2:14" ht="15" x14ac:dyDescent="0.2">
      <c r="B2" s="2438">
        <f>'Single Audit Cover'!E7</f>
        <v>44063200026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7" t="s">
        <v>2060</v>
      </c>
      <c r="C11" s="1335"/>
      <c r="D11" s="1336"/>
      <c r="E11" s="1337"/>
      <c r="F11" s="1337"/>
      <c r="G11" s="1337"/>
      <c r="H11" s="1337"/>
      <c r="I11" s="1337"/>
      <c r="J11" s="1337"/>
      <c r="K11" s="1337"/>
      <c r="L11" s="1337"/>
      <c r="M11" s="1337"/>
    </row>
    <row r="12" spans="2:14" ht="20.100000000000001" customHeight="1" x14ac:dyDescent="0.2">
      <c r="B12" s="1938" t="s">
        <v>2075</v>
      </c>
      <c r="C12" s="1338"/>
      <c r="D12" s="1339"/>
      <c r="E12" s="1340"/>
      <c r="F12" s="1340"/>
      <c r="G12" s="1340"/>
      <c r="H12" s="1340"/>
      <c r="I12" s="1340"/>
      <c r="J12" s="1340"/>
      <c r="K12" s="1340"/>
      <c r="L12" s="1337"/>
      <c r="M12" s="1340"/>
    </row>
    <row r="13" spans="2:14" ht="20.100000000000001" customHeight="1" x14ac:dyDescent="0.2">
      <c r="B13" s="1334" t="s">
        <v>917</v>
      </c>
      <c r="C13" s="1338">
        <v>84.01</v>
      </c>
      <c r="D13" s="1339" t="s">
        <v>2076</v>
      </c>
      <c r="E13" s="1340">
        <v>766690</v>
      </c>
      <c r="F13" s="1340">
        <v>44279</v>
      </c>
      <c r="G13" s="1340">
        <v>766690</v>
      </c>
      <c r="H13" s="1340"/>
      <c r="I13" s="1340">
        <v>44279</v>
      </c>
      <c r="J13" s="1340"/>
      <c r="K13" s="1340"/>
      <c r="L13" s="1337">
        <f t="shared" ref="L13:L27" si="0">+G13+I13+K13</f>
        <v>810969</v>
      </c>
      <c r="M13" s="1340">
        <v>932527</v>
      </c>
    </row>
    <row r="14" spans="2:14" ht="20.100000000000001" customHeight="1" x14ac:dyDescent="0.2">
      <c r="B14" s="1334" t="s">
        <v>917</v>
      </c>
      <c r="C14" s="1338">
        <v>84.01</v>
      </c>
      <c r="D14" s="1339" t="s">
        <v>2077</v>
      </c>
      <c r="E14" s="1340"/>
      <c r="F14" s="1340">
        <v>710597</v>
      </c>
      <c r="G14" s="1340"/>
      <c r="H14" s="1340"/>
      <c r="I14" s="1340">
        <v>710597</v>
      </c>
      <c r="J14" s="1340"/>
      <c r="K14" s="1340">
        <v>279093</v>
      </c>
      <c r="L14" s="1337" t="s">
        <v>2078</v>
      </c>
      <c r="M14" s="1340">
        <v>1255479</v>
      </c>
    </row>
    <row r="15" spans="2:14" ht="20.100000000000001" customHeight="1" x14ac:dyDescent="0.2">
      <c r="B15" s="1334" t="s">
        <v>917</v>
      </c>
      <c r="C15" s="1338">
        <v>84.01</v>
      </c>
      <c r="D15" s="1339" t="s">
        <v>2081</v>
      </c>
      <c r="E15" s="1340"/>
      <c r="F15" s="1340">
        <v>24474</v>
      </c>
      <c r="G15" s="1340"/>
      <c r="H15" s="1340"/>
      <c r="I15" s="1340">
        <v>24474</v>
      </c>
      <c r="J15" s="1340"/>
      <c r="K15" s="1340">
        <v>16200</v>
      </c>
      <c r="L15" s="1337" t="s">
        <v>2078</v>
      </c>
      <c r="M15" s="1340">
        <v>66182</v>
      </c>
    </row>
    <row r="16" spans="2:14" ht="20.100000000000001" customHeight="1" x14ac:dyDescent="0.2">
      <c r="B16" s="1334" t="s">
        <v>2098</v>
      </c>
      <c r="C16" s="1338">
        <v>84.367000000000004</v>
      </c>
      <c r="D16" s="1339" t="s">
        <v>2079</v>
      </c>
      <c r="E16" s="1340">
        <v>182592</v>
      </c>
      <c r="F16" s="1340">
        <v>12285</v>
      </c>
      <c r="G16" s="1340">
        <v>182592</v>
      </c>
      <c r="H16" s="1340"/>
      <c r="I16" s="1340">
        <v>12285</v>
      </c>
      <c r="J16" s="1340"/>
      <c r="K16" s="1340"/>
      <c r="L16" s="1337">
        <f t="shared" si="0"/>
        <v>194877</v>
      </c>
      <c r="M16" s="1340">
        <v>197766</v>
      </c>
    </row>
    <row r="17" spans="2:14" ht="20.100000000000001" customHeight="1" x14ac:dyDescent="0.2">
      <c r="B17" s="1334" t="s">
        <v>2098</v>
      </c>
      <c r="C17" s="1338">
        <v>84.367000000000004</v>
      </c>
      <c r="D17" s="1339" t="s">
        <v>2080</v>
      </c>
      <c r="E17" s="1340"/>
      <c r="F17" s="1340"/>
      <c r="G17" s="1340"/>
      <c r="H17" s="1340"/>
      <c r="I17" s="1340"/>
      <c r="J17" s="1340"/>
      <c r="K17" s="1340">
        <v>2889</v>
      </c>
      <c r="L17" s="1337" t="s">
        <v>2078</v>
      </c>
      <c r="M17" s="1340">
        <v>2889</v>
      </c>
    </row>
    <row r="18" spans="2:14" ht="20.100000000000001" customHeight="1" x14ac:dyDescent="0.2">
      <c r="B18" s="1334" t="s">
        <v>2082</v>
      </c>
      <c r="C18" s="1338">
        <v>84.364999999999995</v>
      </c>
      <c r="D18" s="1339" t="s">
        <v>2083</v>
      </c>
      <c r="E18" s="1340"/>
      <c r="F18" s="1340">
        <v>6119</v>
      </c>
      <c r="G18" s="1340"/>
      <c r="H18" s="1340"/>
      <c r="I18" s="1340">
        <v>6119</v>
      </c>
      <c r="J18" s="1340"/>
      <c r="K18" s="1340">
        <v>3184</v>
      </c>
      <c r="L18" s="1337">
        <f t="shared" si="0"/>
        <v>9303</v>
      </c>
      <c r="M18" s="1340">
        <v>9450</v>
      </c>
    </row>
    <row r="19" spans="2:14" ht="20.100000000000001" customHeight="1" x14ac:dyDescent="0.2">
      <c r="B19" s="1334" t="s">
        <v>2084</v>
      </c>
      <c r="C19" s="1338">
        <v>84.364999999999995</v>
      </c>
      <c r="D19" s="1339" t="s">
        <v>2085</v>
      </c>
      <c r="E19" s="1340">
        <v>114170</v>
      </c>
      <c r="F19" s="1340">
        <v>3509</v>
      </c>
      <c r="G19" s="1340">
        <v>114170</v>
      </c>
      <c r="H19" s="1340"/>
      <c r="I19" s="1340">
        <v>3509</v>
      </c>
      <c r="J19" s="1340"/>
      <c r="K19" s="1340"/>
      <c r="L19" s="1337">
        <f t="shared" si="0"/>
        <v>117679</v>
      </c>
      <c r="M19" s="1340">
        <v>131705</v>
      </c>
    </row>
    <row r="20" spans="2:14" ht="20.100000000000001" customHeight="1" x14ac:dyDescent="0.2">
      <c r="B20" s="1334" t="s">
        <v>2084</v>
      </c>
      <c r="C20" s="1338">
        <v>84.364999999999995</v>
      </c>
      <c r="D20" s="1339" t="s">
        <v>2086</v>
      </c>
      <c r="E20" s="1340"/>
      <c r="F20" s="1340">
        <v>87221</v>
      </c>
      <c r="G20" s="1340"/>
      <c r="H20" s="1340"/>
      <c r="I20" s="1340">
        <v>87221</v>
      </c>
      <c r="J20" s="1340"/>
      <c r="K20" s="1340">
        <v>3550</v>
      </c>
      <c r="L20" s="1337" t="s">
        <v>2078</v>
      </c>
      <c r="M20" s="1340">
        <v>113126</v>
      </c>
    </row>
    <row r="21" spans="2:14" ht="20.100000000000001" customHeight="1" x14ac:dyDescent="0.2">
      <c r="B21" s="1334" t="s">
        <v>2087</v>
      </c>
      <c r="C21" s="1338">
        <v>84.424000000000007</v>
      </c>
      <c r="D21" s="1339" t="s">
        <v>2088</v>
      </c>
      <c r="E21" s="1340">
        <v>16070</v>
      </c>
      <c r="F21" s="1340">
        <v>2650</v>
      </c>
      <c r="G21" s="1340">
        <v>16070</v>
      </c>
      <c r="H21" s="1340"/>
      <c r="I21" s="1340">
        <v>2650</v>
      </c>
      <c r="J21" s="1340"/>
      <c r="K21" s="1340"/>
      <c r="L21" s="1337">
        <f t="shared" si="0"/>
        <v>18720</v>
      </c>
      <c r="M21" s="1340">
        <v>20491</v>
      </c>
    </row>
    <row r="22" spans="2:14" ht="20.100000000000001" customHeight="1" x14ac:dyDescent="0.2">
      <c r="B22" s="1334" t="s">
        <v>2087</v>
      </c>
      <c r="C22" s="1338">
        <v>84.424000000000007</v>
      </c>
      <c r="D22" s="1339" t="s">
        <v>2089</v>
      </c>
      <c r="E22" s="1340"/>
      <c r="F22" s="1340">
        <v>1771</v>
      </c>
      <c r="G22" s="1340"/>
      <c r="H22" s="1340"/>
      <c r="I22" s="1340">
        <v>1771</v>
      </c>
      <c r="J22" s="1340"/>
      <c r="K22" s="1340"/>
      <c r="L22" s="1337" t="s">
        <v>2078</v>
      </c>
      <c r="M22" s="1340">
        <v>1771</v>
      </c>
    </row>
    <row r="23" spans="2:14" ht="20.100000000000001" customHeight="1" x14ac:dyDescent="0.2">
      <c r="B23" s="1334" t="s">
        <v>2099</v>
      </c>
      <c r="C23" s="1338">
        <v>84.173000000000002</v>
      </c>
      <c r="D23" s="1339" t="s">
        <v>2090</v>
      </c>
      <c r="E23" s="1340">
        <v>57189</v>
      </c>
      <c r="F23" s="1340"/>
      <c r="G23" s="1340">
        <v>57189</v>
      </c>
      <c r="H23" s="1340"/>
      <c r="I23" s="1340"/>
      <c r="J23" s="1340"/>
      <c r="K23" s="1340"/>
      <c r="L23" s="1337">
        <f t="shared" si="0"/>
        <v>57189</v>
      </c>
      <c r="M23" s="1340">
        <v>57189</v>
      </c>
    </row>
    <row r="24" spans="2:14" ht="20.100000000000001" customHeight="1" x14ac:dyDescent="0.2">
      <c r="B24" s="1334" t="s">
        <v>2099</v>
      </c>
      <c r="C24" s="1338">
        <v>84.173000000000002</v>
      </c>
      <c r="D24" s="1339" t="s">
        <v>2091</v>
      </c>
      <c r="E24" s="1340"/>
      <c r="F24" s="1340">
        <v>60573</v>
      </c>
      <c r="G24" s="1340"/>
      <c r="H24" s="1340"/>
      <c r="I24" s="1340">
        <v>60573</v>
      </c>
      <c r="J24" s="1340"/>
      <c r="K24" s="1340"/>
      <c r="L24" s="1337">
        <f t="shared" si="0"/>
        <v>60573</v>
      </c>
      <c r="M24" s="1340">
        <v>60573</v>
      </c>
    </row>
    <row r="25" spans="2:14" ht="20.100000000000001" customHeight="1" x14ac:dyDescent="0.2">
      <c r="B25" s="1334" t="s">
        <v>2100</v>
      </c>
      <c r="C25" s="1338">
        <v>84.027000000000001</v>
      </c>
      <c r="D25" s="1339" t="s">
        <v>2093</v>
      </c>
      <c r="E25" s="1340">
        <v>1417390</v>
      </c>
      <c r="F25" s="1340">
        <v>51015</v>
      </c>
      <c r="G25" s="1340">
        <v>1417390</v>
      </c>
      <c r="H25" s="1340"/>
      <c r="I25" s="1340">
        <v>51015</v>
      </c>
      <c r="J25" s="1340"/>
      <c r="K25" s="1340"/>
      <c r="L25" s="1337">
        <f t="shared" si="0"/>
        <v>1468405</v>
      </c>
      <c r="M25" s="1340">
        <v>1515003</v>
      </c>
    </row>
    <row r="26" spans="2:14" ht="20.100000000000001" customHeight="1" x14ac:dyDescent="0.2">
      <c r="B26" s="1334" t="s">
        <v>2100</v>
      </c>
      <c r="C26" s="1338">
        <v>84.027000000000001</v>
      </c>
      <c r="D26" s="1339" t="s">
        <v>2094</v>
      </c>
      <c r="E26" s="1340"/>
      <c r="F26" s="1340">
        <v>1427019</v>
      </c>
      <c r="G26" s="1340"/>
      <c r="H26" s="1340"/>
      <c r="I26" s="1340">
        <v>1427019</v>
      </c>
      <c r="J26" s="1340"/>
      <c r="K26" s="1340">
        <v>55352</v>
      </c>
      <c r="L26" s="1337" t="s">
        <v>2078</v>
      </c>
      <c r="M26" s="1340">
        <v>1537050</v>
      </c>
    </row>
    <row r="27" spans="2:14" ht="20.100000000000001" customHeight="1" x14ac:dyDescent="0.2">
      <c r="B27" s="1334" t="s">
        <v>2101</v>
      </c>
      <c r="C27" s="1338">
        <v>84.027000000000001</v>
      </c>
      <c r="D27" s="1339" t="s">
        <v>2096</v>
      </c>
      <c r="E27" s="1340"/>
      <c r="F27" s="1340">
        <v>7052</v>
      </c>
      <c r="G27" s="1340"/>
      <c r="H27" s="1340"/>
      <c r="I27" s="1340">
        <v>7052</v>
      </c>
      <c r="J27" s="1340"/>
      <c r="K27" s="1340"/>
      <c r="L27" s="1337">
        <f t="shared" si="0"/>
        <v>7052</v>
      </c>
      <c r="M27" s="1340" t="s">
        <v>2097</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 L16 L18:L19 L21 L23:L24 L25 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6071F-C964-4EB2-AAC3-1CD4FE619E26}">
  <dimension ref="B1:N152"/>
  <sheetViews>
    <sheetView showGridLines="0" topLeftCell="A7" zoomScaleNormal="100" workbookViewId="0">
      <selection activeCell="H19" sqref="H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Woodstock CUSD 200</v>
      </c>
      <c r="C1" s="2437"/>
      <c r="D1" s="2437"/>
      <c r="E1" s="2437"/>
      <c r="F1" s="2437"/>
      <c r="G1" s="2437"/>
      <c r="H1" s="2437"/>
      <c r="I1" s="2437"/>
      <c r="J1" s="2437"/>
      <c r="K1" s="2437"/>
      <c r="L1" s="2437"/>
      <c r="M1" s="2437"/>
    </row>
    <row r="2" spans="2:14" ht="15" x14ac:dyDescent="0.2">
      <c r="B2" s="2438">
        <f>'Single Audit Cover'!E7</f>
        <v>44063200026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2101</v>
      </c>
      <c r="C11" s="1335">
        <v>84.027000000000001</v>
      </c>
      <c r="D11" s="1336" t="s">
        <v>2102</v>
      </c>
      <c r="E11" s="1337">
        <v>209920</v>
      </c>
      <c r="F11" s="1337">
        <v>141874</v>
      </c>
      <c r="G11" s="1337">
        <v>209920</v>
      </c>
      <c r="H11" s="1337"/>
      <c r="I11" s="1337">
        <v>141874</v>
      </c>
      <c r="J11" s="1337"/>
      <c r="K11" s="1337"/>
      <c r="L11" s="1337">
        <f>+G11+I11+K11</f>
        <v>351794</v>
      </c>
      <c r="M11" s="1337" t="s">
        <v>2097</v>
      </c>
    </row>
    <row r="12" spans="2:14" ht="20.100000000000001" customHeight="1" x14ac:dyDescent="0.2">
      <c r="B12" s="1334" t="s">
        <v>2101</v>
      </c>
      <c r="C12" s="1338">
        <v>84.027000000000001</v>
      </c>
      <c r="D12" s="1339" t="s">
        <v>2103</v>
      </c>
      <c r="E12" s="1340"/>
      <c r="F12" s="1340">
        <v>138697</v>
      </c>
      <c r="G12" s="1340"/>
      <c r="H12" s="1340"/>
      <c r="I12" s="1340">
        <v>138697</v>
      </c>
      <c r="J12" s="1340"/>
      <c r="K12" s="1340"/>
      <c r="L12" s="1337">
        <f t="shared" ref="L12:L15" si="0">+G12+I12+K12</f>
        <v>138697</v>
      </c>
      <c r="M12" s="1340" t="s">
        <v>2097</v>
      </c>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938" t="s">
        <v>2104</v>
      </c>
      <c r="C14" s="1338"/>
      <c r="D14" s="1339"/>
      <c r="E14" s="1340"/>
      <c r="F14" s="1340"/>
      <c r="G14" s="1340"/>
      <c r="H14" s="1340"/>
      <c r="I14" s="1340"/>
      <c r="J14" s="1340"/>
      <c r="K14" s="1340"/>
      <c r="L14" s="1337"/>
      <c r="M14" s="1340"/>
    </row>
    <row r="15" spans="2:14" ht="20.100000000000001" customHeight="1" x14ac:dyDescent="0.2">
      <c r="B15" s="1334" t="s">
        <v>2105</v>
      </c>
      <c r="C15" s="1338">
        <v>84.048000000000002</v>
      </c>
      <c r="D15" s="1339" t="s">
        <v>2106</v>
      </c>
      <c r="E15" s="1340">
        <v>46827</v>
      </c>
      <c r="F15" s="1340">
        <v>4989</v>
      </c>
      <c r="G15" s="1340">
        <v>46827</v>
      </c>
      <c r="H15" s="1340"/>
      <c r="I15" s="1340">
        <v>4989</v>
      </c>
      <c r="J15" s="1340"/>
      <c r="K15" s="1340"/>
      <c r="L15" s="1337">
        <f t="shared" si="0"/>
        <v>51816</v>
      </c>
      <c r="M15" s="1340" t="s">
        <v>2097</v>
      </c>
    </row>
    <row r="16" spans="2:14" ht="20.100000000000001" customHeight="1" x14ac:dyDescent="0.2">
      <c r="B16" s="1334" t="s">
        <v>2105</v>
      </c>
      <c r="C16" s="1338">
        <v>84.048000000000002</v>
      </c>
      <c r="D16" s="1339" t="s">
        <v>2107</v>
      </c>
      <c r="E16" s="1340"/>
      <c r="F16" s="1340">
        <v>45504</v>
      </c>
      <c r="G16" s="1340"/>
      <c r="H16" s="1340"/>
      <c r="I16" s="1340">
        <v>45504</v>
      </c>
      <c r="J16" s="1340"/>
      <c r="K16" s="1340"/>
      <c r="L16" s="1337" t="s">
        <v>2078</v>
      </c>
      <c r="M16" s="1340" t="s">
        <v>2097</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38"/>
      <c r="C18" s="1338"/>
      <c r="D18" s="1339"/>
      <c r="E18" s="1340"/>
      <c r="F18" s="1340"/>
      <c r="G18" s="1340"/>
      <c r="H18" s="1340"/>
      <c r="I18" s="1340"/>
      <c r="J18" s="1340"/>
      <c r="K18" s="1340"/>
      <c r="L18" s="1337"/>
      <c r="M18" s="1340"/>
    </row>
    <row r="19" spans="2:14" ht="20.100000000000001" customHeight="1" x14ac:dyDescent="0.2">
      <c r="B19" s="1937" t="s">
        <v>2108</v>
      </c>
      <c r="C19" s="1338"/>
      <c r="D19" s="1339"/>
      <c r="E19" s="1340"/>
      <c r="F19" s="1939">
        <v>2769628</v>
      </c>
      <c r="G19" s="1340"/>
      <c r="H19" s="1340"/>
      <c r="I19" s="1939">
        <v>2769628</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37"/>
      <c r="C22" s="1338"/>
      <c r="D22" s="1339"/>
      <c r="E22" s="1340"/>
      <c r="F22" s="1939"/>
      <c r="G22" s="1340"/>
      <c r="H22" s="1340"/>
      <c r="I22" s="1939"/>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L11:L12 L1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1167</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2" t="s">
        <v>1632</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312</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1322</v>
      </c>
      <c r="B70" s="2075"/>
      <c r="C70" s="2075"/>
      <c r="D70" s="2075"/>
      <c r="E70" s="2076"/>
      <c r="F70" s="2076"/>
      <c r="G70" s="2076"/>
      <c r="H70" s="2076"/>
      <c r="I70" s="207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1319</v>
      </c>
      <c r="B83" s="2077"/>
      <c r="C83" s="2077"/>
      <c r="D83" s="207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2066</v>
      </c>
      <c r="D114" s="206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1329</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F11AF-37E2-4459-8FFA-7A61CBBAAE4E}">
  <dimension ref="B1:N152"/>
  <sheetViews>
    <sheetView showGridLines="0" topLeftCell="A7" zoomScaleNormal="100" workbookViewId="0">
      <selection activeCell="H20" sqref="H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Woodstock CUSD 200</v>
      </c>
      <c r="C1" s="2437"/>
      <c r="D1" s="2437"/>
      <c r="E1" s="2437"/>
      <c r="F1" s="2437"/>
      <c r="G1" s="2437"/>
      <c r="H1" s="2437"/>
      <c r="I1" s="2437"/>
      <c r="J1" s="2437"/>
      <c r="K1" s="2437"/>
      <c r="L1" s="2437"/>
      <c r="M1" s="2437"/>
    </row>
    <row r="2" spans="2:14" ht="15" x14ac:dyDescent="0.2">
      <c r="B2" s="2438">
        <f>'Single Audit Cover'!E7</f>
        <v>44063200026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7" t="s">
        <v>2109</v>
      </c>
      <c r="C11" s="1335"/>
      <c r="D11" s="1336"/>
      <c r="E11" s="1337"/>
      <c r="F11" s="1337"/>
      <c r="G11" s="1337"/>
      <c r="H11" s="1337"/>
      <c r="I11" s="1337"/>
      <c r="J11" s="1337"/>
      <c r="K11" s="1337"/>
      <c r="L11" s="1337"/>
      <c r="M11" s="1337"/>
    </row>
    <row r="12" spans="2:14" ht="20.100000000000001" customHeight="1" x14ac:dyDescent="0.2">
      <c r="B12" s="1938" t="s">
        <v>2110</v>
      </c>
      <c r="C12" s="1338"/>
      <c r="D12" s="1339"/>
      <c r="E12" s="1340"/>
      <c r="F12" s="1340"/>
      <c r="G12" s="1340"/>
      <c r="H12" s="1340"/>
      <c r="I12" s="1340"/>
      <c r="J12" s="1340"/>
      <c r="K12" s="1340"/>
      <c r="L12" s="1337"/>
      <c r="M12" s="1340"/>
    </row>
    <row r="13" spans="2:14" ht="20.100000000000001" customHeight="1" x14ac:dyDescent="0.2">
      <c r="B13" s="1334" t="s">
        <v>2111</v>
      </c>
      <c r="C13" s="1338">
        <v>93.778000000000006</v>
      </c>
      <c r="D13" s="1339" t="s">
        <v>2112</v>
      </c>
      <c r="E13" s="1340">
        <v>257884</v>
      </c>
      <c r="F13" s="1340"/>
      <c r="G13" s="1340">
        <v>257884</v>
      </c>
      <c r="H13" s="1340"/>
      <c r="I13" s="1340"/>
      <c r="J13" s="1340"/>
      <c r="K13" s="1340"/>
      <c r="L13" s="1337">
        <f t="shared" ref="L13:L25" si="0">+G13+I13+K13</f>
        <v>257884</v>
      </c>
      <c r="M13" s="1340" t="s">
        <v>2097</v>
      </c>
    </row>
    <row r="14" spans="2:14" ht="20.100000000000001" customHeight="1" x14ac:dyDescent="0.2">
      <c r="B14" s="1334" t="s">
        <v>2111</v>
      </c>
      <c r="C14" s="1338">
        <v>93.778000000000006</v>
      </c>
      <c r="D14" s="1339" t="s">
        <v>2113</v>
      </c>
      <c r="E14" s="1340"/>
      <c r="F14" s="1340">
        <v>251526</v>
      </c>
      <c r="G14" s="1340"/>
      <c r="H14" s="1340"/>
      <c r="I14" s="1340">
        <v>251526</v>
      </c>
      <c r="J14" s="1340"/>
      <c r="K14" s="1340"/>
      <c r="L14" s="1337">
        <f t="shared" si="0"/>
        <v>251526</v>
      </c>
      <c r="M14" s="1340" t="s">
        <v>2097</v>
      </c>
    </row>
    <row r="15" spans="2:14" ht="20.100000000000001" customHeight="1" x14ac:dyDescent="0.2">
      <c r="B15" s="1334" t="s">
        <v>1168</v>
      </c>
      <c r="C15" s="1338"/>
      <c r="D15" s="1339"/>
      <c r="E15" s="1340"/>
      <c r="F15" s="1340"/>
      <c r="G15" s="1340"/>
      <c r="H15" s="1340"/>
      <c r="I15" s="1340"/>
      <c r="J15" s="1340"/>
      <c r="K15" s="1340"/>
      <c r="L15" s="1337"/>
      <c r="M15" s="1340"/>
    </row>
    <row r="16" spans="2:14" ht="20.100000000000001" customHeight="1" x14ac:dyDescent="0.2">
      <c r="B16" s="1937" t="s">
        <v>2114</v>
      </c>
      <c r="C16" s="1338"/>
      <c r="D16" s="1339"/>
      <c r="E16" s="1340"/>
      <c r="F16" s="1939">
        <f>SUM(F14:F15)</f>
        <v>251526</v>
      </c>
      <c r="G16" s="1340"/>
      <c r="H16" s="1340"/>
      <c r="I16" s="1939">
        <f>SUM(I14:I15)</f>
        <v>251526</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37" t="s">
        <v>2115</v>
      </c>
      <c r="C18" s="1338"/>
      <c r="D18" s="1339"/>
      <c r="E18" s="1340"/>
      <c r="F18" s="1340"/>
      <c r="G18" s="1340"/>
      <c r="H18" s="1340"/>
      <c r="I18" s="1340"/>
      <c r="J18" s="1340"/>
      <c r="K18" s="1340"/>
      <c r="L18" s="1337"/>
      <c r="M18" s="1340"/>
    </row>
    <row r="19" spans="2:14" ht="20.100000000000001" customHeight="1" x14ac:dyDescent="0.2">
      <c r="B19" s="1938" t="s">
        <v>2075</v>
      </c>
      <c r="C19" s="1338"/>
      <c r="D19" s="1339"/>
      <c r="E19" s="1340"/>
      <c r="F19" s="1340"/>
      <c r="G19" s="1340"/>
      <c r="H19" s="1340"/>
      <c r="I19" s="1340"/>
      <c r="J19" s="1340"/>
      <c r="K19" s="1340"/>
      <c r="L19" s="1337"/>
      <c r="M19" s="1340"/>
    </row>
    <row r="20" spans="2:14" ht="20.100000000000001" customHeight="1" x14ac:dyDescent="0.2">
      <c r="B20" s="1334" t="s">
        <v>2116</v>
      </c>
      <c r="C20" s="1338">
        <v>10.555</v>
      </c>
      <c r="D20" s="1339" t="s">
        <v>2117</v>
      </c>
      <c r="E20" s="1340">
        <v>819042</v>
      </c>
      <c r="F20" s="1340">
        <v>182911</v>
      </c>
      <c r="G20" s="1340">
        <v>819042</v>
      </c>
      <c r="H20" s="1340"/>
      <c r="I20" s="1340">
        <v>182911</v>
      </c>
      <c r="J20" s="1340"/>
      <c r="K20" s="1340"/>
      <c r="L20" s="1337">
        <f t="shared" si="0"/>
        <v>1001953</v>
      </c>
      <c r="M20" s="1340" t="s">
        <v>2097</v>
      </c>
    </row>
    <row r="21" spans="2:14" ht="20.100000000000001" customHeight="1" x14ac:dyDescent="0.2">
      <c r="B21" s="1334" t="s">
        <v>2116</v>
      </c>
      <c r="C21" s="1338">
        <v>10.555</v>
      </c>
      <c r="D21" s="1339" t="s">
        <v>2118</v>
      </c>
      <c r="E21" s="1340"/>
      <c r="F21" s="1340">
        <v>823472</v>
      </c>
      <c r="G21" s="1340"/>
      <c r="H21" s="1340"/>
      <c r="I21" s="1340">
        <v>823472</v>
      </c>
      <c r="J21" s="1340"/>
      <c r="K21" s="1340"/>
      <c r="L21" s="1337" t="s">
        <v>2119</v>
      </c>
      <c r="M21" s="1340" t="s">
        <v>2097</v>
      </c>
    </row>
    <row r="22" spans="2:14" ht="20.100000000000001" customHeight="1" x14ac:dyDescent="0.2">
      <c r="B22" s="1334" t="s">
        <v>2120</v>
      </c>
      <c r="C22" s="1338">
        <v>10.553000000000001</v>
      </c>
      <c r="D22" s="1339" t="s">
        <v>2121</v>
      </c>
      <c r="E22" s="1340">
        <v>159747</v>
      </c>
      <c r="F22" s="1340">
        <v>34443</v>
      </c>
      <c r="G22" s="1340">
        <v>159747</v>
      </c>
      <c r="H22" s="1340"/>
      <c r="I22" s="1340">
        <v>34443</v>
      </c>
      <c r="J22" s="1340"/>
      <c r="K22" s="1340"/>
      <c r="L22" s="1337">
        <f t="shared" si="0"/>
        <v>194190</v>
      </c>
      <c r="M22" s="1340" t="s">
        <v>2097</v>
      </c>
    </row>
    <row r="23" spans="2:14" ht="20.100000000000001" customHeight="1" x14ac:dyDescent="0.2">
      <c r="B23" s="1334" t="s">
        <v>2120</v>
      </c>
      <c r="C23" s="1338">
        <v>10.553000000000001</v>
      </c>
      <c r="D23" s="1339" t="s">
        <v>2122</v>
      </c>
      <c r="E23" s="1340"/>
      <c r="F23" s="1340">
        <v>163177</v>
      </c>
      <c r="G23" s="1340"/>
      <c r="H23" s="1340"/>
      <c r="I23" s="1340">
        <v>163177</v>
      </c>
      <c r="J23" s="1340"/>
      <c r="K23" s="1340"/>
      <c r="L23" s="1337" t="s">
        <v>2119</v>
      </c>
      <c r="M23" s="1340" t="s">
        <v>2097</v>
      </c>
    </row>
    <row r="24" spans="2:14" ht="20.100000000000001" customHeight="1" x14ac:dyDescent="0.2">
      <c r="B24" s="1334" t="s">
        <v>2123</v>
      </c>
      <c r="C24" s="1338">
        <v>10.555</v>
      </c>
      <c r="D24" s="1339" t="s">
        <v>2125</v>
      </c>
      <c r="E24" s="1340"/>
      <c r="F24" s="1340">
        <v>88679</v>
      </c>
      <c r="G24" s="1340"/>
      <c r="H24" s="1340"/>
      <c r="I24" s="1340">
        <v>88679</v>
      </c>
      <c r="J24" s="1340"/>
      <c r="K24" s="1340"/>
      <c r="L24" s="1337">
        <f t="shared" si="0"/>
        <v>88679</v>
      </c>
      <c r="M24" s="1340" t="s">
        <v>2097</v>
      </c>
    </row>
    <row r="25" spans="2:14" ht="20.100000000000001" customHeight="1" x14ac:dyDescent="0.2">
      <c r="B25" s="1334" t="s">
        <v>2124</v>
      </c>
      <c r="C25" s="1338">
        <v>10.555</v>
      </c>
      <c r="D25" s="1339" t="s">
        <v>2125</v>
      </c>
      <c r="E25" s="1340"/>
      <c r="F25" s="1340">
        <v>66483</v>
      </c>
      <c r="G25" s="1340"/>
      <c r="H25" s="1340"/>
      <c r="I25" s="1340">
        <v>66483</v>
      </c>
      <c r="J25" s="1340"/>
      <c r="K25" s="1340"/>
      <c r="L25" s="1337">
        <f t="shared" si="0"/>
        <v>66483</v>
      </c>
      <c r="M25" s="1340" t="s">
        <v>2097</v>
      </c>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937" t="s">
        <v>2126</v>
      </c>
      <c r="C27" s="1338"/>
      <c r="D27" s="1339"/>
      <c r="E27" s="1340"/>
      <c r="F27" s="1939">
        <f>SUM(F20:F26)</f>
        <v>1359165</v>
      </c>
      <c r="G27" s="1939"/>
      <c r="H27" s="1939"/>
      <c r="I27" s="1939">
        <f>SUM(I20:I26)</f>
        <v>1359165</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L13:L14 F16:I16 L20 L22 L24:L25 F27:I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0331-BDA4-4F2D-842B-56131C47488A}">
  <dimension ref="B1:N152"/>
  <sheetViews>
    <sheetView showGridLines="0" topLeftCell="A7" zoomScaleNormal="100" workbookViewId="0">
      <selection activeCell="I12" sqref="I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Woodstock CUSD 200</v>
      </c>
      <c r="C1" s="2437"/>
      <c r="D1" s="2437"/>
      <c r="E1" s="2437"/>
      <c r="F1" s="2437"/>
      <c r="G1" s="2437"/>
      <c r="H1" s="2437"/>
      <c r="I1" s="2437"/>
      <c r="J1" s="2437"/>
      <c r="K1" s="2437"/>
      <c r="L1" s="2437"/>
      <c r="M1" s="2437"/>
    </row>
    <row r="2" spans="2:14" ht="15" x14ac:dyDescent="0.2">
      <c r="B2" s="2438">
        <f>'Single Audit Cover'!E7</f>
        <v>44063200026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c r="M11" s="1337"/>
    </row>
    <row r="12" spans="2:14" ht="20.100000000000001" customHeight="1" x14ac:dyDescent="0.2">
      <c r="B12" s="1940" t="s">
        <v>2127</v>
      </c>
      <c r="C12" s="1338"/>
      <c r="D12" s="1339"/>
      <c r="E12" s="1340"/>
      <c r="F12" s="1941">
        <v>4380319</v>
      </c>
      <c r="G12" s="1340"/>
      <c r="H12" s="1340"/>
      <c r="I12" s="1941">
        <v>4380319</v>
      </c>
      <c r="J12" s="1340"/>
      <c r="K12" s="1340"/>
      <c r="L12" s="1337"/>
      <c r="M12" s="1340"/>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1168</v>
      </c>
      <c r="C15" s="1338"/>
      <c r="D15" s="1339"/>
      <c r="E15" s="1340"/>
      <c r="F15" s="1340"/>
      <c r="G15" s="1340"/>
      <c r="H15" s="1340"/>
      <c r="I15" s="1340"/>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9&amp;R&amp;8Page 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6"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Woodstock CUSD 200</v>
      </c>
      <c r="B1" s="2442"/>
      <c r="C1" s="2442"/>
      <c r="D1" s="2442"/>
      <c r="E1" s="2442"/>
      <c r="F1" s="2442"/>
    </row>
    <row r="2" spans="1:7" ht="13.5" customHeight="1" x14ac:dyDescent="0.2">
      <c r="A2" s="2438">
        <f>'Single Audit Cover'!E7</f>
        <v>44063200026</v>
      </c>
      <c r="B2" s="2438"/>
      <c r="C2" s="2438"/>
      <c r="D2" s="2438"/>
      <c r="E2" s="2438"/>
      <c r="F2" s="2438"/>
      <c r="G2" s="1272"/>
    </row>
    <row r="3" spans="1:7" ht="15.75" customHeight="1" x14ac:dyDescent="0.2">
      <c r="A3" s="2443" t="s">
        <v>1270</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1727</v>
      </c>
      <c r="C6" s="317"/>
      <c r="D6" s="317"/>
    </row>
    <row r="7" spans="1:7" ht="60.95" customHeight="1" x14ac:dyDescent="0.2">
      <c r="A7" s="2441" t="s">
        <v>2128</v>
      </c>
      <c r="B7" s="2441"/>
      <c r="C7" s="2441"/>
      <c r="D7" s="2441"/>
      <c r="E7" s="2441"/>
      <c r="F7" s="2441"/>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2065</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1" t="s">
        <v>2129</v>
      </c>
      <c r="B13" s="2441"/>
      <c r="C13" s="2441"/>
      <c r="D13" s="2441"/>
      <c r="E13" s="2441"/>
      <c r="F13" s="2441"/>
    </row>
    <row r="14" spans="1:7" ht="9.75" customHeight="1" x14ac:dyDescent="0.2">
      <c r="C14" s="1257"/>
      <c r="D14" s="1257"/>
    </row>
    <row r="15" spans="1:7" ht="13.5" customHeight="1" x14ac:dyDescent="0.2">
      <c r="C15" s="1846" t="s">
        <v>1269</v>
      </c>
      <c r="D15" s="2446" t="s">
        <v>1268</v>
      </c>
      <c r="E15" s="2446"/>
      <c r="F15" s="2446"/>
    </row>
    <row r="16" spans="1:7" ht="13.5" customHeight="1" x14ac:dyDescent="0.2">
      <c r="A16" s="1279"/>
      <c r="B16" s="1273" t="s">
        <v>1267</v>
      </c>
      <c r="C16" s="1846" t="s">
        <v>1266</v>
      </c>
      <c r="D16" s="2447" t="s">
        <v>1587</v>
      </c>
      <c r="E16" s="2447"/>
      <c r="F16" s="2447"/>
    </row>
    <row r="17" spans="1:6" ht="20.45" customHeight="1" x14ac:dyDescent="0.2">
      <c r="A17" s="1280"/>
      <c r="B17" s="1281" t="s">
        <v>2130</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9" t="s">
        <v>2131</v>
      </c>
      <c r="B32" s="2449"/>
      <c r="C32" s="2449"/>
      <c r="D32" s="2449"/>
      <c r="E32" s="2449"/>
      <c r="F32" s="2449"/>
    </row>
    <row r="33" spans="1:6" ht="13.5" customHeight="1" x14ac:dyDescent="0.2">
      <c r="A33" s="328" t="s">
        <v>1433</v>
      </c>
      <c r="B33" s="328"/>
      <c r="C33" s="1285">
        <v>88679</v>
      </c>
      <c r="D33" s="1903"/>
      <c r="E33" s="1283"/>
    </row>
    <row r="34" spans="1:6" ht="13.5" customHeight="1" x14ac:dyDescent="0.2">
      <c r="A34" s="328" t="s">
        <v>1834</v>
      </c>
      <c r="B34" s="328"/>
      <c r="C34" s="1286">
        <v>66483</v>
      </c>
      <c r="D34" s="1903" t="s">
        <v>1588</v>
      </c>
      <c r="E34" s="2450">
        <f>+C33+C34</f>
        <v>155162</v>
      </c>
      <c r="F34" s="2451"/>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2132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1589</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1550</v>
      </c>
      <c r="C51" s="2448"/>
      <c r="D51" s="2448"/>
    </row>
    <row r="52" spans="1:5" ht="14.25" customHeight="1" x14ac:dyDescent="0.2">
      <c r="A52" s="1298"/>
      <c r="B52" s="2448"/>
      <c r="C52" s="2448"/>
      <c r="D52" s="244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10&amp;R&amp;8Page 10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1"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Woodstock CUSD 200</v>
      </c>
      <c r="C1" s="2458"/>
      <c r="D1" s="2458"/>
      <c r="E1" s="2458"/>
      <c r="F1" s="2458"/>
      <c r="G1" s="2458"/>
      <c r="H1" s="2458"/>
      <c r="I1" s="2458"/>
      <c r="J1" s="1406"/>
    </row>
    <row r="2" spans="2:10" s="317" customFormat="1" ht="12.75" customHeight="1" x14ac:dyDescent="0.2">
      <c r="B2" s="2459">
        <f>'Single Audit Cover'!E7</f>
        <v>44063200026</v>
      </c>
      <c r="C2" s="2460"/>
      <c r="D2" s="2460"/>
      <c r="E2" s="2460"/>
      <c r="F2" s="2460"/>
      <c r="G2" s="2460"/>
      <c r="H2" s="2460"/>
      <c r="I2" s="2460"/>
      <c r="J2" s="1406"/>
    </row>
    <row r="3" spans="2:10" s="317" customFormat="1" ht="12.75" customHeight="1" x14ac:dyDescent="0.2">
      <c r="B3" s="2461" t="s">
        <v>1284</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1283</v>
      </c>
      <c r="C7" s="2462"/>
      <c r="D7" s="2462"/>
      <c r="E7" s="2462"/>
      <c r="F7" s="2462"/>
      <c r="G7" s="2462"/>
      <c r="H7" s="2462"/>
      <c r="I7" s="2462"/>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3" t="s">
        <v>2133</v>
      </c>
      <c r="D11" s="2463"/>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2065</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2065</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2065</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2065</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2065</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4" t="s">
        <v>2133</v>
      </c>
      <c r="E29" s="2464"/>
      <c r="F29" s="2464"/>
      <c r="G29" s="2464"/>
      <c r="H29" s="2464"/>
      <c r="I29" s="2464"/>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2065</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5" t="s">
        <v>1747</v>
      </c>
      <c r="D37" s="2466"/>
      <c r="E37" s="2466"/>
      <c r="F37" s="2467"/>
      <c r="G37" s="2465" t="s">
        <v>1591</v>
      </c>
      <c r="H37" s="2466"/>
      <c r="I37" s="2467"/>
    </row>
    <row r="38" spans="2:9" ht="16.5" customHeight="1" x14ac:dyDescent="0.2">
      <c r="B38" s="1428">
        <v>84.367000000000004</v>
      </c>
      <c r="C38" s="2453" t="s">
        <v>757</v>
      </c>
      <c r="D38" s="2454"/>
      <c r="E38" s="2454"/>
      <c r="F38" s="2455"/>
      <c r="G38" s="2468">
        <v>12285</v>
      </c>
      <c r="H38" s="2469"/>
      <c r="I38" s="2470"/>
    </row>
    <row r="39" spans="2:9" ht="16.5" customHeight="1" x14ac:dyDescent="0.2">
      <c r="B39" s="1428">
        <v>84.173000000000002</v>
      </c>
      <c r="C39" s="2453" t="s">
        <v>2134</v>
      </c>
      <c r="D39" s="2454"/>
      <c r="E39" s="2454"/>
      <c r="F39" s="2455"/>
      <c r="G39" s="2456">
        <v>60573</v>
      </c>
      <c r="H39" s="2456"/>
      <c r="I39" s="2456"/>
    </row>
    <row r="40" spans="2:9" ht="16.5" customHeight="1" x14ac:dyDescent="0.2">
      <c r="B40" s="1428">
        <v>84.027000000000001</v>
      </c>
      <c r="C40" s="2453" t="s">
        <v>2092</v>
      </c>
      <c r="D40" s="2454"/>
      <c r="E40" s="2454"/>
      <c r="F40" s="2455"/>
      <c r="G40" s="2456">
        <v>1478034</v>
      </c>
      <c r="H40" s="2456"/>
      <c r="I40" s="2456"/>
    </row>
    <row r="41" spans="2:9" ht="16.5" customHeight="1" x14ac:dyDescent="0.2">
      <c r="B41" s="1428">
        <v>84.027000000000001</v>
      </c>
      <c r="C41" s="2453" t="s">
        <v>2095</v>
      </c>
      <c r="D41" s="2454"/>
      <c r="E41" s="2454"/>
      <c r="F41" s="2455"/>
      <c r="G41" s="2456">
        <f>7052+141874+138697</f>
        <v>287623</v>
      </c>
      <c r="H41" s="2456"/>
      <c r="I41" s="2456"/>
    </row>
    <row r="42" spans="2:9" ht="16.5" customHeight="1" x14ac:dyDescent="0.2">
      <c r="B42" s="1428"/>
      <c r="C42" s="2453"/>
      <c r="D42" s="2454"/>
      <c r="E42" s="2454"/>
      <c r="F42" s="2455"/>
      <c r="G42" s="2456"/>
      <c r="H42" s="2456"/>
      <c r="I42" s="2456"/>
    </row>
    <row r="43" spans="2:9" ht="16.5" customHeight="1" x14ac:dyDescent="0.2">
      <c r="B43" s="1428"/>
      <c r="C43" s="2471" t="s">
        <v>1592</v>
      </c>
      <c r="D43" s="2472"/>
      <c r="E43" s="2472"/>
      <c r="F43" s="2473"/>
      <c r="G43" s="2474">
        <f>SUM(G38:I42)</f>
        <v>1838515</v>
      </c>
      <c r="H43" s="2474"/>
      <c r="I43" s="2474"/>
    </row>
    <row r="44" spans="2:9" ht="12.75" customHeight="1" x14ac:dyDescent="0.2"/>
    <row r="45" spans="2:9" ht="12.75" customHeight="1" x14ac:dyDescent="0.2">
      <c r="B45" s="1419" t="s">
        <v>1837</v>
      </c>
      <c r="D45" s="2475">
        <v>4380319</v>
      </c>
      <c r="E45" s="2476"/>
    </row>
    <row r="46" spans="2:9" ht="5.25" customHeight="1" x14ac:dyDescent="0.2">
      <c r="B46" s="1429"/>
      <c r="D46" s="1430"/>
      <c r="E46" s="1431"/>
    </row>
    <row r="47" spans="2:9" ht="12.75" customHeight="1" x14ac:dyDescent="0.2">
      <c r="B47" s="1297" t="s">
        <v>1593</v>
      </c>
      <c r="C47" s="1297"/>
      <c r="D47" s="1432">
        <f>+G43/D45</f>
        <v>0.41972171433176442</v>
      </c>
      <c r="E47" s="1433"/>
      <c r="F47" s="1434"/>
      <c r="I47" s="1435"/>
    </row>
    <row r="48" spans="2:9" ht="9.9499999999999993" customHeight="1" x14ac:dyDescent="0.2"/>
    <row r="49" spans="1:9" x14ac:dyDescent="0.2">
      <c r="B49" s="1365" t="s">
        <v>1272</v>
      </c>
      <c r="C49" s="1279"/>
      <c r="D49" s="1279"/>
      <c r="E49" s="2477">
        <v>750000</v>
      </c>
      <c r="F49" s="2477"/>
      <c r="G49" s="2477"/>
      <c r="H49" s="322"/>
    </row>
    <row r="51" spans="1:9" ht="13.5" customHeight="1" x14ac:dyDescent="0.2">
      <c r="B51" s="1365" t="s">
        <v>1271</v>
      </c>
      <c r="C51" s="1279"/>
      <c r="E51" s="1422" t="s">
        <v>2065</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&amp;L&amp;8Page 11&amp;R&amp;8Page 11</oddHeader>
  </headerFooter>
  <ignoredErrors>
    <ignoredError sqref="G41 G43" unlocked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Woodstock CUSD 200</v>
      </c>
      <c r="C1" s="2457"/>
      <c r="D1" s="2457"/>
      <c r="E1" s="2457"/>
      <c r="F1" s="2457"/>
      <c r="G1" s="2457"/>
      <c r="H1" s="2457"/>
      <c r="I1" s="2457"/>
      <c r="J1" s="2457"/>
      <c r="K1" s="2457"/>
      <c r="L1" s="1371"/>
      <c r="M1" s="1371"/>
    </row>
    <row r="2" spans="1:13" ht="12" customHeight="1" x14ac:dyDescent="0.2">
      <c r="B2" s="2459">
        <f>'Single Audit Cover'!E7</f>
        <v>44063200026</v>
      </c>
      <c r="C2" s="2459"/>
      <c r="D2" s="2459"/>
      <c r="E2" s="2459"/>
      <c r="F2" s="2459"/>
      <c r="G2" s="2459"/>
      <c r="H2" s="2459"/>
      <c r="I2" s="2459"/>
      <c r="J2" s="2459"/>
      <c r="K2" s="2459"/>
      <c r="L2" s="1372"/>
      <c r="M2" s="1373"/>
    </row>
    <row r="3" spans="1:13" ht="10.35" customHeight="1" x14ac:dyDescent="0.2">
      <c r="B3" s="2480" t="s">
        <v>1284</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1295</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t="s">
        <v>2130</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Woodstock CUSD 200</v>
      </c>
      <c r="C1" s="2484"/>
      <c r="D1" s="2484"/>
      <c r="E1" s="2484"/>
      <c r="F1" s="2484"/>
      <c r="G1" s="2484"/>
      <c r="H1" s="2484"/>
      <c r="I1" s="2484"/>
      <c r="J1" s="2484"/>
      <c r="K1" s="2484"/>
      <c r="L1" s="1449"/>
    </row>
    <row r="2" spans="1:12" ht="12.75" customHeight="1" x14ac:dyDescent="0.2">
      <c r="B2" s="2485">
        <f>'Single Audit Cover'!E7</f>
        <v>44063200026</v>
      </c>
      <c r="C2" s="2485"/>
      <c r="D2" s="2485"/>
      <c r="E2" s="2485"/>
      <c r="F2" s="2485"/>
      <c r="G2" s="2485"/>
      <c r="H2" s="2485"/>
      <c r="I2" s="2485"/>
      <c r="J2" s="2485"/>
      <c r="K2" s="2485"/>
      <c r="L2" s="1450"/>
    </row>
    <row r="3" spans="1:12" ht="12.75" customHeight="1" x14ac:dyDescent="0.2">
      <c r="B3" s="2480" t="s">
        <v>1284</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1168</v>
      </c>
      <c r="C5" s="1257"/>
      <c r="L5" s="322"/>
    </row>
    <row r="6" spans="1:12" ht="30.75" customHeight="1" x14ac:dyDescent="0.2">
      <c r="A6" s="322"/>
      <c r="B6" s="2486" t="s">
        <v>1307</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t="s">
        <v>2130</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7"/>
      <c r="E14" s="2487"/>
      <c r="F14" s="2487"/>
      <c r="H14" s="1459" t="s">
        <v>1302</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8"/>
      <c r="E16" s="2488"/>
      <c r="F16" s="2488"/>
      <c r="G16" s="2488"/>
      <c r="H16" s="2488"/>
      <c r="I16" s="2488"/>
      <c r="J16" s="2488"/>
      <c r="K16" s="2488"/>
      <c r="L16" s="322"/>
    </row>
    <row r="17" spans="2:12" ht="13.5" customHeight="1" x14ac:dyDescent="0.2">
      <c r="B17" s="1384" t="s">
        <v>1300</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13&amp;R&amp;8Page 13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Woodstock CUSD 200</v>
      </c>
      <c r="C1" s="2457"/>
      <c r="D1" s="2457"/>
      <c r="E1" s="1469"/>
    </row>
    <row r="2" spans="2:5" s="1279" customFormat="1" ht="12.75" customHeight="1" x14ac:dyDescent="0.2">
      <c r="B2" s="2459">
        <f>'Single Audit Cover'!E7</f>
        <v>44063200026</v>
      </c>
      <c r="C2" s="2459"/>
      <c r="D2" s="2459"/>
      <c r="E2" s="1470"/>
    </row>
    <row r="3" spans="2:5" ht="12.75" customHeight="1" x14ac:dyDescent="0.2">
      <c r="B3" s="2480" t="s">
        <v>1762</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c r="C7" s="324"/>
      <c r="D7" s="324"/>
      <c r="E7" s="324"/>
    </row>
    <row r="8" spans="2:5" ht="13.5" customHeight="1" x14ac:dyDescent="0.2">
      <c r="B8" s="1474" t="s">
        <v>2130</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14&amp;R&amp;8Page 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385</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844268297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3.6966930000000002E-2</v>
      </c>
      <c r="E10" s="356" t="s">
        <v>1004</v>
      </c>
      <c r="F10" s="355">
        <v>7.3170700000000002E-3</v>
      </c>
      <c r="G10" s="356" t="s">
        <v>1004</v>
      </c>
      <c r="H10" s="355">
        <v>2.2504700000000001E-3</v>
      </c>
      <c r="I10" s="356" t="s">
        <v>1005</v>
      </c>
      <c r="J10" s="1732">
        <f>ROUND(D10+F10+H10,5)</f>
        <v>4.6530000000000002E-2</v>
      </c>
      <c r="K10" s="222"/>
      <c r="L10" s="355">
        <v>4.7378999999999998E-4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82233784</v>
      </c>
      <c r="E16" s="356"/>
      <c r="F16" s="1733">
        <f>SUM('Acct Summary 7-8'!C17,'Acct Summary 7-8'!D17,'Acct Summary 7-8'!F17)</f>
        <v>79223836</v>
      </c>
      <c r="G16" s="356"/>
      <c r="H16" s="1733">
        <f>SUM(D16-F16)</f>
        <v>3009948</v>
      </c>
      <c r="I16" s="222"/>
      <c r="J16" s="1733">
        <f>SUM('Acct Summary 7-8'!C81,'Acct Summary 7-8'!D81,'Acct Summary 7-8'!F81,'Acct Summary 7-8'!I81)</f>
        <v>60475349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116509024.98600002</v>
      </c>
      <c r="I31" s="368"/>
      <c r="J31" s="222"/>
      <c r="K31" s="222"/>
      <c r="L31" s="222"/>
      <c r="M31" s="222"/>
    </row>
    <row r="32" spans="1:13" ht="13.35" customHeight="1" x14ac:dyDescent="0.2">
      <c r="B32" s="369" t="s">
        <v>2065</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93837545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555</v>
      </c>
      <c r="B2" s="2107"/>
      <c r="C2" s="2107"/>
      <c r="D2" s="2107"/>
      <c r="E2" s="2107"/>
      <c r="F2" s="2107"/>
      <c r="G2" s="2107"/>
      <c r="H2" s="2107"/>
      <c r="I2" s="2107"/>
      <c r="J2" s="2107"/>
      <c r="K2" s="2107"/>
      <c r="L2" s="2107"/>
      <c r="M2" s="2107"/>
      <c r="N2" s="2107"/>
      <c r="O2" s="2107"/>
      <c r="P2" s="2107"/>
      <c r="Q2" s="2107"/>
      <c r="R2" s="2107"/>
    </row>
    <row r="3" spans="1:18" ht="12.75" x14ac:dyDescent="0.2">
      <c r="A3" s="2108" t="s">
        <v>1412</v>
      </c>
      <c r="B3" s="2108"/>
      <c r="C3" s="2108"/>
      <c r="D3" s="2108"/>
      <c r="E3" s="2108"/>
      <c r="F3" s="2108"/>
      <c r="G3" s="2108"/>
      <c r="H3" s="2108"/>
      <c r="I3" s="2108"/>
      <c r="J3" s="2108"/>
      <c r="K3" s="2108"/>
      <c r="L3" s="2108"/>
      <c r="M3" s="2108"/>
      <c r="N3" s="2108"/>
      <c r="O3" s="2108"/>
      <c r="P3" s="2108"/>
      <c r="Q3" s="2108"/>
      <c r="R3" s="2108"/>
    </row>
    <row r="4" spans="1:18" x14ac:dyDescent="0.2">
      <c r="A4" s="2109" t="s">
        <v>1553</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Woodstock CUSD 200</v>
      </c>
      <c r="E7" s="391"/>
      <c r="G7" s="252"/>
      <c r="H7" s="387"/>
      <c r="I7" s="387"/>
      <c r="J7" s="387"/>
      <c r="K7" s="387"/>
      <c r="L7" s="329"/>
      <c r="M7" s="329"/>
      <c r="N7" s="329"/>
      <c r="O7" s="329"/>
      <c r="P7" s="329"/>
    </row>
    <row r="8" spans="1:18" ht="12.75" x14ac:dyDescent="0.2">
      <c r="A8" s="329"/>
      <c r="B8" s="329"/>
      <c r="C8" s="389" t="s">
        <v>1124</v>
      </c>
      <c r="D8" s="392">
        <f>COVER!A13</f>
        <v>44063200026</v>
      </c>
      <c r="E8" s="393"/>
      <c r="G8" s="329"/>
      <c r="H8" s="329"/>
      <c r="I8" s="329"/>
      <c r="J8" s="329"/>
      <c r="K8" s="329"/>
      <c r="L8" s="329"/>
      <c r="M8" s="329"/>
      <c r="N8" s="329"/>
      <c r="O8" s="329"/>
      <c r="P8" s="329"/>
    </row>
    <row r="9" spans="1:18" ht="12.75" x14ac:dyDescent="0.2">
      <c r="A9" s="329"/>
      <c r="B9" s="329"/>
      <c r="C9" s="389" t="s">
        <v>712</v>
      </c>
      <c r="D9" s="394" t="str">
        <f>COVER!A15</f>
        <v xml:space="preserve">McHenry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60475349</v>
      </c>
      <c r="I12" s="404"/>
      <c r="J12" s="404"/>
      <c r="K12" s="405">
        <f>TRUNC((H12/H13*100000),5)/100000</f>
        <v>0.73540759109999998</v>
      </c>
      <c r="L12" s="406"/>
      <c r="M12" s="360" t="s">
        <v>1143</v>
      </c>
      <c r="N12" s="360"/>
      <c r="O12" s="407">
        <v>0.35</v>
      </c>
      <c r="P12" s="218"/>
      <c r="Q12" s="218"/>
    </row>
    <row r="13" spans="1:18" s="408" customFormat="1" ht="12.75" x14ac:dyDescent="0.2">
      <c r="A13" s="218"/>
      <c r="B13" s="401"/>
      <c r="C13" s="2105" t="s">
        <v>1323</v>
      </c>
      <c r="D13" s="2106"/>
      <c r="E13" s="218"/>
      <c r="F13" s="409" t="s">
        <v>792</v>
      </c>
      <c r="G13" s="402"/>
      <c r="H13" s="403">
        <f>SUM('Acct Summary 7-8'!C8+'Acct Summary 7-8'!D8+'Acct Summary 7-8'!F8+'Acct Summary 7-8'!I8)+H14</f>
        <v>82233784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79223836</v>
      </c>
      <c r="I17" s="404"/>
      <c r="J17" s="416"/>
      <c r="K17" s="405">
        <f>TRUNC((H17/H18*100000),5)/100000</f>
        <v>0.96339767120000008</v>
      </c>
      <c r="L17" s="406"/>
      <c r="M17" s="417" t="s">
        <v>1170</v>
      </c>
      <c r="O17" s="418" t="str">
        <f>IF(AND(O16="2", J20 &gt; 2),"1",IF(AND(O16 = "1", J20 &gt; 2),"2",IF(AND(O16="1", J20 &gt;1),"1","0")))</f>
        <v>0</v>
      </c>
      <c r="P17" s="218"/>
    </row>
    <row r="18" spans="1:18" s="408" customFormat="1" ht="11.25" x14ac:dyDescent="0.2">
      <c r="A18" s="218"/>
      <c r="B18" s="401"/>
      <c r="C18" s="2105" t="s">
        <v>1316</v>
      </c>
      <c r="D18" s="2106"/>
      <c r="E18" s="218"/>
      <c r="F18" s="419" t="s">
        <v>793</v>
      </c>
      <c r="G18" s="402"/>
      <c r="H18" s="403">
        <f>SUM('Acct Summary 7-8'!C8+'Acct Summary 7-8'!D8+'Acct Summary 7-8'!F8+'Acct Summary 7-8'!I8)+H19</f>
        <v>82233784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2" t="s">
        <v>1411</v>
      </c>
      <c r="D24" s="2102"/>
      <c r="E24" s="218"/>
      <c r="F24" s="218" t="s">
        <v>444</v>
      </c>
      <c r="G24" s="402"/>
      <c r="H24" s="403">
        <f>SUM('Assets-Liab 5-6'!C4+'Assets-Liab 5-6'!D4+'Assets-Liab 5-6'!F4+'Assets-Liab 5-6'!I4+'Assets-Liab 5-6'!C5+'Assets-Liab 5-6'!D5+'Assets-Liab 5-6'!F5+'Assets-Liab 5-6'!I5)</f>
        <v>60243831</v>
      </c>
      <c r="I24" s="422"/>
      <c r="J24" s="422"/>
      <c r="K24" s="423">
        <f>TRUNC(((H24/H25*100000)/100000),2)</f>
        <v>273.75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220066.21111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33391233.280499998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93837545</v>
      </c>
      <c r="I32" s="420"/>
      <c r="J32" s="420"/>
      <c r="K32" s="423">
        <f>TRUNC(100-((((H32/H33*100))*100)/100),2)</f>
        <v>19.45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116509024.98600002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2" t="s">
        <v>972</v>
      </c>
      <c r="B3" s="2113"/>
      <c r="C3" s="1559"/>
      <c r="D3" s="1560"/>
      <c r="E3" s="1560"/>
      <c r="F3" s="1560"/>
      <c r="G3" s="1560"/>
      <c r="H3" s="1560"/>
      <c r="I3" s="1560"/>
      <c r="J3" s="1560"/>
      <c r="K3" s="1560"/>
      <c r="L3" s="1560"/>
      <c r="M3" s="1561"/>
      <c r="N3" s="1562"/>
    </row>
    <row r="4" spans="1:14" ht="13.5" customHeight="1" x14ac:dyDescent="0.2">
      <c r="A4" s="463" t="s">
        <v>1650</v>
      </c>
      <c r="B4" s="464"/>
      <c r="C4" s="465">
        <f>210985+1044055</f>
        <v>1255040</v>
      </c>
      <c r="D4" s="466"/>
      <c r="E4" s="466"/>
      <c r="F4" s="466"/>
      <c r="G4" s="466"/>
      <c r="H4" s="466"/>
      <c r="I4" s="466"/>
      <c r="J4" s="467"/>
      <c r="K4" s="466"/>
      <c r="L4" s="466"/>
      <c r="M4" s="468"/>
      <c r="N4" s="469"/>
    </row>
    <row r="5" spans="1:14" x14ac:dyDescent="0.2">
      <c r="A5" s="463" t="s">
        <v>991</v>
      </c>
      <c r="B5" s="470">
        <v>120</v>
      </c>
      <c r="C5" s="465">
        <f>32401387+13620156</f>
        <v>46021543</v>
      </c>
      <c r="D5" s="466">
        <v>4537769</v>
      </c>
      <c r="E5" s="466">
        <v>4086641</v>
      </c>
      <c r="F5" s="466">
        <v>4656163</v>
      </c>
      <c r="G5" s="466">
        <v>2215971</v>
      </c>
      <c r="H5" s="466">
        <v>226920</v>
      </c>
      <c r="I5" s="466">
        <v>3773316</v>
      </c>
      <c r="J5" s="467">
        <v>1204979</v>
      </c>
      <c r="K5" s="471">
        <v>382416</v>
      </c>
      <c r="L5" s="472">
        <v>833410</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231518</v>
      </c>
      <c r="D12" s="466"/>
      <c r="E12" s="466"/>
      <c r="F12" s="466"/>
      <c r="G12" s="466"/>
      <c r="H12" s="466"/>
      <c r="I12" s="466"/>
      <c r="J12" s="467"/>
      <c r="K12" s="466"/>
      <c r="L12" s="466"/>
      <c r="M12" s="469"/>
      <c r="N12" s="469"/>
    </row>
    <row r="13" spans="1:14" ht="13.5" customHeight="1" thickBot="1" x14ac:dyDescent="0.25">
      <c r="A13" s="1736" t="s">
        <v>643</v>
      </c>
      <c r="B13" s="1709"/>
      <c r="C13" s="1737">
        <f>SUM(C4:C12)</f>
        <v>47508101</v>
      </c>
      <c r="D13" s="1737">
        <f t="shared" ref="D13:L13" si="0">SUM(D4:D12)</f>
        <v>4537769</v>
      </c>
      <c r="E13" s="1737">
        <f t="shared" si="0"/>
        <v>4086641</v>
      </c>
      <c r="F13" s="1737">
        <f t="shared" si="0"/>
        <v>4656163</v>
      </c>
      <c r="G13" s="1737">
        <f t="shared" si="0"/>
        <v>2215971</v>
      </c>
      <c r="H13" s="1737">
        <f t="shared" si="0"/>
        <v>226920</v>
      </c>
      <c r="I13" s="1737">
        <f t="shared" si="0"/>
        <v>3773316</v>
      </c>
      <c r="J13" s="1737">
        <f t="shared" si="0"/>
        <v>1204979</v>
      </c>
      <c r="K13" s="1737">
        <f t="shared" si="0"/>
        <v>382416</v>
      </c>
      <c r="L13" s="1737">
        <f t="shared" si="0"/>
        <v>833410</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6009087</v>
      </c>
      <c r="N16" s="484"/>
    </row>
    <row r="17" spans="1:14" s="485" customFormat="1" ht="12.75" customHeight="1" x14ac:dyDescent="0.2">
      <c r="A17" s="482" t="s">
        <v>1402</v>
      </c>
      <c r="B17" s="483">
        <v>230</v>
      </c>
      <c r="C17" s="477"/>
      <c r="D17" s="477"/>
      <c r="E17" s="477"/>
      <c r="F17" s="477"/>
      <c r="G17" s="477"/>
      <c r="H17" s="477"/>
      <c r="I17" s="477"/>
      <c r="J17" s="477"/>
      <c r="K17" s="477"/>
      <c r="L17" s="477"/>
      <c r="M17" s="467">
        <v>155258983</v>
      </c>
      <c r="N17" s="484"/>
    </row>
    <row r="18" spans="1:14" s="485" customFormat="1" ht="12.75" customHeight="1" x14ac:dyDescent="0.2">
      <c r="A18" s="482" t="s">
        <v>1403</v>
      </c>
      <c r="B18" s="483">
        <v>240</v>
      </c>
      <c r="C18" s="477"/>
      <c r="D18" s="477"/>
      <c r="E18" s="477"/>
      <c r="F18" s="477"/>
      <c r="G18" s="477"/>
      <c r="H18" s="477"/>
      <c r="I18" s="477"/>
      <c r="J18" s="477"/>
      <c r="K18" s="477"/>
      <c r="L18" s="477"/>
      <c r="M18" s="467">
        <v>10433223</v>
      </c>
      <c r="N18" s="484"/>
    </row>
    <row r="19" spans="1:14" s="485" customFormat="1" ht="12.75" customHeight="1" x14ac:dyDescent="0.2">
      <c r="A19" s="482" t="s">
        <v>1404</v>
      </c>
      <c r="B19" s="483">
        <v>250</v>
      </c>
      <c r="C19" s="477"/>
      <c r="D19" s="477"/>
      <c r="E19" s="477"/>
      <c r="F19" s="477"/>
      <c r="G19" s="477"/>
      <c r="H19" s="477"/>
      <c r="I19" s="477"/>
      <c r="J19" s="477"/>
      <c r="K19" s="477"/>
      <c r="L19" s="477"/>
      <c r="M19" s="467">
        <f>13800368+7186768</f>
        <v>20987136</v>
      </c>
      <c r="N19" s="484"/>
    </row>
    <row r="20" spans="1:14" s="485" customFormat="1" ht="12.75" customHeight="1" x14ac:dyDescent="0.2">
      <c r="A20" s="482" t="s">
        <v>1405</v>
      </c>
      <c r="B20" s="483">
        <v>260</v>
      </c>
      <c r="C20" s="477"/>
      <c r="D20" s="477"/>
      <c r="E20" s="477"/>
      <c r="F20" s="477"/>
      <c r="G20" s="477"/>
      <c r="H20" s="477"/>
      <c r="I20" s="477"/>
      <c r="J20" s="477"/>
      <c r="K20" s="477"/>
      <c r="L20" s="477"/>
      <c r="M20" s="467">
        <v>81471</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4086641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89750904</v>
      </c>
    </row>
    <row r="23" spans="1:14" ht="13.5" customHeight="1" thickBot="1" x14ac:dyDescent="0.25">
      <c r="A23" s="1736" t="s">
        <v>642</v>
      </c>
      <c r="B23" s="1741"/>
      <c r="C23" s="468"/>
      <c r="D23" s="468"/>
      <c r="E23" s="468"/>
      <c r="F23" s="468"/>
      <c r="G23" s="468"/>
      <c r="H23" s="468"/>
      <c r="I23" s="468"/>
      <c r="J23" s="468"/>
      <c r="K23" s="468"/>
      <c r="L23" s="468"/>
      <c r="M23" s="1688">
        <f>SUM(M15:M22)</f>
        <v>192769900</v>
      </c>
      <c r="N23" s="1688">
        <f>SUM(N21:N22)</f>
        <v>93837545</v>
      </c>
    </row>
    <row r="24" spans="1:14" ht="18" customHeight="1" thickTop="1" x14ac:dyDescent="0.2">
      <c r="A24" s="2116" t="s">
        <v>597</v>
      </c>
      <c r="B24" s="2117"/>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833410</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833410</v>
      </c>
      <c r="M34" s="468"/>
      <c r="N34" s="480"/>
    </row>
    <row r="35" spans="1:14" ht="18" customHeight="1" thickTop="1" x14ac:dyDescent="0.2">
      <c r="A35" s="2118" t="s">
        <v>528</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93837545</v>
      </c>
    </row>
    <row r="37" spans="1:14" ht="13.5" thickBot="1" x14ac:dyDescent="0.25">
      <c r="A37" s="1736" t="s">
        <v>652</v>
      </c>
      <c r="B37" s="1741"/>
      <c r="C37" s="477"/>
      <c r="D37" s="477"/>
      <c r="E37" s="477"/>
      <c r="F37" s="477"/>
      <c r="G37" s="477"/>
      <c r="H37" s="477"/>
      <c r="I37" s="477"/>
      <c r="J37" s="477"/>
      <c r="K37" s="477"/>
      <c r="L37" s="480"/>
      <c r="M37" s="468"/>
      <c r="N37" s="1688">
        <f>SUM(N36:N36)</f>
        <v>93837545</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47508101</v>
      </c>
      <c r="D39" s="466">
        <v>4537769</v>
      </c>
      <c r="E39" s="466">
        <v>4086641</v>
      </c>
      <c r="F39" s="466">
        <v>4656163</v>
      </c>
      <c r="G39" s="466">
        <v>2215971</v>
      </c>
      <c r="H39" s="466">
        <v>226920</v>
      </c>
      <c r="I39" s="466">
        <v>3773316</v>
      </c>
      <c r="J39" s="467">
        <v>1204979</v>
      </c>
      <c r="K39" s="466">
        <v>382416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192769900</v>
      </c>
      <c r="N40" s="497"/>
    </row>
    <row r="41" spans="1:14" ht="13.5" customHeight="1" thickBot="1" x14ac:dyDescent="0.25">
      <c r="A41" s="1736" t="s">
        <v>654</v>
      </c>
      <c r="B41" s="1706"/>
      <c r="C41" s="1688">
        <f>(SUM(C34,C37,C38,C39))</f>
        <v>47508101</v>
      </c>
      <c r="D41" s="1688">
        <f t="shared" ref="D41:L41" si="2">SUM(D34,D37,D38:D39)</f>
        <v>4537769</v>
      </c>
      <c r="E41" s="1688">
        <f t="shared" si="2"/>
        <v>4086641</v>
      </c>
      <c r="F41" s="1688">
        <f t="shared" si="2"/>
        <v>4656163</v>
      </c>
      <c r="G41" s="1688">
        <f t="shared" si="2"/>
        <v>2215971</v>
      </c>
      <c r="H41" s="1688">
        <f t="shared" si="2"/>
        <v>226920</v>
      </c>
      <c r="I41" s="1688">
        <f t="shared" si="2"/>
        <v>3773316</v>
      </c>
      <c r="J41" s="1688">
        <f t="shared" si="2"/>
        <v>1204979</v>
      </c>
      <c r="K41" s="1688">
        <f t="shared" si="2"/>
        <v>382416</v>
      </c>
      <c r="L41" s="1688">
        <f t="shared" si="2"/>
        <v>833410</v>
      </c>
      <c r="M41" s="1688">
        <f>SUM(M40)</f>
        <v>192769900</v>
      </c>
      <c r="N41" s="1688">
        <f>SUM(N37)</f>
        <v>93837545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0" t="s">
        <v>1174</v>
      </c>
      <c r="B3" s="2141"/>
      <c r="C3" s="1573"/>
      <c r="D3" s="1574"/>
      <c r="E3" s="1574"/>
      <c r="F3" s="1574"/>
      <c r="G3" s="1574"/>
      <c r="H3" s="1574"/>
      <c r="I3" s="1574"/>
      <c r="J3" s="1574"/>
      <c r="K3" s="1575"/>
      <c r="L3" s="506"/>
    </row>
    <row r="4" spans="1:13" ht="15.75" customHeight="1" x14ac:dyDescent="0.2">
      <c r="A4" s="1928" t="s">
        <v>1498</v>
      </c>
      <c r="B4" s="1929">
        <v>1000</v>
      </c>
      <c r="C4" s="1742">
        <f>'Revenues 9-14'!C109</f>
        <v>42407629</v>
      </c>
      <c r="D4" s="1742">
        <f>'Revenues 9-14'!D109</f>
        <v>6339367</v>
      </c>
      <c r="E4" s="1742">
        <f>'Revenues 9-14'!E109</f>
        <v>7527905</v>
      </c>
      <c r="F4" s="1742">
        <f>'Revenues 9-14'!F109</f>
        <v>1984566</v>
      </c>
      <c r="G4" s="1742">
        <f>'Revenues 9-14'!G109</f>
        <v>3057393</v>
      </c>
      <c r="H4" s="1742">
        <f>'Revenues 9-14'!H109</f>
        <v>520977</v>
      </c>
      <c r="I4" s="1742">
        <f>'Revenues 9-14'!I109</f>
        <v>469057</v>
      </c>
      <c r="J4" s="1742">
        <f>'Revenues 9-14'!J109</f>
        <v>1075112</v>
      </c>
      <c r="K4" s="1742">
        <f>'Revenues 9-14'!K109</f>
        <v>805479</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22367569</v>
      </c>
      <c r="D6" s="1743">
        <f>'Revenues 9-14'!D170</f>
        <v>875000</v>
      </c>
      <c r="E6" s="1743">
        <f>'Revenues 9-14'!E170</f>
        <v>0</v>
      </c>
      <c r="F6" s="1743">
        <f>'Revenues 9-14'!F170</f>
        <v>3064507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4726089</v>
      </c>
      <c r="D7" s="1743">
        <f>'Revenues 9-14'!D267</f>
        <v>0</v>
      </c>
      <c r="E7" s="1743">
        <f>'Revenues 9-14'!E267</f>
        <v>67338</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69501287</v>
      </c>
      <c r="D8" s="1688">
        <f t="shared" ref="D8:K8" si="0">SUM(D4:D7)</f>
        <v>7214367</v>
      </c>
      <c r="E8" s="1688">
        <f t="shared" si="0"/>
        <v>7595243</v>
      </c>
      <c r="F8" s="1688">
        <f t="shared" si="0"/>
        <v>5049073</v>
      </c>
      <c r="G8" s="1688">
        <f t="shared" si="0"/>
        <v>3057393</v>
      </c>
      <c r="H8" s="1688">
        <f t="shared" si="0"/>
        <v>520977</v>
      </c>
      <c r="I8" s="1688">
        <f t="shared" si="0"/>
        <v>469057</v>
      </c>
      <c r="J8" s="1688">
        <f t="shared" si="0"/>
        <v>1075112</v>
      </c>
      <c r="K8" s="1688">
        <f t="shared" si="0"/>
        <v>805479</v>
      </c>
      <c r="L8" s="347"/>
    </row>
    <row r="9" spans="1:13" ht="15.75" thickTop="1" x14ac:dyDescent="0.2">
      <c r="A9" s="514" t="s">
        <v>1652</v>
      </c>
      <c r="B9" s="515">
        <v>3998</v>
      </c>
      <c r="C9" s="481">
        <v>27612579</v>
      </c>
      <c r="D9" s="516"/>
      <c r="E9" s="481"/>
      <c r="F9" s="481"/>
      <c r="G9" s="517"/>
      <c r="H9" s="481"/>
      <c r="I9" s="509" t="s">
        <v>1168</v>
      </c>
      <c r="J9" s="478"/>
      <c r="K9" s="481"/>
      <c r="L9" s="347"/>
    </row>
    <row r="10" spans="1:13" s="519" customFormat="1" ht="13.5" thickBot="1" x14ac:dyDescent="0.25">
      <c r="A10" s="1736" t="s">
        <v>1172</v>
      </c>
      <c r="B10" s="1709"/>
      <c r="C10" s="1688">
        <f>SUM(C8:C9)</f>
        <v>97113866</v>
      </c>
      <c r="D10" s="1688">
        <f t="shared" ref="D10:K10" si="1">SUM(D8:D9)</f>
        <v>7214367</v>
      </c>
      <c r="E10" s="1688">
        <f t="shared" si="1"/>
        <v>7595243</v>
      </c>
      <c r="F10" s="1688">
        <f t="shared" si="1"/>
        <v>5049073</v>
      </c>
      <c r="G10" s="1688">
        <f t="shared" si="1"/>
        <v>3057393</v>
      </c>
      <c r="H10" s="1688">
        <f t="shared" si="1"/>
        <v>520977</v>
      </c>
      <c r="I10" s="1688">
        <f t="shared" si="1"/>
        <v>469057</v>
      </c>
      <c r="J10" s="1688">
        <f t="shared" si="1"/>
        <v>1075112</v>
      </c>
      <c r="K10" s="1688">
        <f t="shared" si="1"/>
        <v>805479</v>
      </c>
      <c r="L10" s="518"/>
    </row>
    <row r="11" spans="1:13" s="519" customFormat="1" ht="16.7" customHeight="1" thickTop="1" x14ac:dyDescent="0.2">
      <c r="A11" s="2114" t="s">
        <v>1175</v>
      </c>
      <c r="B11" s="2115"/>
      <c r="C11" s="1570"/>
      <c r="D11" s="1571"/>
      <c r="E11" s="1571"/>
      <c r="F11" s="1571"/>
      <c r="G11" s="1571"/>
      <c r="H11" s="1571"/>
      <c r="I11" s="1571"/>
      <c r="J11" s="1571"/>
      <c r="K11" s="1572"/>
      <c r="L11" s="518"/>
    </row>
    <row r="12" spans="1:13" ht="15.75" customHeight="1" x14ac:dyDescent="0.2">
      <c r="A12" s="1576" t="s">
        <v>455</v>
      </c>
      <c r="B12" s="1578">
        <v>1000</v>
      </c>
      <c r="C12" s="1742">
        <f>'Expenditures 15-22'!K33</f>
        <v>45488981</v>
      </c>
      <c r="D12" s="520" t="s">
        <v>1168</v>
      </c>
      <c r="E12" s="468" t="s">
        <v>1168</v>
      </c>
      <c r="F12" s="468" t="s">
        <v>1168</v>
      </c>
      <c r="G12" s="1742">
        <f>'Expenditures 15-22'!K229</f>
        <v>794699</v>
      </c>
      <c r="H12" s="521"/>
      <c r="I12" s="468" t="s">
        <v>1168</v>
      </c>
      <c r="J12" s="468" t="s">
        <v>1168</v>
      </c>
      <c r="K12" s="521" t="s">
        <v>1168</v>
      </c>
      <c r="L12" s="347"/>
    </row>
    <row r="13" spans="1:13" ht="15.75" customHeight="1" x14ac:dyDescent="0.2">
      <c r="A13" s="1576" t="s">
        <v>456</v>
      </c>
      <c r="B13" s="1578">
        <v>2000</v>
      </c>
      <c r="C13" s="1743">
        <f>'Expenditures 15-22'!K74</f>
        <v>20817487</v>
      </c>
      <c r="D13" s="1743">
        <f>'Expenditures 15-22'!K129</f>
        <v>7093940</v>
      </c>
      <c r="E13" s="469" t="s">
        <v>1168</v>
      </c>
      <c r="F13" s="1743">
        <f>'Expenditures 15-22'!K184</f>
        <v>5261336</v>
      </c>
      <c r="G13" s="1743">
        <f>'Expenditures 15-22'!K279</f>
        <v>2114326</v>
      </c>
      <c r="H13" s="1743">
        <f>'Expenditures 15-22'!K303</f>
        <v>257836</v>
      </c>
      <c r="I13" s="468" t="s">
        <v>1168</v>
      </c>
      <c r="J13" s="1743">
        <f>'Expenditures 15-22'!K330</f>
        <v>730356</v>
      </c>
      <c r="K13" s="1747">
        <f>'Expenditures 15-22'!K352</f>
        <v>806443</v>
      </c>
      <c r="L13" s="347"/>
    </row>
    <row r="14" spans="1:13" ht="15.75" customHeight="1" x14ac:dyDescent="0.2">
      <c r="A14" s="1576" t="s">
        <v>448</v>
      </c>
      <c r="B14" s="1578">
        <v>3000</v>
      </c>
      <c r="C14" s="1743">
        <f>'Expenditures 15-22'!K75</f>
        <v>554818</v>
      </c>
      <c r="D14" s="1743">
        <f>'Expenditures 15-22'!K130</f>
        <v>0</v>
      </c>
      <c r="E14" s="520" t="s">
        <v>1168</v>
      </c>
      <c r="F14" s="1743">
        <f>'Expenditures 15-22'!K185</f>
        <v>0</v>
      </c>
      <c r="G14" s="1743">
        <f>'Expenditures 15-22'!K280</f>
        <v>52</v>
      </c>
      <c r="H14" s="512"/>
      <c r="I14" s="468" t="s">
        <v>1168</v>
      </c>
      <c r="J14" s="468" t="s">
        <v>1168</v>
      </c>
      <c r="K14" s="512" t="s">
        <v>1168</v>
      </c>
      <c r="L14" s="347"/>
    </row>
    <row r="15" spans="1:13" ht="15.75" customHeight="1" x14ac:dyDescent="0.2">
      <c r="A15" s="1576" t="s">
        <v>107</v>
      </c>
      <c r="B15" s="1578">
        <v>4000</v>
      </c>
      <c r="C15" s="1743">
        <f>'Expenditures 15-22'!K102</f>
        <v>7274</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9782674</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66868560</v>
      </c>
      <c r="D17" s="1688">
        <f t="shared" si="2"/>
        <v>7093940</v>
      </c>
      <c r="E17" s="1688">
        <f t="shared" si="2"/>
        <v>9782674</v>
      </c>
      <c r="F17" s="1688">
        <f t="shared" si="2"/>
        <v>5261336</v>
      </c>
      <c r="G17" s="1688">
        <f t="shared" si="2"/>
        <v>2909077</v>
      </c>
      <c r="H17" s="1688">
        <f t="shared" si="2"/>
        <v>257836</v>
      </c>
      <c r="I17" s="468"/>
      <c r="J17" s="1688">
        <f>SUM(J12:J16)</f>
        <v>730356</v>
      </c>
      <c r="K17" s="1688">
        <f>SUM(K12:K16)</f>
        <v>806443</v>
      </c>
      <c r="L17" s="347"/>
    </row>
    <row r="18" spans="1:12" ht="15" customHeight="1" thickTop="1" x14ac:dyDescent="0.2">
      <c r="A18" s="1744" t="s">
        <v>1653</v>
      </c>
      <c r="B18" s="1745">
        <v>4180</v>
      </c>
      <c r="C18" s="1742">
        <f t="shared" ref="C18:H18" si="3">C9</f>
        <v>27612579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94481139</v>
      </c>
      <c r="D19" s="1688">
        <f t="shared" si="4"/>
        <v>7093940</v>
      </c>
      <c r="E19" s="1688">
        <f t="shared" si="4"/>
        <v>9782674</v>
      </c>
      <c r="F19" s="1688">
        <f t="shared" si="4"/>
        <v>5261336</v>
      </c>
      <c r="G19" s="1688">
        <f t="shared" si="4"/>
        <v>2909077</v>
      </c>
      <c r="H19" s="1688">
        <f t="shared" si="4"/>
        <v>257836</v>
      </c>
      <c r="I19" s="468"/>
      <c r="J19" s="1688">
        <f>SUM(J17:J18)</f>
        <v>730356</v>
      </c>
      <c r="K19" s="1688">
        <f>SUM(K17:K18)</f>
        <v>806443</v>
      </c>
      <c r="L19" s="347"/>
    </row>
    <row r="20" spans="1:12" ht="16.5" thickTop="1" thickBot="1" x14ac:dyDescent="0.25">
      <c r="A20" s="2130" t="s">
        <v>1654</v>
      </c>
      <c r="B20" s="2131"/>
      <c r="C20" s="1746">
        <f>C8-C17</f>
        <v>2632727</v>
      </c>
      <c r="D20" s="1746">
        <f t="shared" ref="D20:K20" si="5">D8-D17</f>
        <v>120427</v>
      </c>
      <c r="E20" s="1746">
        <f t="shared" si="5"/>
        <v>-2187431</v>
      </c>
      <c r="F20" s="1746">
        <f t="shared" si="5"/>
        <v>-212263</v>
      </c>
      <c r="G20" s="1746">
        <f t="shared" si="5"/>
        <v>148316</v>
      </c>
      <c r="H20" s="1746">
        <f t="shared" si="5"/>
        <v>263141</v>
      </c>
      <c r="I20" s="1746">
        <f t="shared" si="5"/>
        <v>469057</v>
      </c>
      <c r="J20" s="1746">
        <f t="shared" si="5"/>
        <v>344756</v>
      </c>
      <c r="K20" s="1746">
        <f t="shared" si="5"/>
        <v>-964</v>
      </c>
      <c r="L20" s="347"/>
    </row>
    <row r="21" spans="1:12" ht="16.7" customHeight="1" thickTop="1" x14ac:dyDescent="0.2">
      <c r="A21" s="2142" t="s">
        <v>594</v>
      </c>
      <c r="B21" s="2143"/>
      <c r="C21" s="1570"/>
      <c r="D21" s="1571"/>
      <c r="E21" s="1571"/>
      <c r="F21" s="1571"/>
      <c r="G21" s="1571"/>
      <c r="H21" s="1571"/>
      <c r="I21" s="1571"/>
      <c r="J21" s="1571"/>
      <c r="K21" s="1572"/>
      <c r="L21" s="524"/>
    </row>
    <row r="22" spans="1:12" ht="15.75" customHeight="1" collapsed="1" x14ac:dyDescent="0.2">
      <c r="A22" s="2138" t="s">
        <v>595</v>
      </c>
      <c r="B22" s="2139"/>
      <c r="C22" s="477"/>
      <c r="D22" s="477"/>
      <c r="E22" s="477"/>
      <c r="F22" s="477"/>
      <c r="G22" s="477"/>
      <c r="H22" s="477"/>
      <c r="I22" s="477"/>
      <c r="J22" s="477"/>
      <c r="K22" s="477"/>
      <c r="L22" s="347"/>
    </row>
    <row r="23" spans="1:12" s="485" customFormat="1" ht="15.75" customHeight="1" x14ac:dyDescent="0.2">
      <c r="A23" s="2134" t="s">
        <v>292</v>
      </c>
      <c r="B23" s="2135"/>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6" t="s">
        <v>980</v>
      </c>
      <c r="B32" s="2137"/>
      <c r="C32" s="477"/>
      <c r="D32" s="477"/>
      <c r="E32" s="475"/>
      <c r="F32" s="477"/>
      <c r="G32" s="477"/>
      <c r="H32" s="477"/>
      <c r="I32" s="477"/>
      <c r="J32" s="477"/>
      <c r="K32" s="477"/>
      <c r="L32" s="524"/>
    </row>
    <row r="33" spans="1:12" s="485" customFormat="1" x14ac:dyDescent="0.2">
      <c r="A33" s="1489" t="s">
        <v>411</v>
      </c>
      <c r="B33" s="525">
        <v>7210</v>
      </c>
      <c r="C33" s="467"/>
      <c r="D33" s="467"/>
      <c r="E33" s="467">
        <v>13865000</v>
      </c>
      <c r="F33" s="467"/>
      <c r="G33" s="477"/>
      <c r="H33" s="467"/>
      <c r="I33" s="467"/>
      <c r="J33" s="467"/>
      <c r="K33" s="467"/>
      <c r="L33" s="524"/>
    </row>
    <row r="34" spans="1:12" s="485" customFormat="1" x14ac:dyDescent="0.2">
      <c r="A34" s="1489" t="s">
        <v>1000</v>
      </c>
      <c r="B34" s="525">
        <v>7220</v>
      </c>
      <c r="C34" s="467"/>
      <c r="D34" s="467"/>
      <c r="E34" s="467">
        <v>1495970</v>
      </c>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v>10605</v>
      </c>
      <c r="D43" s="467"/>
      <c r="E43" s="467">
        <v>983000</v>
      </c>
      <c r="F43" s="467"/>
      <c r="G43" s="467"/>
      <c r="H43" s="467"/>
      <c r="I43" s="467"/>
      <c r="J43" s="467"/>
      <c r="K43" s="467"/>
      <c r="L43" s="524"/>
    </row>
    <row r="44" spans="1:12" s="485" customFormat="1" ht="13.5" customHeight="1" thickBot="1" x14ac:dyDescent="0.25">
      <c r="A44" s="2144" t="s">
        <v>373</v>
      </c>
      <c r="B44" s="2145"/>
      <c r="C44" s="1703">
        <f>SUM(C24:C43)</f>
        <v>10605</v>
      </c>
      <c r="D44" s="1703">
        <f t="shared" ref="D44:K44" si="6">SUM(D24:D43)</f>
        <v>0</v>
      </c>
      <c r="E44" s="1703">
        <f t="shared" si="6"/>
        <v>16343970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v>633000</v>
      </c>
      <c r="D75" s="531"/>
      <c r="E75" s="530">
        <v>15439568</v>
      </c>
      <c r="F75" s="532"/>
      <c r="G75" s="532"/>
      <c r="H75" s="532">
        <v>350000</v>
      </c>
      <c r="I75" s="530"/>
      <c r="J75" s="530"/>
      <c r="K75" s="532"/>
      <c r="L75" s="524"/>
    </row>
    <row r="76" spans="1:12" s="485" customFormat="1" ht="14.25" thickTop="1" thickBot="1" x14ac:dyDescent="0.25">
      <c r="A76" s="2120" t="s">
        <v>439</v>
      </c>
      <c r="B76" s="2121"/>
      <c r="C76" s="1703">
        <f t="shared" ref="C76:K76" si="7">SUM(C47:C75)</f>
        <v>633000</v>
      </c>
      <c r="D76" s="1703">
        <f t="shared" si="7"/>
        <v>0</v>
      </c>
      <c r="E76" s="1703">
        <f t="shared" si="7"/>
        <v>15439568</v>
      </c>
      <c r="F76" s="1703">
        <f t="shared" si="7"/>
        <v>0</v>
      </c>
      <c r="G76" s="1703">
        <f t="shared" si="7"/>
        <v>0</v>
      </c>
      <c r="H76" s="1703">
        <f t="shared" si="7"/>
        <v>350000</v>
      </c>
      <c r="I76" s="1703">
        <f t="shared" si="7"/>
        <v>0</v>
      </c>
      <c r="J76" s="1703">
        <f t="shared" si="7"/>
        <v>0</v>
      </c>
      <c r="K76" s="1703">
        <f t="shared" si="7"/>
        <v>0</v>
      </c>
      <c r="L76" s="524"/>
    </row>
    <row r="77" spans="1:12" ht="14.25" thickTop="1" thickBot="1" x14ac:dyDescent="0.25">
      <c r="A77" s="2122" t="s">
        <v>1176</v>
      </c>
      <c r="B77" s="2123"/>
      <c r="C77" s="1703">
        <f t="shared" ref="C77:K77" si="8">C44-C76</f>
        <v>-622395</v>
      </c>
      <c r="D77" s="1703">
        <f t="shared" si="8"/>
        <v>0</v>
      </c>
      <c r="E77" s="1703">
        <f t="shared" si="8"/>
        <v>904402</v>
      </c>
      <c r="F77" s="1703">
        <f t="shared" si="8"/>
        <v>0</v>
      </c>
      <c r="G77" s="1703">
        <f t="shared" si="8"/>
        <v>0</v>
      </c>
      <c r="H77" s="1703">
        <f t="shared" si="8"/>
        <v>-350000</v>
      </c>
      <c r="I77" s="1703">
        <f t="shared" si="8"/>
        <v>0</v>
      </c>
      <c r="J77" s="1703">
        <f t="shared" si="8"/>
        <v>0</v>
      </c>
      <c r="K77" s="1703">
        <f t="shared" si="8"/>
        <v>0</v>
      </c>
      <c r="L77" s="347"/>
    </row>
    <row r="78" spans="1:12" ht="21.75" customHeight="1" thickTop="1" thickBot="1" x14ac:dyDescent="0.25">
      <c r="A78" s="2126" t="s">
        <v>596</v>
      </c>
      <c r="B78" s="2127"/>
      <c r="C78" s="1702">
        <f t="shared" ref="C78:K78" si="9">C20+C77</f>
        <v>2010332</v>
      </c>
      <c r="D78" s="1702">
        <f t="shared" si="9"/>
        <v>120427</v>
      </c>
      <c r="E78" s="1702">
        <f t="shared" si="9"/>
        <v>-1283029</v>
      </c>
      <c r="F78" s="1702">
        <f t="shared" si="9"/>
        <v>-212263</v>
      </c>
      <c r="G78" s="1702">
        <f t="shared" si="9"/>
        <v>148316</v>
      </c>
      <c r="H78" s="1702">
        <f t="shared" si="9"/>
        <v>-86859</v>
      </c>
      <c r="I78" s="1702">
        <f t="shared" si="9"/>
        <v>469057</v>
      </c>
      <c r="J78" s="1702">
        <f t="shared" si="9"/>
        <v>344756</v>
      </c>
      <c r="K78" s="1702">
        <f t="shared" si="9"/>
        <v>-964</v>
      </c>
      <c r="L78" s="533"/>
    </row>
    <row r="79" spans="1:12" ht="13.5" thickTop="1" x14ac:dyDescent="0.2">
      <c r="A79" s="1494" t="s">
        <v>1945</v>
      </c>
      <c r="B79" s="534"/>
      <c r="C79" s="478">
        <v>45497769</v>
      </c>
      <c r="D79" s="535">
        <v>4417342</v>
      </c>
      <c r="E79" s="535">
        <v>5369670</v>
      </c>
      <c r="F79" s="535">
        <v>4868426</v>
      </c>
      <c r="G79" s="535">
        <v>2067655</v>
      </c>
      <c r="H79" s="535">
        <v>313779</v>
      </c>
      <c r="I79" s="535">
        <v>3304259</v>
      </c>
      <c r="J79" s="535">
        <v>860223</v>
      </c>
      <c r="K79" s="535">
        <v>383380</v>
      </c>
      <c r="L79" s="347"/>
    </row>
    <row r="80" spans="1:12" x14ac:dyDescent="0.2">
      <c r="A80" s="2132" t="s">
        <v>1791</v>
      </c>
      <c r="B80" s="2133"/>
      <c r="C80" s="467"/>
      <c r="D80" s="467"/>
      <c r="E80" s="467"/>
      <c r="F80" s="467"/>
      <c r="G80" s="467"/>
      <c r="H80" s="467"/>
      <c r="I80" s="467"/>
      <c r="J80" s="467"/>
      <c r="K80" s="467"/>
      <c r="L80" s="347"/>
    </row>
    <row r="81" spans="1:12" ht="13.5" thickBot="1" x14ac:dyDescent="0.25">
      <c r="A81" s="2124" t="s">
        <v>1946</v>
      </c>
      <c r="B81" s="2125"/>
      <c r="C81" s="1688">
        <f>(SUM(C78:C80))</f>
        <v>47508101</v>
      </c>
      <c r="D81" s="1688">
        <f>SUM(D78:D80)</f>
        <v>4537769</v>
      </c>
      <c r="E81" s="1688">
        <f t="shared" ref="E81:K81" si="10">SUM(E78:E80)</f>
        <v>4086641</v>
      </c>
      <c r="F81" s="1688">
        <f t="shared" si="10"/>
        <v>4656163</v>
      </c>
      <c r="G81" s="1688">
        <f t="shared" si="10"/>
        <v>2215971</v>
      </c>
      <c r="H81" s="1688">
        <f t="shared" si="10"/>
        <v>226920</v>
      </c>
      <c r="I81" s="1688">
        <f t="shared" si="10"/>
        <v>3773316</v>
      </c>
      <c r="J81" s="1688">
        <f t="shared" si="10"/>
        <v>1204979</v>
      </c>
      <c r="K81" s="1688">
        <f t="shared" si="10"/>
        <v>382416</v>
      </c>
      <c r="L81" s="347"/>
    </row>
    <row r="82" spans="1:12" ht="0.75" customHeight="1" thickTop="1" thickBot="1" x14ac:dyDescent="0.25">
      <c r="A82" s="536" t="s">
        <v>342</v>
      </c>
      <c r="B82" s="537"/>
      <c r="C82" s="538">
        <f>(C81-C79)</f>
        <v>2010332</v>
      </c>
      <c r="D82" s="538">
        <f t="shared" ref="D82:K82" si="11">(D81-D79)</f>
        <v>120427</v>
      </c>
      <c r="E82" s="538">
        <f t="shared" si="11"/>
        <v>-1283029</v>
      </c>
      <c r="F82" s="538">
        <f t="shared" si="11"/>
        <v>-212263</v>
      </c>
      <c r="G82" s="538">
        <f t="shared" si="11"/>
        <v>148316</v>
      </c>
      <c r="H82" s="538">
        <f t="shared" si="11"/>
        <v>-86859</v>
      </c>
      <c r="I82" s="538">
        <f t="shared" si="11"/>
        <v>469057</v>
      </c>
      <c r="J82" s="538">
        <f t="shared" si="11"/>
        <v>344756</v>
      </c>
      <c r="K82" s="538">
        <f t="shared" si="11"/>
        <v>-964</v>
      </c>
    </row>
    <row r="83" spans="1:12" ht="14.25" hidden="1" thickTop="1" thickBot="1" x14ac:dyDescent="0.25">
      <c r="A83" s="539" t="s">
        <v>343</v>
      </c>
      <c r="B83" s="464"/>
      <c r="C83" s="540">
        <f>C82/C81</f>
        <v>4.2315562139602254E-2</v>
      </c>
      <c r="D83" s="540">
        <f t="shared" ref="D83:K83" si="12">D82/D81</f>
        <v>2.6538812354705583E-2</v>
      </c>
      <c r="E83" s="540">
        <f t="shared" si="12"/>
        <v>-0.3139568657976074</v>
      </c>
      <c r="F83" s="540">
        <f t="shared" si="12"/>
        <v>-4.5587536346987853E-2</v>
      </c>
      <c r="G83" s="540">
        <f t="shared" si="12"/>
        <v>6.6930478783341477E-2</v>
      </c>
      <c r="H83" s="540">
        <f t="shared" si="12"/>
        <v>-0.38277366472765734</v>
      </c>
      <c r="I83" s="540">
        <f t="shared" si="12"/>
        <v>0.12430896325672168</v>
      </c>
      <c r="J83" s="540">
        <f t="shared" si="12"/>
        <v>0.28610955045689596</v>
      </c>
      <c r="K83" s="540">
        <f t="shared" si="12"/>
        <v>-2.5208150286598887E-3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4"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1798</v>
      </c>
      <c r="B1" s="452"/>
      <c r="C1" s="453" t="s">
        <v>424</v>
      </c>
      <c r="D1" s="453" t="s">
        <v>425</v>
      </c>
      <c r="E1" s="453" t="s">
        <v>426</v>
      </c>
      <c r="F1" s="453" t="s">
        <v>427</v>
      </c>
      <c r="G1" s="453" t="s">
        <v>428</v>
      </c>
      <c r="H1" s="453" t="s">
        <v>429</v>
      </c>
      <c r="I1" s="453" t="s">
        <v>430</v>
      </c>
      <c r="J1" s="453" t="s">
        <v>431</v>
      </c>
      <c r="K1" s="453" t="s">
        <v>755</v>
      </c>
    </row>
    <row r="2" spans="1:12" ht="36" x14ac:dyDescent="0.2">
      <c r="A2" s="212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29557750</v>
      </c>
      <c r="D5" s="481">
        <v>5901076</v>
      </c>
      <c r="E5" s="466">
        <v>6938348</v>
      </c>
      <c r="F5" s="548">
        <v>1785370</v>
      </c>
      <c r="G5" s="466">
        <v>1459145</v>
      </c>
      <c r="H5" s="466"/>
      <c r="I5" s="466">
        <v>390331</v>
      </c>
      <c r="J5" s="467">
        <v>1043447</v>
      </c>
      <c r="K5" s="466">
        <v>802996</v>
      </c>
    </row>
    <row r="6" spans="1:12" ht="15" x14ac:dyDescent="0.2">
      <c r="A6" s="463" t="s">
        <v>1661</v>
      </c>
      <c r="B6" s="470">
        <v>1130</v>
      </c>
      <c r="C6" s="466"/>
      <c r="D6" s="466"/>
      <c r="E6" s="475"/>
      <c r="F6" s="475"/>
      <c r="G6" s="468"/>
      <c r="H6" s="468"/>
      <c r="I6" s="468"/>
      <c r="J6" s="468"/>
      <c r="K6" s="468"/>
    </row>
    <row r="7" spans="1:12" x14ac:dyDescent="0.2">
      <c r="A7" s="463" t="s">
        <v>110</v>
      </c>
      <c r="B7" s="549">
        <v>1140</v>
      </c>
      <c r="C7" s="466">
        <v>5981402</v>
      </c>
      <c r="D7" s="466"/>
      <c r="E7" s="468"/>
      <c r="F7" s="467"/>
      <c r="G7" s="467"/>
      <c r="H7" s="467"/>
      <c r="I7" s="468"/>
      <c r="J7" s="468"/>
      <c r="K7" s="468"/>
    </row>
    <row r="8" spans="1:12" x14ac:dyDescent="0.2">
      <c r="A8" s="463" t="s">
        <v>412</v>
      </c>
      <c r="B8" s="470">
        <v>1150</v>
      </c>
      <c r="C8" s="475"/>
      <c r="D8" s="475"/>
      <c r="E8" s="477"/>
      <c r="F8" s="477"/>
      <c r="G8" s="481">
        <v>1459145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35539152</v>
      </c>
      <c r="D12" s="1707">
        <f t="shared" si="0"/>
        <v>5901076</v>
      </c>
      <c r="E12" s="1707">
        <f t="shared" si="0"/>
        <v>6938348</v>
      </c>
      <c r="F12" s="1707">
        <f t="shared" si="0"/>
        <v>1785370</v>
      </c>
      <c r="G12" s="1707">
        <f t="shared" si="0"/>
        <v>2918290</v>
      </c>
      <c r="H12" s="1707">
        <f t="shared" si="0"/>
        <v>0</v>
      </c>
      <c r="I12" s="1707">
        <f t="shared" si="0"/>
        <v>390331</v>
      </c>
      <c r="J12" s="1707">
        <f t="shared" si="0"/>
        <v>1043447</v>
      </c>
      <c r="K12" s="1688">
        <f t="shared" si="0"/>
        <v>802996</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v>200000</v>
      </c>
      <c r="E16" s="466">
        <v>503106</v>
      </c>
      <c r="F16" s="466"/>
      <c r="G16" s="466">
        <v>95200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0</v>
      </c>
      <c r="D18" s="1710">
        <f t="shared" ref="D18:K18" si="1">SUM(D14:D17)</f>
        <v>200000</v>
      </c>
      <c r="E18" s="1710">
        <f t="shared" si="1"/>
        <v>503106</v>
      </c>
      <c r="F18" s="1710">
        <f t="shared" si="1"/>
        <v>0</v>
      </c>
      <c r="G18" s="1710">
        <f t="shared" si="1"/>
        <v>95200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179530</v>
      </c>
      <c r="D20" s="468"/>
      <c r="E20" s="468"/>
      <c r="F20" s="468"/>
      <c r="G20" s="468"/>
      <c r="H20" s="468"/>
      <c r="I20" s="468"/>
      <c r="J20" s="468"/>
      <c r="K20" s="468"/>
    </row>
    <row r="21" spans="1:11" ht="12.75" customHeight="1" x14ac:dyDescent="0.2">
      <c r="A21" s="463" t="s">
        <v>831</v>
      </c>
      <c r="B21" s="470">
        <v>1312</v>
      </c>
      <c r="C21" s="551">
        <v>3145</v>
      </c>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28508</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3093957</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3305140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v>49878</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42366</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92244</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750377</v>
      </c>
      <c r="D65" s="466">
        <v>82922</v>
      </c>
      <c r="E65" s="466">
        <v>86451</v>
      </c>
      <c r="F65" s="467">
        <v>86701</v>
      </c>
      <c r="G65" s="466">
        <v>43903</v>
      </c>
      <c r="H65" s="466">
        <v>9740</v>
      </c>
      <c r="I65" s="466">
        <v>78726</v>
      </c>
      <c r="J65" s="467">
        <v>15757</v>
      </c>
      <c r="K65" s="466">
        <v>2483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750377</v>
      </c>
      <c r="D67" s="1688">
        <f t="shared" ref="D67:K67" si="2">SUM(D65:D66)</f>
        <v>82922</v>
      </c>
      <c r="E67" s="1688">
        <f t="shared" si="2"/>
        <v>86451</v>
      </c>
      <c r="F67" s="1688">
        <f t="shared" si="2"/>
        <v>86701</v>
      </c>
      <c r="G67" s="1688">
        <f t="shared" si="2"/>
        <v>43903</v>
      </c>
      <c r="H67" s="1688">
        <f t="shared" si="2"/>
        <v>9740</v>
      </c>
      <c r="I67" s="1688">
        <f t="shared" si="2"/>
        <v>78726</v>
      </c>
      <c r="J67" s="1688">
        <f t="shared" si="2"/>
        <v>15757</v>
      </c>
      <c r="K67" s="1688">
        <f t="shared" si="2"/>
        <v>2483</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f>461435+50846</f>
        <v>512281</v>
      </c>
      <c r="D69" s="468"/>
      <c r="E69" s="468"/>
      <c r="F69" s="468"/>
      <c r="G69" s="468"/>
      <c r="H69" s="468"/>
      <c r="I69" s="468"/>
      <c r="J69" s="468"/>
      <c r="K69" s="468"/>
    </row>
    <row r="70" spans="1:11" ht="12.75" customHeight="1" x14ac:dyDescent="0.2">
      <c r="A70" s="463" t="s">
        <v>996</v>
      </c>
      <c r="B70" s="470">
        <v>1612</v>
      </c>
      <c r="C70" s="551">
        <v>30155</v>
      </c>
      <c r="D70" s="468"/>
      <c r="E70" s="468"/>
      <c r="F70" s="468"/>
      <c r="G70" s="468"/>
      <c r="H70" s="468"/>
      <c r="I70" s="468"/>
      <c r="J70" s="468"/>
      <c r="K70" s="468"/>
    </row>
    <row r="71" spans="1:11" ht="12.75" customHeight="1" x14ac:dyDescent="0.2">
      <c r="A71" s="463" t="s">
        <v>272</v>
      </c>
      <c r="B71" s="470">
        <v>1613</v>
      </c>
      <c r="C71" s="551">
        <v>123062</v>
      </c>
      <c r="D71" s="468"/>
      <c r="E71" s="468"/>
      <c r="F71" s="468"/>
      <c r="G71" s="468"/>
      <c r="H71" s="468"/>
      <c r="I71" s="468"/>
      <c r="J71" s="468"/>
      <c r="K71" s="468"/>
    </row>
    <row r="72" spans="1:11" ht="12.75" customHeight="1" x14ac:dyDescent="0.2">
      <c r="A72" s="463" t="s">
        <v>24</v>
      </c>
      <c r="B72" s="470">
        <v>1614</v>
      </c>
      <c r="C72" s="551">
        <v>21254</v>
      </c>
      <c r="D72" s="468"/>
      <c r="E72" s="468"/>
      <c r="F72" s="468"/>
      <c r="G72" s="468"/>
      <c r="H72" s="468"/>
      <c r="I72" s="468"/>
      <c r="J72" s="468"/>
      <c r="K72" s="468"/>
    </row>
    <row r="73" spans="1:11" ht="12.75" customHeight="1" x14ac:dyDescent="0.2">
      <c r="A73" s="463" t="s">
        <v>997</v>
      </c>
      <c r="B73" s="470">
        <v>1620</v>
      </c>
      <c r="C73" s="551">
        <v>21363</v>
      </c>
      <c r="D73" s="468"/>
      <c r="E73" s="468"/>
      <c r="F73" s="468"/>
      <c r="G73" s="468"/>
      <c r="H73" s="468"/>
      <c r="I73" s="468"/>
      <c r="J73" s="468"/>
      <c r="K73" s="468"/>
    </row>
    <row r="74" spans="1:11" ht="12.75" customHeight="1" x14ac:dyDescent="0.2">
      <c r="A74" s="463" t="s">
        <v>25</v>
      </c>
      <c r="B74" s="470">
        <v>1690</v>
      </c>
      <c r="C74" s="551">
        <v>49803</v>
      </c>
      <c r="D74" s="468"/>
      <c r="E74" s="468"/>
      <c r="F74" s="468"/>
      <c r="G74" s="468"/>
      <c r="H74" s="468"/>
      <c r="I74" s="468"/>
      <c r="J74" s="468"/>
      <c r="K74" s="468"/>
    </row>
    <row r="75" spans="1:11" ht="12.75" customHeight="1" thickBot="1" x14ac:dyDescent="0.25">
      <c r="A75" s="1708" t="s">
        <v>547</v>
      </c>
      <c r="B75" s="1709"/>
      <c r="C75" s="1688">
        <f>SUM(C69:C74)</f>
        <v>757918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182366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86529</v>
      </c>
      <c r="D79" s="466">
        <v>33347</v>
      </c>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268895</v>
      </c>
      <c r="D82" s="1688">
        <f>SUM(D77:D81)</f>
        <v>33347</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700476</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700476</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36775</v>
      </c>
      <c r="E95" s="521"/>
      <c r="F95" s="521"/>
      <c r="G95" s="521"/>
      <c r="H95" s="521"/>
      <c r="I95" s="521"/>
      <c r="J95" s="521"/>
      <c r="K95" s="521"/>
    </row>
    <row r="96" spans="1:11" ht="12.75" customHeight="1" x14ac:dyDescent="0.2">
      <c r="A96" s="463" t="s">
        <v>390</v>
      </c>
      <c r="B96" s="470">
        <v>1920</v>
      </c>
      <c r="C96" s="551">
        <v>574450</v>
      </c>
      <c r="D96" s="551"/>
      <c r="E96" s="479"/>
      <c r="F96" s="478"/>
      <c r="G96" s="478"/>
      <c r="H96" s="478"/>
      <c r="I96" s="478"/>
      <c r="J96" s="478"/>
      <c r="K96" s="478"/>
    </row>
    <row r="97" spans="1:12" ht="12.75" customHeight="1" x14ac:dyDescent="0.2">
      <c r="A97" s="1495" t="s">
        <v>244</v>
      </c>
      <c r="B97" s="559">
        <v>1930</v>
      </c>
      <c r="C97" s="489"/>
      <c r="D97" s="467"/>
      <c r="E97" s="474"/>
      <c r="F97" s="467"/>
      <c r="G97" s="467"/>
      <c r="H97" s="467">
        <v>47982</v>
      </c>
      <c r="I97" s="467"/>
      <c r="J97" s="467"/>
      <c r="K97" s="467"/>
    </row>
    <row r="98" spans="1:12" ht="12.75" customHeight="1" x14ac:dyDescent="0.2">
      <c r="A98" s="463" t="s">
        <v>189</v>
      </c>
      <c r="B98" s="470">
        <v>1940</v>
      </c>
      <c r="C98" s="489"/>
      <c r="D98" s="466">
        <v>65733</v>
      </c>
      <c r="E98" s="512"/>
      <c r="F98" s="466"/>
      <c r="G98" s="512"/>
      <c r="H98" s="512"/>
      <c r="I98" s="510"/>
      <c r="J98" s="512"/>
      <c r="K98" s="512"/>
    </row>
    <row r="99" spans="1:12" ht="12.75" customHeight="1" x14ac:dyDescent="0.2">
      <c r="A99" s="463" t="s">
        <v>820</v>
      </c>
      <c r="B99" s="470">
        <v>1950</v>
      </c>
      <c r="C99" s="489">
        <v>69086</v>
      </c>
      <c r="D99" s="466"/>
      <c r="E99" s="466"/>
      <c r="F99" s="466"/>
      <c r="G99" s="466"/>
      <c r="H99" s="466"/>
      <c r="I99" s="468"/>
      <c r="J99" s="467">
        <v>15908</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71225</v>
      </c>
      <c r="D101" s="526"/>
      <c r="E101" s="480"/>
      <c r="F101" s="526"/>
      <c r="G101" s="475"/>
      <c r="H101" s="526"/>
      <c r="I101" s="468"/>
      <c r="J101" s="475"/>
      <c r="K101" s="475"/>
    </row>
    <row r="102" spans="1:12" ht="12.75" customHeight="1" x14ac:dyDescent="0.2">
      <c r="A102" s="463" t="s">
        <v>247</v>
      </c>
      <c r="B102" s="470">
        <v>1980</v>
      </c>
      <c r="C102" s="489">
        <v>54317</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316593</v>
      </c>
      <c r="D107" s="466">
        <v>19514</v>
      </c>
      <c r="E107" s="466"/>
      <c r="F107" s="466">
        <v>20251</v>
      </c>
      <c r="G107" s="466"/>
      <c r="H107" s="466">
        <v>463255</v>
      </c>
      <c r="I107" s="466"/>
      <c r="J107" s="467"/>
      <c r="K107" s="466"/>
    </row>
    <row r="108" spans="1:12" ht="12.75" customHeight="1" thickBot="1" x14ac:dyDescent="0.25">
      <c r="A108" s="1708" t="s">
        <v>486</v>
      </c>
      <c r="B108" s="1712"/>
      <c r="C108" s="1707">
        <f>SUM(C95:C107)</f>
        <v>1085671</v>
      </c>
      <c r="D108" s="1707">
        <f t="shared" ref="D108:K108" si="3">SUM(D95:D107)</f>
        <v>122022</v>
      </c>
      <c r="E108" s="1707">
        <f t="shared" si="3"/>
        <v>0</v>
      </c>
      <c r="F108" s="1707">
        <f t="shared" si="3"/>
        <v>20251</v>
      </c>
      <c r="G108" s="1707">
        <f t="shared" si="3"/>
        <v>0</v>
      </c>
      <c r="H108" s="1707">
        <f t="shared" si="3"/>
        <v>511237</v>
      </c>
      <c r="I108" s="1707">
        <f t="shared" si="3"/>
        <v>0</v>
      </c>
      <c r="J108" s="1707">
        <f t="shared" si="3"/>
        <v>15908</v>
      </c>
      <c r="K108" s="1688">
        <f t="shared" si="3"/>
        <v>0</v>
      </c>
    </row>
    <row r="109" spans="1:12" ht="14.25" thickTop="1" thickBot="1" x14ac:dyDescent="0.25">
      <c r="A109" s="1713" t="s">
        <v>248</v>
      </c>
      <c r="B109" s="1714" t="s">
        <v>569</v>
      </c>
      <c r="C109" s="1715">
        <f t="shared" ref="C109:K109" si="4">SUM(C12,C18,C40,C63,C67,C75,C82,C93,C108,)</f>
        <v>42407629</v>
      </c>
      <c r="D109" s="1715">
        <f t="shared" si="4"/>
        <v>6339367</v>
      </c>
      <c r="E109" s="1715">
        <f t="shared" si="4"/>
        <v>7527905</v>
      </c>
      <c r="F109" s="1715">
        <f t="shared" si="4"/>
        <v>1984566</v>
      </c>
      <c r="G109" s="1715">
        <f t="shared" si="4"/>
        <v>3057393</v>
      </c>
      <c r="H109" s="1715">
        <f t="shared" si="4"/>
        <v>520977</v>
      </c>
      <c r="I109" s="1715">
        <f t="shared" si="4"/>
        <v>469057</v>
      </c>
      <c r="J109" s="1715">
        <f t="shared" si="4"/>
        <v>1075112</v>
      </c>
      <c r="K109" s="1702">
        <f t="shared" si="4"/>
        <v>805479</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19420243</v>
      </c>
      <c r="D117" s="481">
        <v>800000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19420243</v>
      </c>
      <c r="D122" s="1707">
        <f t="shared" si="5"/>
        <v>800000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135728</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157635</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293363</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63190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63190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19814</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61551</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v>65000</v>
      </c>
      <c r="E152" s="561"/>
      <c r="F152" s="466">
        <v>2519236</v>
      </c>
      <c r="G152" s="467"/>
      <c r="H152" s="468"/>
      <c r="I152" s="468"/>
      <c r="J152" s="468"/>
      <c r="K152" s="468"/>
    </row>
    <row r="153" spans="1:11" ht="12.75" customHeight="1" x14ac:dyDescent="0.2">
      <c r="A153" s="463" t="s">
        <v>1056</v>
      </c>
      <c r="B153" s="562">
        <v>3510</v>
      </c>
      <c r="C153" s="551"/>
      <c r="D153" s="466">
        <v>10000</v>
      </c>
      <c r="E153" s="561"/>
      <c r="F153" s="466">
        <v>545271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75000</v>
      </c>
      <c r="E155" s="561"/>
      <c r="F155" s="1707">
        <f>SUM(F152:F154)</f>
        <v>3064507</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2354077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f>128276+27055</f>
        <v>155331</v>
      </c>
      <c r="D168" s="580"/>
      <c r="E168" s="580"/>
      <c r="F168" s="580"/>
      <c r="G168" s="581"/>
      <c r="H168" s="582"/>
      <c r="I168" s="581"/>
      <c r="J168" s="581"/>
      <c r="K168" s="582"/>
    </row>
    <row r="169" spans="1:11" ht="12.75" customHeight="1" thickTop="1" thickBot="1" x14ac:dyDescent="0.25">
      <c r="A169" s="2148" t="s">
        <v>397</v>
      </c>
      <c r="B169" s="2149"/>
      <c r="C169" s="1722">
        <f t="shared" ref="C169:K169" si="6">SUM(C132,C141,C145,C146:C150,C155,C156:C167,C168)</f>
        <v>2947326</v>
      </c>
      <c r="D169" s="1722">
        <f t="shared" si="6"/>
        <v>75000</v>
      </c>
      <c r="E169" s="1722">
        <f t="shared" si="6"/>
        <v>0</v>
      </c>
      <c r="F169" s="1722">
        <f t="shared" si="6"/>
        <v>3064507</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22367569</v>
      </c>
      <c r="D170" s="1715">
        <f t="shared" si="7"/>
        <v>875000</v>
      </c>
      <c r="E170" s="1715">
        <f t="shared" si="7"/>
        <v>0</v>
      </c>
      <c r="F170" s="1715">
        <f t="shared" si="7"/>
        <v>3064507</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0" t="s">
        <v>1491</v>
      </c>
      <c r="B172" s="215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4" t="s">
        <v>1664</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1663</v>
      </c>
      <c r="B176" s="215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6" t="s">
        <v>784</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1799</v>
      </c>
      <c r="B182" s="2153"/>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1006383</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197620</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1204003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1000576</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250</v>
      </c>
      <c r="D203" s="466"/>
      <c r="E203" s="468"/>
      <c r="F203" s="466"/>
      <c r="G203" s="466"/>
      <c r="H203" s="468"/>
      <c r="I203" s="468"/>
      <c r="J203" s="468"/>
      <c r="K203" s="468"/>
    </row>
    <row r="204" spans="1:11" ht="12.75" customHeight="1" thickBot="1" x14ac:dyDescent="0.25">
      <c r="A204" s="1708" t="s">
        <v>399</v>
      </c>
      <c r="B204" s="1709"/>
      <c r="C204" s="1707">
        <f>SUM(C200:C203)</f>
        <v>1000826</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17530</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17530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51196</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1399074</v>
      </c>
      <c r="D213" s="466"/>
      <c r="E213" s="468"/>
      <c r="F213" s="466"/>
      <c r="G213" s="466"/>
      <c r="H213" s="468"/>
      <c r="I213" s="468"/>
      <c r="J213" s="468"/>
      <c r="K213" s="468"/>
    </row>
    <row r="214" spans="1:11" ht="12.75" customHeight="1" x14ac:dyDescent="0.2">
      <c r="A214" s="463" t="s">
        <v>1053</v>
      </c>
      <c r="B214" s="470">
        <v>4625</v>
      </c>
      <c r="C214" s="551">
        <v>287623</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1737893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50441</v>
      </c>
      <c r="D220" s="466"/>
      <c r="E220" s="468"/>
      <c r="F220" s="468"/>
      <c r="G220" s="466"/>
      <c r="H220" s="468"/>
      <c r="I220" s="468"/>
      <c r="J220" s="468"/>
      <c r="K220" s="468"/>
    </row>
    <row r="221" spans="1:11" ht="12.75" customHeight="1" thickBot="1" x14ac:dyDescent="0.25">
      <c r="A221" s="1723" t="s">
        <v>1084</v>
      </c>
      <c r="B221" s="1724"/>
      <c r="C221" s="1707">
        <f>SUM(C219:C220)</f>
        <v>50441</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v>67338</v>
      </c>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67338</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v>1652</v>
      </c>
      <c r="D255" s="468"/>
      <c r="E255" s="468"/>
      <c r="F255" s="578"/>
      <c r="G255" s="573"/>
      <c r="H255" s="468"/>
      <c r="I255" s="468"/>
      <c r="J255" s="468"/>
      <c r="K255" s="468"/>
    </row>
    <row r="256" spans="1:11" ht="12.75" customHeight="1" thickTop="1" thickBot="1" x14ac:dyDescent="0.25">
      <c r="A256" s="463" t="s">
        <v>1456</v>
      </c>
      <c r="B256" s="470">
        <v>4909</v>
      </c>
      <c r="C256" s="576">
        <v>107930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64726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252965</v>
      </c>
      <c r="D263" s="576"/>
      <c r="E263" s="468"/>
      <c r="F263" s="576"/>
      <c r="G263" s="576"/>
      <c r="H263" s="468"/>
      <c r="I263" s="468"/>
      <c r="J263" s="468"/>
      <c r="K263" s="468"/>
    </row>
    <row r="264" spans="1:11" ht="12.75" customHeight="1" thickTop="1" thickBot="1" x14ac:dyDescent="0.25">
      <c r="A264" s="463" t="s">
        <v>376</v>
      </c>
      <c r="B264" s="470">
        <v>4992</v>
      </c>
      <c r="C264" s="575">
        <v>288123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4726089</v>
      </c>
      <c r="D266" s="1715">
        <f t="shared" si="10"/>
        <v>0</v>
      </c>
      <c r="E266" s="1715">
        <f t="shared" si="10"/>
        <v>67338</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4726089</v>
      </c>
      <c r="D267" s="1715">
        <f>SUM(D175,D181,D266)</f>
        <v>0</v>
      </c>
      <c r="E267" s="1715">
        <f>SUM(E175,E266)</f>
        <v>67338</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69501287</v>
      </c>
      <c r="D268" s="1715">
        <f t="shared" si="12"/>
        <v>7214367</v>
      </c>
      <c r="E268" s="1715">
        <f t="shared" si="12"/>
        <v>7595243</v>
      </c>
      <c r="F268" s="1715">
        <f t="shared" si="12"/>
        <v>5049073</v>
      </c>
      <c r="G268" s="1715">
        <f t="shared" si="12"/>
        <v>3057393</v>
      </c>
      <c r="H268" s="1715">
        <f t="shared" si="12"/>
        <v>520977</v>
      </c>
      <c r="I268" s="1715">
        <f t="shared" si="12"/>
        <v>469057</v>
      </c>
      <c r="J268" s="1715">
        <f t="shared" si="12"/>
        <v>1075112</v>
      </c>
      <c r="K268" s="1702">
        <f t="shared" si="12"/>
        <v>805479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4" activePane="bottomLeft" state="frozen"/>
      <selection pane="bottomLeft" activeCell="D67" sqref="D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8" t="s">
        <v>296</v>
      </c>
      <c r="B3" s="2169"/>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16740242</v>
      </c>
      <c r="D5" s="466">
        <v>5830208</v>
      </c>
      <c r="E5" s="466">
        <v>514838</v>
      </c>
      <c r="F5" s="466">
        <v>359983</v>
      </c>
      <c r="G5" s="466">
        <v>198334</v>
      </c>
      <c r="H5" s="466">
        <v>81430</v>
      </c>
      <c r="I5" s="467">
        <v>10625</v>
      </c>
      <c r="J5" s="467">
        <v>62448</v>
      </c>
      <c r="K5" s="1671">
        <f>SUM(C5:J5)</f>
        <v>23798108</v>
      </c>
      <c r="L5" s="466">
        <f>52427556-28368460+160593</f>
        <v>24219689</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811913</v>
      </c>
      <c r="D7" s="467">
        <v>270012</v>
      </c>
      <c r="E7" s="467">
        <v>6679</v>
      </c>
      <c r="F7" s="467">
        <v>46628</v>
      </c>
      <c r="G7" s="467"/>
      <c r="H7" s="467"/>
      <c r="I7" s="467"/>
      <c r="J7" s="467"/>
      <c r="K7" s="1671">
        <f t="shared" ref="K7:K32" si="0">SUM(C7:J7)</f>
        <v>1135232</v>
      </c>
      <c r="L7" s="466">
        <v>1238507</v>
      </c>
    </row>
    <row r="8" spans="1:14" x14ac:dyDescent="0.2">
      <c r="A8" s="1504" t="s">
        <v>164</v>
      </c>
      <c r="B8" s="614">
        <v>1200</v>
      </c>
      <c r="C8" s="466">
        <v>7471770</v>
      </c>
      <c r="D8" s="466">
        <v>2040191</v>
      </c>
      <c r="E8" s="466">
        <v>50575</v>
      </c>
      <c r="F8" s="466">
        <v>90375</v>
      </c>
      <c r="G8" s="466">
        <v>4182</v>
      </c>
      <c r="H8" s="466">
        <v>267613</v>
      </c>
      <c r="I8" s="467">
        <v>670</v>
      </c>
      <c r="J8" s="467"/>
      <c r="K8" s="1671">
        <f t="shared" si="0"/>
        <v>9925376</v>
      </c>
      <c r="L8" s="466">
        <f>10596854+15000</f>
        <v>10611854</v>
      </c>
    </row>
    <row r="9" spans="1:14" x14ac:dyDescent="0.2">
      <c r="A9" s="1504" t="s">
        <v>720</v>
      </c>
      <c r="B9" s="614" t="s">
        <v>967</v>
      </c>
      <c r="C9" s="467">
        <v>164538</v>
      </c>
      <c r="D9" s="467">
        <v>39103</v>
      </c>
      <c r="E9" s="467"/>
      <c r="F9" s="467"/>
      <c r="G9" s="467"/>
      <c r="H9" s="467"/>
      <c r="I9" s="467"/>
      <c r="J9" s="467"/>
      <c r="K9" s="1671">
        <f t="shared" si="0"/>
        <v>203641</v>
      </c>
      <c r="L9" s="466">
        <v>182552</v>
      </c>
    </row>
    <row r="10" spans="1:14" x14ac:dyDescent="0.2">
      <c r="A10" s="1504" t="s">
        <v>721</v>
      </c>
      <c r="B10" s="614">
        <v>1250</v>
      </c>
      <c r="C10" s="466">
        <v>211739</v>
      </c>
      <c r="D10" s="466">
        <v>42684</v>
      </c>
      <c r="E10" s="466">
        <v>3160</v>
      </c>
      <c r="F10" s="466">
        <v>187887</v>
      </c>
      <c r="G10" s="466">
        <v>12339</v>
      </c>
      <c r="H10" s="466"/>
      <c r="I10" s="467">
        <v>45222</v>
      </c>
      <c r="J10" s="467"/>
      <c r="K10" s="1671">
        <f t="shared" si="0"/>
        <v>503031</v>
      </c>
      <c r="L10" s="466">
        <v>545687</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823555</v>
      </c>
      <c r="D13" s="466">
        <v>221598</v>
      </c>
      <c r="E13" s="466">
        <v>3704</v>
      </c>
      <c r="F13" s="466">
        <v>35479</v>
      </c>
      <c r="G13" s="466">
        <v>23700</v>
      </c>
      <c r="H13" s="466"/>
      <c r="I13" s="467">
        <v>2989</v>
      </c>
      <c r="J13" s="467"/>
      <c r="K13" s="1671">
        <f t="shared" si="0"/>
        <v>1111025</v>
      </c>
      <c r="L13" s="466">
        <f>1336421+9196</f>
        <v>1345617</v>
      </c>
    </row>
    <row r="14" spans="1:14" x14ac:dyDescent="0.2">
      <c r="A14" s="1504" t="s">
        <v>962</v>
      </c>
      <c r="B14" s="614">
        <v>1500</v>
      </c>
      <c r="C14" s="466">
        <v>1660563</v>
      </c>
      <c r="D14" s="466">
        <v>116665</v>
      </c>
      <c r="E14" s="466">
        <v>162120</v>
      </c>
      <c r="F14" s="466">
        <v>9724</v>
      </c>
      <c r="G14" s="466">
        <v>10357</v>
      </c>
      <c r="H14" s="466">
        <v>41859</v>
      </c>
      <c r="I14" s="467">
        <v>1800</v>
      </c>
      <c r="J14" s="467"/>
      <c r="K14" s="1671">
        <f t="shared" si="0"/>
        <v>2003088</v>
      </c>
      <c r="L14" s="466">
        <f>2053466+1000</f>
        <v>2054466</v>
      </c>
    </row>
    <row r="15" spans="1:14" x14ac:dyDescent="0.2">
      <c r="A15" s="1504" t="s">
        <v>963</v>
      </c>
      <c r="B15" s="614">
        <v>1600</v>
      </c>
      <c r="C15" s="466">
        <v>384072</v>
      </c>
      <c r="D15" s="466">
        <v>14567</v>
      </c>
      <c r="E15" s="466">
        <v>178</v>
      </c>
      <c r="F15" s="466">
        <v>4004</v>
      </c>
      <c r="G15" s="466"/>
      <c r="H15" s="466"/>
      <c r="I15" s="467"/>
      <c r="J15" s="467"/>
      <c r="K15" s="1671">
        <f t="shared" si="0"/>
        <v>402821</v>
      </c>
      <c r="L15" s="466">
        <v>425491</v>
      </c>
    </row>
    <row r="16" spans="1:14" x14ac:dyDescent="0.2">
      <c r="A16" s="1504" t="s">
        <v>986</v>
      </c>
      <c r="B16" s="614" t="s">
        <v>423</v>
      </c>
      <c r="C16" s="466">
        <v>243753</v>
      </c>
      <c r="D16" s="466">
        <v>91991</v>
      </c>
      <c r="E16" s="466">
        <v>4553</v>
      </c>
      <c r="F16" s="466">
        <v>1125</v>
      </c>
      <c r="G16" s="466"/>
      <c r="H16" s="466"/>
      <c r="I16" s="467"/>
      <c r="J16" s="467"/>
      <c r="K16" s="1671">
        <f t="shared" si="0"/>
        <v>341422</v>
      </c>
      <c r="L16" s="466">
        <v>407603</v>
      </c>
    </row>
    <row r="17" spans="1:12" x14ac:dyDescent="0.2">
      <c r="A17" s="1504" t="s">
        <v>723</v>
      </c>
      <c r="B17" s="614" t="s">
        <v>162</v>
      </c>
      <c r="C17" s="467">
        <v>122429</v>
      </c>
      <c r="D17" s="467">
        <v>13437</v>
      </c>
      <c r="E17" s="467">
        <v>4109</v>
      </c>
      <c r="F17" s="467">
        <v>1815</v>
      </c>
      <c r="G17" s="467"/>
      <c r="H17" s="467">
        <v>20</v>
      </c>
      <c r="I17" s="467"/>
      <c r="J17" s="467"/>
      <c r="K17" s="1671">
        <f t="shared" si="0"/>
        <v>141810</v>
      </c>
      <c r="L17" s="466">
        <v>167514</v>
      </c>
    </row>
    <row r="18" spans="1:12" x14ac:dyDescent="0.2">
      <c r="A18" s="1504" t="s">
        <v>1086</v>
      </c>
      <c r="B18" s="614">
        <v>1800</v>
      </c>
      <c r="C18" s="466">
        <v>4155371</v>
      </c>
      <c r="D18" s="466">
        <v>1340060</v>
      </c>
      <c r="E18" s="466">
        <v>9108</v>
      </c>
      <c r="F18" s="466">
        <v>24632</v>
      </c>
      <c r="G18" s="466"/>
      <c r="H18" s="466"/>
      <c r="I18" s="467"/>
      <c r="J18" s="467"/>
      <c r="K18" s="1671">
        <f t="shared" si="0"/>
        <v>5529171</v>
      </c>
      <c r="L18" s="466">
        <v>5413527</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394256</v>
      </c>
      <c r="I22" s="616"/>
      <c r="J22" s="477"/>
      <c r="K22" s="1671">
        <f t="shared" si="0"/>
        <v>394256</v>
      </c>
      <c r="L22" s="471">
        <v>200000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32789945</v>
      </c>
      <c r="D33" s="1670">
        <f t="shared" ref="D33:L33" si="1">SUM(D5:D32)</f>
        <v>10020516</v>
      </c>
      <c r="E33" s="1670">
        <f t="shared" si="1"/>
        <v>759024</v>
      </c>
      <c r="F33" s="1670">
        <f t="shared" si="1"/>
        <v>761652</v>
      </c>
      <c r="G33" s="1670">
        <f t="shared" si="1"/>
        <v>248912</v>
      </c>
      <c r="H33" s="1670">
        <f t="shared" si="1"/>
        <v>785178</v>
      </c>
      <c r="I33" s="1670">
        <f t="shared" si="1"/>
        <v>61306</v>
      </c>
      <c r="J33" s="1670">
        <f t="shared" si="1"/>
        <v>62448</v>
      </c>
      <c r="K33" s="1670">
        <f t="shared" si="1"/>
        <v>45488981</v>
      </c>
      <c r="L33" s="1670">
        <f t="shared" si="1"/>
        <v>46812507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986220</v>
      </c>
      <c r="D36" s="481">
        <v>303213</v>
      </c>
      <c r="E36" s="481">
        <v>35036</v>
      </c>
      <c r="F36" s="481">
        <v>336</v>
      </c>
      <c r="G36" s="481"/>
      <c r="H36" s="481"/>
      <c r="I36" s="467"/>
      <c r="J36" s="467"/>
      <c r="K36" s="1671">
        <f t="shared" ref="K36:K41" si="2">SUM(C36:J36)</f>
        <v>1324805</v>
      </c>
      <c r="L36" s="466">
        <v>1241900</v>
      </c>
    </row>
    <row r="37" spans="1:14" x14ac:dyDescent="0.2">
      <c r="A37" s="1504" t="s">
        <v>1089</v>
      </c>
      <c r="B37" s="614">
        <v>2120</v>
      </c>
      <c r="C37" s="466">
        <v>698271</v>
      </c>
      <c r="D37" s="466">
        <v>173883</v>
      </c>
      <c r="E37" s="466">
        <v>7776</v>
      </c>
      <c r="F37" s="466">
        <v>736</v>
      </c>
      <c r="G37" s="466"/>
      <c r="H37" s="466"/>
      <c r="I37" s="467"/>
      <c r="J37" s="467"/>
      <c r="K37" s="1671">
        <f t="shared" si="2"/>
        <v>880666</v>
      </c>
      <c r="L37" s="466">
        <v>912025</v>
      </c>
    </row>
    <row r="38" spans="1:14" x14ac:dyDescent="0.2">
      <c r="A38" s="1504" t="s">
        <v>198</v>
      </c>
      <c r="B38" s="614">
        <v>2130</v>
      </c>
      <c r="C38" s="466">
        <v>1704780</v>
      </c>
      <c r="D38" s="466">
        <v>360108</v>
      </c>
      <c r="E38" s="466">
        <v>55341</v>
      </c>
      <c r="F38" s="466">
        <v>26830</v>
      </c>
      <c r="G38" s="466">
        <v>29587</v>
      </c>
      <c r="H38" s="466">
        <v>28891</v>
      </c>
      <c r="I38" s="467">
        <v>1598</v>
      </c>
      <c r="J38" s="467"/>
      <c r="K38" s="1671">
        <f t="shared" si="2"/>
        <v>2207135</v>
      </c>
      <c r="L38" s="466">
        <f>2110642+31500</f>
        <v>2142142</v>
      </c>
    </row>
    <row r="39" spans="1:14" x14ac:dyDescent="0.2">
      <c r="A39" s="1504" t="s">
        <v>199</v>
      </c>
      <c r="B39" s="614">
        <v>2140</v>
      </c>
      <c r="C39" s="466">
        <v>469270</v>
      </c>
      <c r="D39" s="466">
        <v>133168</v>
      </c>
      <c r="E39" s="466">
        <v>2300</v>
      </c>
      <c r="F39" s="466">
        <v>2804</v>
      </c>
      <c r="G39" s="466">
        <v>1695</v>
      </c>
      <c r="H39" s="466"/>
      <c r="I39" s="467"/>
      <c r="J39" s="467"/>
      <c r="K39" s="1671">
        <f t="shared" si="2"/>
        <v>609237</v>
      </c>
      <c r="L39" s="466">
        <v>563162</v>
      </c>
    </row>
    <row r="40" spans="1:14" x14ac:dyDescent="0.2">
      <c r="A40" s="1504" t="s">
        <v>200</v>
      </c>
      <c r="B40" s="614">
        <v>2150</v>
      </c>
      <c r="C40" s="466">
        <v>1293729</v>
      </c>
      <c r="D40" s="466">
        <v>409011</v>
      </c>
      <c r="E40" s="466">
        <v>37331</v>
      </c>
      <c r="F40" s="466">
        <v>11375</v>
      </c>
      <c r="G40" s="466">
        <v>8700</v>
      </c>
      <c r="H40" s="466"/>
      <c r="I40" s="467"/>
      <c r="J40" s="467"/>
      <c r="K40" s="1671">
        <f t="shared" si="2"/>
        <v>1760146</v>
      </c>
      <c r="L40" s="466">
        <v>1703948</v>
      </c>
    </row>
    <row r="41" spans="1:14" x14ac:dyDescent="0.2">
      <c r="A41" s="1504" t="s">
        <v>1668</v>
      </c>
      <c r="B41" s="614">
        <v>2190</v>
      </c>
      <c r="C41" s="466">
        <v>47356</v>
      </c>
      <c r="D41" s="466">
        <v>1376</v>
      </c>
      <c r="E41" s="466"/>
      <c r="F41" s="466"/>
      <c r="G41" s="466"/>
      <c r="H41" s="466"/>
      <c r="I41" s="467"/>
      <c r="J41" s="467"/>
      <c r="K41" s="1671">
        <f t="shared" si="2"/>
        <v>48732</v>
      </c>
      <c r="L41" s="466">
        <v>47087</v>
      </c>
    </row>
    <row r="42" spans="1:14" ht="12.75" customHeight="1" thickBot="1" x14ac:dyDescent="0.25">
      <c r="A42" s="1668" t="s">
        <v>559</v>
      </c>
      <c r="B42" s="1669" t="s">
        <v>715</v>
      </c>
      <c r="C42" s="1670">
        <f>SUM(C36:C41)</f>
        <v>5199626</v>
      </c>
      <c r="D42" s="1670">
        <f t="shared" ref="D42:L42" si="3">SUM(D36:D41)</f>
        <v>1380759</v>
      </c>
      <c r="E42" s="1670">
        <f t="shared" si="3"/>
        <v>137784</v>
      </c>
      <c r="F42" s="1670">
        <f t="shared" si="3"/>
        <v>42081</v>
      </c>
      <c r="G42" s="1670">
        <f t="shared" si="3"/>
        <v>39982</v>
      </c>
      <c r="H42" s="1670">
        <f t="shared" si="3"/>
        <v>28891</v>
      </c>
      <c r="I42" s="1670">
        <f t="shared" si="3"/>
        <v>1598</v>
      </c>
      <c r="J42" s="1670">
        <f t="shared" si="3"/>
        <v>0</v>
      </c>
      <c r="K42" s="1670">
        <f t="shared" si="3"/>
        <v>6830721</v>
      </c>
      <c r="L42" s="1670">
        <f t="shared" si="3"/>
        <v>6610264</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1199974</v>
      </c>
      <c r="D44" s="481">
        <v>297156</v>
      </c>
      <c r="E44" s="481">
        <v>138883</v>
      </c>
      <c r="F44" s="481">
        <v>14808</v>
      </c>
      <c r="G44" s="481">
        <v>2564</v>
      </c>
      <c r="H44" s="481">
        <v>1389</v>
      </c>
      <c r="I44" s="467">
        <v>989</v>
      </c>
      <c r="J44" s="467"/>
      <c r="K44" s="1672">
        <f>SUM(C44:J44)</f>
        <v>1655763</v>
      </c>
      <c r="L44" s="481">
        <f>1887440+2650</f>
        <v>1890090</v>
      </c>
    </row>
    <row r="45" spans="1:14" x14ac:dyDescent="0.2">
      <c r="A45" s="1504" t="s">
        <v>814</v>
      </c>
      <c r="B45" s="614">
        <v>2220</v>
      </c>
      <c r="C45" s="466">
        <v>847276</v>
      </c>
      <c r="D45" s="466">
        <v>291736</v>
      </c>
      <c r="E45" s="466">
        <v>6233</v>
      </c>
      <c r="F45" s="466">
        <v>28616</v>
      </c>
      <c r="G45" s="466"/>
      <c r="H45" s="466"/>
      <c r="I45" s="467">
        <v>595</v>
      </c>
      <c r="J45" s="467"/>
      <c r="K45" s="1672">
        <f>SUM(C45:J45)</f>
        <v>1174456</v>
      </c>
      <c r="L45" s="466">
        <f>1185407+3450</f>
        <v>1188857</v>
      </c>
    </row>
    <row r="46" spans="1:14" x14ac:dyDescent="0.2">
      <c r="A46" s="1504" t="s">
        <v>815</v>
      </c>
      <c r="B46" s="614">
        <v>2230</v>
      </c>
      <c r="C46" s="466">
        <v>78202</v>
      </c>
      <c r="D46" s="466">
        <v>12450</v>
      </c>
      <c r="E46" s="466">
        <v>102311</v>
      </c>
      <c r="F46" s="466">
        <v>17462</v>
      </c>
      <c r="G46" s="466"/>
      <c r="H46" s="466"/>
      <c r="I46" s="467"/>
      <c r="J46" s="467"/>
      <c r="K46" s="1672">
        <f>SUM(C46:J46)</f>
        <v>210425</v>
      </c>
      <c r="L46" s="466">
        <v>311415</v>
      </c>
    </row>
    <row r="47" spans="1:14" ht="12.75" customHeight="1" thickBot="1" x14ac:dyDescent="0.25">
      <c r="A47" s="1668" t="s">
        <v>560</v>
      </c>
      <c r="B47" s="1669" t="s">
        <v>32</v>
      </c>
      <c r="C47" s="1670">
        <f>SUM(C44:C46)</f>
        <v>2125452</v>
      </c>
      <c r="D47" s="1670">
        <f t="shared" ref="D47:K47" si="4">SUM(D44:D46)</f>
        <v>601342</v>
      </c>
      <c r="E47" s="1670">
        <f t="shared" si="4"/>
        <v>247427</v>
      </c>
      <c r="F47" s="1670">
        <f t="shared" si="4"/>
        <v>60886</v>
      </c>
      <c r="G47" s="1670">
        <f t="shared" si="4"/>
        <v>2564</v>
      </c>
      <c r="H47" s="1670">
        <f t="shared" si="4"/>
        <v>1389</v>
      </c>
      <c r="I47" s="1670">
        <f t="shared" si="4"/>
        <v>1584</v>
      </c>
      <c r="J47" s="1670">
        <f t="shared" si="4"/>
        <v>0</v>
      </c>
      <c r="K47" s="1670">
        <f t="shared" si="4"/>
        <v>3040644</v>
      </c>
      <c r="L47" s="1670">
        <f>SUM(L44:L46)</f>
        <v>3390362</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168932</v>
      </c>
      <c r="D49" s="481">
        <v>45088</v>
      </c>
      <c r="E49" s="481">
        <v>148860</v>
      </c>
      <c r="F49" s="481">
        <v>18495</v>
      </c>
      <c r="G49" s="481">
        <v>1441</v>
      </c>
      <c r="H49" s="481">
        <v>31774</v>
      </c>
      <c r="I49" s="467"/>
      <c r="J49" s="467"/>
      <c r="K49" s="1672">
        <f>SUM(C49:J49)</f>
        <v>414590</v>
      </c>
      <c r="L49" s="481">
        <v>445718</v>
      </c>
    </row>
    <row r="50" spans="1:14" x14ac:dyDescent="0.2">
      <c r="A50" s="1504" t="s">
        <v>817</v>
      </c>
      <c r="B50" s="614">
        <v>2320</v>
      </c>
      <c r="C50" s="466">
        <v>261755</v>
      </c>
      <c r="D50" s="466">
        <v>66702</v>
      </c>
      <c r="E50" s="466">
        <v>5236</v>
      </c>
      <c r="F50" s="466">
        <v>1792</v>
      </c>
      <c r="G50" s="466"/>
      <c r="H50" s="466">
        <v>5289</v>
      </c>
      <c r="I50" s="467"/>
      <c r="J50" s="467"/>
      <c r="K50" s="1672">
        <f>SUM(C50:J50)</f>
        <v>340774</v>
      </c>
      <c r="L50" s="466">
        <v>346530</v>
      </c>
    </row>
    <row r="51" spans="1:14" x14ac:dyDescent="0.2">
      <c r="A51" s="1504" t="s">
        <v>42</v>
      </c>
      <c r="B51" s="614">
        <v>2330</v>
      </c>
      <c r="C51" s="466">
        <v>22931</v>
      </c>
      <c r="D51" s="466">
        <v>9394</v>
      </c>
      <c r="E51" s="466">
        <v>4119</v>
      </c>
      <c r="F51" s="466">
        <v>1751</v>
      </c>
      <c r="G51" s="466"/>
      <c r="H51" s="466"/>
      <c r="I51" s="467"/>
      <c r="J51" s="467"/>
      <c r="K51" s="1672">
        <f>SUM(C51:J51)</f>
        <v>38195</v>
      </c>
      <c r="L51" s="466">
        <v>29565</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453618</v>
      </c>
      <c r="D53" s="1670">
        <f t="shared" ref="D53:L53" si="5">SUM(D49:D52)</f>
        <v>121184</v>
      </c>
      <c r="E53" s="1670">
        <f t="shared" si="5"/>
        <v>158215</v>
      </c>
      <c r="F53" s="1670">
        <f t="shared" si="5"/>
        <v>22038</v>
      </c>
      <c r="G53" s="1670">
        <f t="shared" si="5"/>
        <v>1441</v>
      </c>
      <c r="H53" s="1670">
        <f t="shared" si="5"/>
        <v>37063</v>
      </c>
      <c r="I53" s="1670">
        <f t="shared" si="5"/>
        <v>0</v>
      </c>
      <c r="J53" s="1670">
        <f t="shared" si="5"/>
        <v>0</v>
      </c>
      <c r="K53" s="1670">
        <f t="shared" si="5"/>
        <v>793559</v>
      </c>
      <c r="L53" s="1670">
        <f t="shared" si="5"/>
        <v>821813</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3223121</v>
      </c>
      <c r="D55" s="481">
        <v>958653</v>
      </c>
      <c r="E55" s="481">
        <v>1678</v>
      </c>
      <c r="F55" s="481">
        <v>17678</v>
      </c>
      <c r="G55" s="481">
        <v>10142</v>
      </c>
      <c r="H55" s="481">
        <v>3708</v>
      </c>
      <c r="I55" s="467">
        <v>2157</v>
      </c>
      <c r="J55" s="467"/>
      <c r="K55" s="1672">
        <f>SUM(C55:J55)</f>
        <v>4217137</v>
      </c>
      <c r="L55" s="481">
        <f>4288185+5800</f>
        <v>4293985</v>
      </c>
    </row>
    <row r="56" spans="1:14" ht="12.75" customHeight="1" x14ac:dyDescent="0.2">
      <c r="A56" s="1508" t="s">
        <v>375</v>
      </c>
      <c r="B56" s="628">
        <v>2490</v>
      </c>
      <c r="C56" s="466">
        <v>106025</v>
      </c>
      <c r="D56" s="466">
        <v>36729</v>
      </c>
      <c r="E56" s="466"/>
      <c r="F56" s="466"/>
      <c r="G56" s="466"/>
      <c r="H56" s="466"/>
      <c r="I56" s="467"/>
      <c r="J56" s="467"/>
      <c r="K56" s="1672">
        <f>SUM(C56:J56)</f>
        <v>142754</v>
      </c>
      <c r="L56" s="466">
        <v>140665</v>
      </c>
    </row>
    <row r="57" spans="1:14" s="343" customFormat="1" ht="12.75" customHeight="1" thickBot="1" x14ac:dyDescent="0.25">
      <c r="A57" s="1668" t="s">
        <v>263</v>
      </c>
      <c r="B57" s="1673" t="s">
        <v>34</v>
      </c>
      <c r="C57" s="1674">
        <f>SUM(C55:C56)</f>
        <v>3329146</v>
      </c>
      <c r="D57" s="1674">
        <f t="shared" ref="D57:K57" si="6">SUM(D55:D56)</f>
        <v>995382</v>
      </c>
      <c r="E57" s="1674">
        <f t="shared" si="6"/>
        <v>1678</v>
      </c>
      <c r="F57" s="1674">
        <f t="shared" si="6"/>
        <v>17678</v>
      </c>
      <c r="G57" s="1674">
        <f t="shared" si="6"/>
        <v>10142</v>
      </c>
      <c r="H57" s="1674">
        <f t="shared" si="6"/>
        <v>3708</v>
      </c>
      <c r="I57" s="1674">
        <f t="shared" si="6"/>
        <v>2157</v>
      </c>
      <c r="J57" s="1674">
        <f t="shared" si="6"/>
        <v>0</v>
      </c>
      <c r="K57" s="1674">
        <f t="shared" si="6"/>
        <v>4359891</v>
      </c>
      <c r="L57" s="1670">
        <f>SUM(L55:L56)</f>
        <v>4434650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163711</v>
      </c>
      <c r="D59" s="481">
        <v>34271</v>
      </c>
      <c r="E59" s="481"/>
      <c r="F59" s="481"/>
      <c r="G59" s="481"/>
      <c r="H59" s="481"/>
      <c r="I59" s="467"/>
      <c r="J59" s="467"/>
      <c r="K59" s="1672">
        <f t="shared" ref="K59:K64" si="7">SUM(C59:J59)</f>
        <v>197982</v>
      </c>
      <c r="L59" s="481">
        <v>201768</v>
      </c>
      <c r="M59" s="609"/>
      <c r="N59" s="609"/>
    </row>
    <row r="60" spans="1:14" s="343" customFormat="1" x14ac:dyDescent="0.2">
      <c r="A60" s="1504" t="s">
        <v>462</v>
      </c>
      <c r="B60" s="614">
        <v>2520</v>
      </c>
      <c r="C60" s="466">
        <v>349974</v>
      </c>
      <c r="D60" s="466">
        <v>93998</v>
      </c>
      <c r="E60" s="466">
        <v>158214</v>
      </c>
      <c r="F60" s="466">
        <v>6206</v>
      </c>
      <c r="G60" s="466"/>
      <c r="H60" s="466">
        <v>2869</v>
      </c>
      <c r="I60" s="467"/>
      <c r="J60" s="467"/>
      <c r="K60" s="1672">
        <f t="shared" si="7"/>
        <v>611261</v>
      </c>
      <c r="L60" s="466">
        <v>668640</v>
      </c>
      <c r="M60" s="609"/>
      <c r="N60" s="609"/>
    </row>
    <row r="61" spans="1:14" s="343" customFormat="1" x14ac:dyDescent="0.2">
      <c r="A61" s="1504" t="s">
        <v>197</v>
      </c>
      <c r="B61" s="614">
        <v>2540</v>
      </c>
      <c r="C61" s="466">
        <v>49945</v>
      </c>
      <c r="D61" s="466">
        <v>27463</v>
      </c>
      <c r="E61" s="466">
        <v>4510</v>
      </c>
      <c r="F61" s="466">
        <v>18941</v>
      </c>
      <c r="G61" s="466">
        <v>57539</v>
      </c>
      <c r="H61" s="466">
        <v>119</v>
      </c>
      <c r="I61" s="467"/>
      <c r="J61" s="467"/>
      <c r="K61" s="1672">
        <f t="shared" si="7"/>
        <v>158517</v>
      </c>
      <c r="L61" s="466">
        <f>87809+52208</f>
        <v>140017</v>
      </c>
      <c r="M61" s="609"/>
      <c r="N61" s="609"/>
    </row>
    <row r="62" spans="1:14" s="343" customFormat="1" x14ac:dyDescent="0.2">
      <c r="A62" s="1504" t="s">
        <v>952</v>
      </c>
      <c r="B62" s="614">
        <v>2550</v>
      </c>
      <c r="C62" s="466">
        <v>39399</v>
      </c>
      <c r="D62" s="466">
        <v>3574</v>
      </c>
      <c r="E62" s="466">
        <v>45960</v>
      </c>
      <c r="F62" s="466">
        <v>300</v>
      </c>
      <c r="G62" s="466"/>
      <c r="H62" s="466"/>
      <c r="I62" s="467"/>
      <c r="J62" s="467"/>
      <c r="K62" s="1672">
        <f t="shared" si="7"/>
        <v>89233</v>
      </c>
      <c r="L62" s="466">
        <f>105320+2700</f>
        <v>108020</v>
      </c>
      <c r="M62" s="609"/>
      <c r="N62" s="609"/>
    </row>
    <row r="63" spans="1:14" s="609" customFormat="1" x14ac:dyDescent="0.2">
      <c r="A63" s="1504" t="s">
        <v>100</v>
      </c>
      <c r="B63" s="614">
        <v>2560</v>
      </c>
      <c r="C63" s="466">
        <v>1163833</v>
      </c>
      <c r="D63" s="466">
        <v>352966</v>
      </c>
      <c r="E63" s="466">
        <v>9574</v>
      </c>
      <c r="F63" s="466">
        <v>824186</v>
      </c>
      <c r="G63" s="466">
        <v>636</v>
      </c>
      <c r="H63" s="466">
        <v>3534</v>
      </c>
      <c r="I63" s="467"/>
      <c r="J63" s="467"/>
      <c r="K63" s="1672">
        <f t="shared" si="7"/>
        <v>2354729</v>
      </c>
      <c r="L63" s="466">
        <f>2325953+1500</f>
        <v>2327453</v>
      </c>
    </row>
    <row r="64" spans="1:14" s="609" customFormat="1" x14ac:dyDescent="0.2">
      <c r="A64" s="1509" t="s">
        <v>101</v>
      </c>
      <c r="B64" s="630">
        <v>2570</v>
      </c>
      <c r="C64" s="481"/>
      <c r="D64" s="481"/>
      <c r="E64" s="481">
        <v>169</v>
      </c>
      <c r="F64" s="481"/>
      <c r="G64" s="481"/>
      <c r="H64" s="481"/>
      <c r="I64" s="467"/>
      <c r="J64" s="467"/>
      <c r="K64" s="1672">
        <f t="shared" si="7"/>
        <v>169</v>
      </c>
      <c r="L64" s="481">
        <v>2500</v>
      </c>
    </row>
    <row r="65" spans="1:14" s="343" customFormat="1" ht="12.75" customHeight="1" thickBot="1" x14ac:dyDescent="0.25">
      <c r="A65" s="1668" t="s">
        <v>718</v>
      </c>
      <c r="B65" s="1669" t="s">
        <v>35</v>
      </c>
      <c r="C65" s="1670">
        <f>SUM(C59:C64)</f>
        <v>1766862</v>
      </c>
      <c r="D65" s="1670">
        <f t="shared" ref="D65:L65" si="8">SUM(D59:D64)</f>
        <v>512272</v>
      </c>
      <c r="E65" s="1670">
        <f t="shared" si="8"/>
        <v>218427</v>
      </c>
      <c r="F65" s="1670">
        <f t="shared" si="8"/>
        <v>849633</v>
      </c>
      <c r="G65" s="1670">
        <f t="shared" si="8"/>
        <v>58175</v>
      </c>
      <c r="H65" s="1670">
        <f t="shared" si="8"/>
        <v>6522</v>
      </c>
      <c r="I65" s="1670">
        <f t="shared" si="8"/>
        <v>0</v>
      </c>
      <c r="J65" s="1670">
        <f t="shared" si="8"/>
        <v>0</v>
      </c>
      <c r="K65" s="1670">
        <f t="shared" si="8"/>
        <v>3411891</v>
      </c>
      <c r="L65" s="1670">
        <f t="shared" si="8"/>
        <v>3448398</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196860</v>
      </c>
      <c r="D69" s="466">
        <v>19068</v>
      </c>
      <c r="E69" s="466">
        <v>15611</v>
      </c>
      <c r="F69" s="466">
        <v>9989</v>
      </c>
      <c r="G69" s="466"/>
      <c r="H69" s="466">
        <v>640</v>
      </c>
      <c r="I69" s="467"/>
      <c r="J69" s="467"/>
      <c r="K69" s="1672">
        <f>SUM(C69:J69)</f>
        <v>242168</v>
      </c>
      <c r="L69" s="466">
        <v>273097</v>
      </c>
      <c r="M69" s="609"/>
      <c r="N69" s="609"/>
    </row>
    <row r="70" spans="1:14" s="343" customFormat="1" x14ac:dyDescent="0.2">
      <c r="A70" s="1504" t="s">
        <v>402</v>
      </c>
      <c r="B70" s="614">
        <v>2640</v>
      </c>
      <c r="C70" s="466">
        <v>384256</v>
      </c>
      <c r="D70" s="466">
        <v>112607</v>
      </c>
      <c r="E70" s="466">
        <v>21666</v>
      </c>
      <c r="F70" s="466">
        <v>3404</v>
      </c>
      <c r="G70" s="466"/>
      <c r="H70" s="466">
        <v>804</v>
      </c>
      <c r="I70" s="467"/>
      <c r="J70" s="467"/>
      <c r="K70" s="1672">
        <f>SUM(C70:J70)</f>
        <v>522737</v>
      </c>
      <c r="L70" s="466">
        <v>534909</v>
      </c>
      <c r="M70" s="609"/>
      <c r="N70" s="609"/>
    </row>
    <row r="71" spans="1:14" s="343" customFormat="1" x14ac:dyDescent="0.2">
      <c r="A71" s="1504" t="s">
        <v>403</v>
      </c>
      <c r="B71" s="614">
        <v>2660</v>
      </c>
      <c r="C71" s="466">
        <v>565651</v>
      </c>
      <c r="D71" s="466">
        <v>90999</v>
      </c>
      <c r="E71" s="466">
        <v>8934</v>
      </c>
      <c r="F71" s="466">
        <v>872357</v>
      </c>
      <c r="G71" s="466">
        <v>19471</v>
      </c>
      <c r="H71" s="466">
        <v>58464</v>
      </c>
      <c r="I71" s="467"/>
      <c r="J71" s="467"/>
      <c r="K71" s="1672">
        <f>SUM(C71:J71)</f>
        <v>1615876</v>
      </c>
      <c r="L71" s="466">
        <f>1208542+80000</f>
        <v>1288542</v>
      </c>
      <c r="M71" s="609"/>
      <c r="N71" s="609"/>
    </row>
    <row r="72" spans="1:14" s="343" customFormat="1" ht="12.75" customHeight="1" thickBot="1" x14ac:dyDescent="0.25">
      <c r="A72" s="1668" t="s">
        <v>37</v>
      </c>
      <c r="B72" s="1675" t="s">
        <v>36</v>
      </c>
      <c r="C72" s="1670">
        <f>SUM(C67:C71)</f>
        <v>1146767</v>
      </c>
      <c r="D72" s="1670">
        <f t="shared" ref="D72:K72" si="9">SUM(D67:D71)</f>
        <v>222674</v>
      </c>
      <c r="E72" s="1670">
        <f t="shared" si="9"/>
        <v>46211</v>
      </c>
      <c r="F72" s="1670">
        <f t="shared" si="9"/>
        <v>885750</v>
      </c>
      <c r="G72" s="1670">
        <f t="shared" si="9"/>
        <v>19471</v>
      </c>
      <c r="H72" s="1670">
        <f t="shared" si="9"/>
        <v>59908</v>
      </c>
      <c r="I72" s="1670">
        <f t="shared" si="9"/>
        <v>0</v>
      </c>
      <c r="J72" s="1670">
        <f t="shared" si="9"/>
        <v>0</v>
      </c>
      <c r="K72" s="1670">
        <f t="shared" si="9"/>
        <v>2380781</v>
      </c>
      <c r="L72" s="1670">
        <f>SUM(L67:L71)</f>
        <v>2096548</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v>6485</v>
      </c>
      <c r="M73" s="609"/>
      <c r="N73" s="609"/>
    </row>
    <row r="74" spans="1:14" ht="12.75" customHeight="1" thickTop="1" thickBot="1" x14ac:dyDescent="0.25">
      <c r="A74" s="1668" t="s">
        <v>810</v>
      </c>
      <c r="B74" s="1676">
        <v>2000</v>
      </c>
      <c r="C74" s="1677">
        <f>SUM(C42,C47,C53,C57,C65,C72,C73)</f>
        <v>14021471</v>
      </c>
      <c r="D74" s="1677">
        <f t="shared" ref="D74:K74" si="10">SUM(D42,D47,D53,D57,D65,D72,D73)</f>
        <v>3833613</v>
      </c>
      <c r="E74" s="1677">
        <f t="shared" si="10"/>
        <v>809742</v>
      </c>
      <c r="F74" s="1677">
        <f t="shared" si="10"/>
        <v>1878066</v>
      </c>
      <c r="G74" s="1677">
        <f t="shared" si="10"/>
        <v>131775</v>
      </c>
      <c r="H74" s="1677">
        <f t="shared" si="10"/>
        <v>137481</v>
      </c>
      <c r="I74" s="1677">
        <f t="shared" si="10"/>
        <v>5339</v>
      </c>
      <c r="J74" s="1677">
        <f t="shared" si="10"/>
        <v>0</v>
      </c>
      <c r="K74" s="1677">
        <f t="shared" si="10"/>
        <v>20817487</v>
      </c>
      <c r="L74" s="1677">
        <f>SUM(L42,L47,L53,L57,L65,L72,L73)</f>
        <v>20808520</v>
      </c>
    </row>
    <row r="75" spans="1:14" s="259" customFormat="1" ht="15.75" customHeight="1" thickTop="1" thickBot="1" x14ac:dyDescent="0.25">
      <c r="A75" s="1610" t="s">
        <v>47</v>
      </c>
      <c r="B75" s="1611" t="s">
        <v>574</v>
      </c>
      <c r="C75" s="573">
        <v>347845</v>
      </c>
      <c r="D75" s="573">
        <v>147181</v>
      </c>
      <c r="E75" s="573">
        <v>37145</v>
      </c>
      <c r="F75" s="573">
        <v>22647</v>
      </c>
      <c r="G75" s="573"/>
      <c r="H75" s="573"/>
      <c r="I75" s="531"/>
      <c r="J75" s="531"/>
      <c r="K75" s="1670">
        <f>SUM(C75:J75)</f>
        <v>554818</v>
      </c>
      <c r="L75" s="576">
        <v>639093</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7274</v>
      </c>
      <c r="I86" s="477"/>
      <c r="J86" s="477"/>
      <c r="K86" s="1677">
        <f t="shared" ref="K86:K98" si="12">H86</f>
        <v>7274</v>
      </c>
      <c r="L86" s="530">
        <v>40000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7274</v>
      </c>
      <c r="I92" s="477"/>
      <c r="J92" s="477"/>
      <c r="K92" s="1677">
        <f t="shared" si="12"/>
        <v>7274</v>
      </c>
      <c r="L92" s="1670">
        <f>SUM(L85:L91)</f>
        <v>40000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7274</v>
      </c>
      <c r="I102" s="477"/>
      <c r="J102" s="477"/>
      <c r="K102" s="1677">
        <f>SUM(K84,K92,K100,K101)</f>
        <v>7274</v>
      </c>
      <c r="L102" s="1677">
        <f>SUM(L84,L92,L100,L101)</f>
        <v>40000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47159261</v>
      </c>
      <c r="D114" s="1670">
        <f t="shared" ref="D114:K114" si="13">SUM(D33,D74,D75,D102,D112,D113)</f>
        <v>14001310</v>
      </c>
      <c r="E114" s="1670">
        <f t="shared" si="13"/>
        <v>1605911</v>
      </c>
      <c r="F114" s="1670">
        <f t="shared" si="13"/>
        <v>2662365</v>
      </c>
      <c r="G114" s="1670">
        <f t="shared" si="13"/>
        <v>380687</v>
      </c>
      <c r="H114" s="1670">
        <f>SUM(H33,H74,H75,H102,H112,H113)</f>
        <v>929933</v>
      </c>
      <c r="I114" s="1670">
        <f t="shared" si="13"/>
        <v>66645</v>
      </c>
      <c r="J114" s="1670">
        <f t="shared" si="13"/>
        <v>62448</v>
      </c>
      <c r="K114" s="1670">
        <f t="shared" si="13"/>
        <v>66868560</v>
      </c>
      <c r="L114" s="1670">
        <f>SUM(L33,L74,L75,L102,L112,L113)</f>
        <v>68300120</v>
      </c>
    </row>
    <row r="115" spans="1:14" ht="13.5" thickTop="1" x14ac:dyDescent="0.2">
      <c r="A115" s="2160" t="s">
        <v>995</v>
      </c>
      <c r="B115" s="2161"/>
      <c r="C115" s="618"/>
      <c r="D115" s="618"/>
      <c r="E115" s="618"/>
      <c r="F115" s="618"/>
      <c r="G115" s="618"/>
      <c r="H115" s="618"/>
      <c r="I115" s="618"/>
      <c r="J115" s="618"/>
      <c r="K115" s="1684">
        <f>'Revenues 9-14'!C268-'Expenditures 15-22'!K114</f>
        <v>2632727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295</v>
      </c>
      <c r="B117" s="2166"/>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2958077</v>
      </c>
      <c r="D124" s="466">
        <v>711707</v>
      </c>
      <c r="E124" s="466">
        <v>1263107</v>
      </c>
      <c r="F124" s="466">
        <v>2054876</v>
      </c>
      <c r="G124" s="466">
        <v>103422</v>
      </c>
      <c r="H124" s="466">
        <v>1977</v>
      </c>
      <c r="I124" s="467">
        <v>774</v>
      </c>
      <c r="J124" s="467"/>
      <c r="K124" s="1670">
        <f>SUM(C124:J124)</f>
        <v>7093940</v>
      </c>
      <c r="L124" s="466">
        <f>6819896+295604</f>
        <v>7115500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2958077</v>
      </c>
      <c r="D127" s="1670">
        <f t="shared" ref="D127:L127" si="14">SUM(D122:D126)</f>
        <v>711707</v>
      </c>
      <c r="E127" s="1670">
        <f t="shared" si="14"/>
        <v>1263107</v>
      </c>
      <c r="F127" s="1670">
        <f t="shared" si="14"/>
        <v>2054876</v>
      </c>
      <c r="G127" s="1670">
        <f t="shared" si="14"/>
        <v>103422</v>
      </c>
      <c r="H127" s="1670">
        <f t="shared" si="14"/>
        <v>1977</v>
      </c>
      <c r="I127" s="1670">
        <f t="shared" si="14"/>
        <v>774</v>
      </c>
      <c r="J127" s="1670">
        <f t="shared" si="14"/>
        <v>0</v>
      </c>
      <c r="K127" s="1670">
        <f t="shared" si="14"/>
        <v>7093940</v>
      </c>
      <c r="L127" s="1670">
        <f t="shared" si="14"/>
        <v>7115500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2958077</v>
      </c>
      <c r="D129" s="1677">
        <f t="shared" ref="D129:L129" si="15">SUM(D120,D127,D128)</f>
        <v>711707</v>
      </c>
      <c r="E129" s="1677">
        <f t="shared" si="15"/>
        <v>1263107</v>
      </c>
      <c r="F129" s="1677">
        <f t="shared" si="15"/>
        <v>2054876</v>
      </c>
      <c r="G129" s="1677">
        <f t="shared" si="15"/>
        <v>103422</v>
      </c>
      <c r="H129" s="1677">
        <f t="shared" si="15"/>
        <v>1977</v>
      </c>
      <c r="I129" s="1677">
        <f t="shared" si="15"/>
        <v>774</v>
      </c>
      <c r="J129" s="1677">
        <f t="shared" si="15"/>
        <v>0</v>
      </c>
      <c r="K129" s="1677">
        <f t="shared" si="15"/>
        <v>7093940</v>
      </c>
      <c r="L129" s="1677">
        <f t="shared" si="15"/>
        <v>7115500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7" t="s">
        <v>619</v>
      </c>
      <c r="B151" s="2157"/>
      <c r="C151" s="1670">
        <f>SUM(C129,C130,C139,C149,C150)</f>
        <v>2958077</v>
      </c>
      <c r="D151" s="1670">
        <f t="shared" ref="D151:K151" si="16">SUM(D129,D130,D139,D149,D150)</f>
        <v>711707</v>
      </c>
      <c r="E151" s="1670">
        <f t="shared" si="16"/>
        <v>1263107</v>
      </c>
      <c r="F151" s="1670">
        <f t="shared" si="16"/>
        <v>2054876</v>
      </c>
      <c r="G151" s="1670">
        <f t="shared" si="16"/>
        <v>103422</v>
      </c>
      <c r="H151" s="1670">
        <f t="shared" si="16"/>
        <v>1977</v>
      </c>
      <c r="I151" s="1670">
        <f t="shared" si="16"/>
        <v>774</v>
      </c>
      <c r="J151" s="1670">
        <f t="shared" si="16"/>
        <v>0</v>
      </c>
      <c r="K151" s="1670">
        <f t="shared" si="16"/>
        <v>7093940</v>
      </c>
      <c r="L151" s="1670">
        <f>SUM(L129,L130,L139,L149,L150)</f>
        <v>7115500</v>
      </c>
    </row>
    <row r="152" spans="1:14" ht="12.75" customHeight="1" thickTop="1" x14ac:dyDescent="0.2">
      <c r="A152" s="2180" t="s">
        <v>1177</v>
      </c>
      <c r="B152" s="2181"/>
      <c r="C152" s="618"/>
      <c r="D152" s="618"/>
      <c r="E152" s="618"/>
      <c r="F152" s="618"/>
      <c r="G152" s="618"/>
      <c r="H152" s="618"/>
      <c r="I152" s="618"/>
      <c r="J152" s="616"/>
      <c r="K152" s="1684">
        <f>'Revenues 9-14'!D268-'Expenditures 15-22'!K151</f>
        <v>120427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620</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3443985</v>
      </c>
      <c r="I169" s="616"/>
      <c r="J169" s="616"/>
      <c r="K169" s="1671">
        <f>SUM(C169:H169)</f>
        <v>3443985</v>
      </c>
      <c r="L169" s="656">
        <v>3746294</v>
      </c>
    </row>
    <row r="170" spans="1:14" ht="33.75" customHeight="1" x14ac:dyDescent="0.2">
      <c r="A170" s="669" t="s">
        <v>1669</v>
      </c>
      <c r="B170" s="671" t="s">
        <v>31</v>
      </c>
      <c r="C170" s="616"/>
      <c r="D170" s="616"/>
      <c r="E170" s="616"/>
      <c r="F170" s="616"/>
      <c r="G170" s="616"/>
      <c r="H170" s="569">
        <v>6110000</v>
      </c>
      <c r="I170" s="616"/>
      <c r="J170" s="616"/>
      <c r="K170" s="1671">
        <f>SUM(C170:J170)</f>
        <v>6110000</v>
      </c>
      <c r="L170" s="569">
        <v>6110000</v>
      </c>
    </row>
    <row r="171" spans="1:14" ht="15.75" customHeight="1" x14ac:dyDescent="0.2">
      <c r="A171" s="621" t="s">
        <v>765</v>
      </c>
      <c r="B171" s="672" t="s">
        <v>84</v>
      </c>
      <c r="C171" s="616"/>
      <c r="D171" s="616"/>
      <c r="E171" s="466"/>
      <c r="F171" s="616"/>
      <c r="G171" s="616"/>
      <c r="H171" s="569">
        <v>228689</v>
      </c>
      <c r="I171" s="477"/>
      <c r="J171" s="616"/>
      <c r="K171" s="1671">
        <f>SUM(C171:J171)</f>
        <v>228689</v>
      </c>
      <c r="L171" s="569">
        <v>7165</v>
      </c>
    </row>
    <row r="172" spans="1:14" ht="12.75" customHeight="1" thickBot="1" x14ac:dyDescent="0.25">
      <c r="A172" s="1668" t="s">
        <v>637</v>
      </c>
      <c r="B172" s="1669" t="s">
        <v>491</v>
      </c>
      <c r="C172" s="616"/>
      <c r="D172" s="616"/>
      <c r="E172" s="1677">
        <f>SUM(E168,E169,E170,E171)</f>
        <v>0</v>
      </c>
      <c r="F172" s="616"/>
      <c r="G172" s="616"/>
      <c r="H172" s="1677">
        <f>SUM(H168,H169,H170,H171)</f>
        <v>9782674</v>
      </c>
      <c r="I172" s="638"/>
      <c r="J172" s="616"/>
      <c r="K172" s="1677">
        <f>SUM(K168,K169,K170,K171)</f>
        <v>9782674</v>
      </c>
      <c r="L172" s="1677">
        <f>SUM(L168,L169,L170,L171)</f>
        <v>9863459</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9782674</v>
      </c>
      <c r="I174" s="638"/>
      <c r="J174" s="616"/>
      <c r="K174" s="1677">
        <f>SUM(K160,K172,K173)</f>
        <v>9782674</v>
      </c>
      <c r="L174" s="1677">
        <f>SUM(L160,L172,L173)</f>
        <v>9863459</v>
      </c>
    </row>
    <row r="175" spans="1:14" ht="13.5" thickTop="1" x14ac:dyDescent="0.2">
      <c r="A175" s="2160" t="s">
        <v>995</v>
      </c>
      <c r="B175" s="2161"/>
      <c r="C175" s="616"/>
      <c r="D175" s="616"/>
      <c r="E175" s="616"/>
      <c r="F175" s="616"/>
      <c r="G175" s="616"/>
      <c r="H175" s="618"/>
      <c r="I175" s="616"/>
      <c r="J175" s="616"/>
      <c r="K175" s="1684">
        <f>'Revenues 9-14'!E268-'Expenditures 15-22'!K174</f>
        <v>-2187431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2984326</v>
      </c>
      <c r="D182" s="466">
        <v>388501</v>
      </c>
      <c r="E182" s="466">
        <v>604824</v>
      </c>
      <c r="F182" s="466">
        <v>773318</v>
      </c>
      <c r="G182" s="466">
        <v>508722</v>
      </c>
      <c r="H182" s="466">
        <v>1645</v>
      </c>
      <c r="I182" s="467"/>
      <c r="J182" s="467"/>
      <c r="K182" s="1671">
        <f>SUM(C182:J182)</f>
        <v>5261336</v>
      </c>
      <c r="L182" s="466">
        <f>4577498+630000</f>
        <v>5207498</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2984326</v>
      </c>
      <c r="D184" s="1677">
        <f t="shared" ref="D184:J184" si="17">SUM(D180,D182,D183)</f>
        <v>388501</v>
      </c>
      <c r="E184" s="1677">
        <f t="shared" si="17"/>
        <v>604824</v>
      </c>
      <c r="F184" s="1677">
        <f t="shared" si="17"/>
        <v>773318</v>
      </c>
      <c r="G184" s="1677">
        <f t="shared" si="17"/>
        <v>508722</v>
      </c>
      <c r="H184" s="1677">
        <f t="shared" si="17"/>
        <v>1645</v>
      </c>
      <c r="I184" s="1677">
        <f t="shared" si="17"/>
        <v>0</v>
      </c>
      <c r="J184" s="1677">
        <f t="shared" si="17"/>
        <v>0</v>
      </c>
      <c r="K184" s="1677">
        <f>SUM(K180,K182,K183)</f>
        <v>5261336</v>
      </c>
      <c r="L184" s="1677">
        <f>SUM(L180, L182:L183)</f>
        <v>5207498</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2984326</v>
      </c>
      <c r="D210" s="1670">
        <f>SUM(D184,D185)</f>
        <v>388501</v>
      </c>
      <c r="E210" s="1670">
        <f>SUM(E184,E185,E196)</f>
        <v>604824</v>
      </c>
      <c r="F210" s="1670">
        <f>SUM(F184,F185)</f>
        <v>773318</v>
      </c>
      <c r="G210" s="1670">
        <f>SUM(G184,G185)</f>
        <v>508722</v>
      </c>
      <c r="H210" s="1670">
        <f>SUM(H184,H185,H196,H208,H209)</f>
        <v>1645</v>
      </c>
      <c r="I210" s="1670">
        <f>SUM(I184,I185)</f>
        <v>0</v>
      </c>
      <c r="J210" s="1670">
        <f>SUM(J184,J185)</f>
        <v>0</v>
      </c>
      <c r="K210" s="1671">
        <f>SUM(K184,K185,K196,K208,K209)</f>
        <v>5261336</v>
      </c>
      <c r="L210" s="1670">
        <f>SUM(L184,L185,L196,L208,L209)</f>
        <v>5207498</v>
      </c>
    </row>
    <row r="211" spans="1:14" ht="13.5" thickTop="1" x14ac:dyDescent="0.2">
      <c r="A211" s="2160" t="s">
        <v>995</v>
      </c>
      <c r="B211" s="2161"/>
      <c r="C211" s="618"/>
      <c r="D211" s="618"/>
      <c r="E211" s="618"/>
      <c r="F211" s="618"/>
      <c r="G211" s="618"/>
      <c r="H211" s="618"/>
      <c r="I211" s="616"/>
      <c r="J211" s="616"/>
      <c r="K211" s="1684">
        <f>'Revenues 9-14'!F268-'Expenditures 15-22'!K210</f>
        <v>-212263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964</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257572</v>
      </c>
      <c r="E215" s="616"/>
      <c r="F215" s="616"/>
      <c r="G215" s="616"/>
      <c r="H215" s="616"/>
      <c r="I215" s="616"/>
      <c r="J215" s="616"/>
      <c r="K215" s="1671">
        <f>D215</f>
        <v>257572</v>
      </c>
      <c r="L215" s="466">
        <v>271742</v>
      </c>
    </row>
    <row r="216" spans="1:14" x14ac:dyDescent="0.2">
      <c r="A216" s="1504" t="s">
        <v>163</v>
      </c>
      <c r="B216" s="614" t="s">
        <v>966</v>
      </c>
      <c r="C216" s="616"/>
      <c r="D216" s="467">
        <v>7187</v>
      </c>
      <c r="E216" s="616"/>
      <c r="F216" s="616"/>
      <c r="G216" s="616"/>
      <c r="H216" s="616"/>
      <c r="I216" s="616"/>
      <c r="J216" s="616"/>
      <c r="K216" s="1671">
        <f t="shared" ref="K216:K228" si="19">D216</f>
        <v>7187</v>
      </c>
      <c r="L216" s="466">
        <v>4711</v>
      </c>
    </row>
    <row r="217" spans="1:14" x14ac:dyDescent="0.2">
      <c r="A217" s="1504" t="s">
        <v>164</v>
      </c>
      <c r="B217" s="614">
        <v>1200</v>
      </c>
      <c r="C217" s="616"/>
      <c r="D217" s="466">
        <v>318300</v>
      </c>
      <c r="E217" s="616"/>
      <c r="F217" s="616"/>
      <c r="G217" s="616"/>
      <c r="H217" s="616"/>
      <c r="I217" s="616"/>
      <c r="J217" s="616"/>
      <c r="K217" s="1671">
        <f t="shared" si="19"/>
        <v>318300</v>
      </c>
      <c r="L217" s="466">
        <v>469797</v>
      </c>
    </row>
    <row r="218" spans="1:14" x14ac:dyDescent="0.2">
      <c r="A218" s="1504" t="s">
        <v>277</v>
      </c>
      <c r="B218" s="614" t="s">
        <v>967</v>
      </c>
      <c r="C218" s="616"/>
      <c r="D218" s="467">
        <v>1506</v>
      </c>
      <c r="E218" s="616"/>
      <c r="F218" s="616"/>
      <c r="G218" s="616"/>
      <c r="H218" s="616"/>
      <c r="I218" s="616"/>
      <c r="J218" s="616"/>
      <c r="K218" s="1671">
        <f t="shared" si="19"/>
        <v>1506</v>
      </c>
      <c r="L218" s="466">
        <v>1431</v>
      </c>
    </row>
    <row r="219" spans="1:14" x14ac:dyDescent="0.2">
      <c r="A219" s="1504" t="s">
        <v>278</v>
      </c>
      <c r="B219" s="614">
        <v>1250</v>
      </c>
      <c r="C219" s="616"/>
      <c r="D219" s="466"/>
      <c r="E219" s="616"/>
      <c r="F219" s="616"/>
      <c r="G219" s="616"/>
      <c r="H219" s="616"/>
      <c r="I219" s="616"/>
      <c r="J219" s="616"/>
      <c r="K219" s="1671">
        <f t="shared" si="19"/>
        <v>0</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30969</v>
      </c>
      <c r="E222" s="616"/>
      <c r="F222" s="616"/>
      <c r="G222" s="616"/>
      <c r="H222" s="616"/>
      <c r="I222" s="616"/>
      <c r="J222" s="616"/>
      <c r="K222" s="1671">
        <f t="shared" si="19"/>
        <v>30969</v>
      </c>
      <c r="L222" s="466">
        <v>37820</v>
      </c>
    </row>
    <row r="223" spans="1:14" x14ac:dyDescent="0.2">
      <c r="A223" s="1504" t="s">
        <v>962</v>
      </c>
      <c r="B223" s="614">
        <v>1500</v>
      </c>
      <c r="C223" s="616"/>
      <c r="D223" s="466">
        <v>67203</v>
      </c>
      <c r="E223" s="616"/>
      <c r="F223" s="616"/>
      <c r="G223" s="616"/>
      <c r="H223" s="616"/>
      <c r="I223" s="616"/>
      <c r="J223" s="616"/>
      <c r="K223" s="1671">
        <f t="shared" si="19"/>
        <v>67203</v>
      </c>
      <c r="L223" s="466">
        <v>59882</v>
      </c>
    </row>
    <row r="224" spans="1:14" x14ac:dyDescent="0.2">
      <c r="A224" s="1504" t="s">
        <v>963</v>
      </c>
      <c r="B224" s="614">
        <v>1600</v>
      </c>
      <c r="C224" s="616"/>
      <c r="D224" s="466">
        <v>20955</v>
      </c>
      <c r="E224" s="616"/>
      <c r="F224" s="616"/>
      <c r="G224" s="616"/>
      <c r="H224" s="616"/>
      <c r="I224" s="616"/>
      <c r="J224" s="616"/>
      <c r="K224" s="1671">
        <f t="shared" si="19"/>
        <v>20955</v>
      </c>
      <c r="L224" s="466">
        <v>29240</v>
      </c>
    </row>
    <row r="225" spans="1:12" x14ac:dyDescent="0.2">
      <c r="A225" s="1504" t="s">
        <v>986</v>
      </c>
      <c r="B225" s="614">
        <v>1650</v>
      </c>
      <c r="C225" s="616"/>
      <c r="D225" s="466">
        <v>2741</v>
      </c>
      <c r="E225" s="616"/>
      <c r="F225" s="616"/>
      <c r="G225" s="616"/>
      <c r="H225" s="616"/>
      <c r="I225" s="616"/>
      <c r="J225" s="616"/>
      <c r="K225" s="1671">
        <f t="shared" si="19"/>
        <v>2741</v>
      </c>
      <c r="L225" s="466">
        <v>3205</v>
      </c>
    </row>
    <row r="226" spans="1:12" x14ac:dyDescent="0.2">
      <c r="A226" s="1504" t="s">
        <v>723</v>
      </c>
      <c r="B226" s="614" t="s">
        <v>162</v>
      </c>
      <c r="C226" s="616"/>
      <c r="D226" s="467">
        <v>1763</v>
      </c>
      <c r="E226" s="616"/>
      <c r="F226" s="616"/>
      <c r="G226" s="616"/>
      <c r="H226" s="616"/>
      <c r="I226" s="616"/>
      <c r="J226" s="616"/>
      <c r="K226" s="1671">
        <f t="shared" si="19"/>
        <v>1763</v>
      </c>
      <c r="L226" s="466">
        <v>1709</v>
      </c>
    </row>
    <row r="227" spans="1:12" x14ac:dyDescent="0.2">
      <c r="A227" s="1504" t="s">
        <v>1086</v>
      </c>
      <c r="B227" s="614">
        <v>1800</v>
      </c>
      <c r="C227" s="616"/>
      <c r="D227" s="466">
        <v>86503</v>
      </c>
      <c r="E227" s="616"/>
      <c r="F227" s="616"/>
      <c r="G227" s="616"/>
      <c r="H227" s="616"/>
      <c r="I227" s="616"/>
      <c r="J227" s="616"/>
      <c r="K227" s="1671">
        <f t="shared" si="19"/>
        <v>86503</v>
      </c>
      <c r="L227" s="466">
        <v>63493</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794699</v>
      </c>
      <c r="E229" s="616"/>
      <c r="F229" s="616"/>
      <c r="G229" s="616"/>
      <c r="H229" s="616"/>
      <c r="I229" s="616"/>
      <c r="J229" s="616"/>
      <c r="K229" s="1670">
        <f>SUM(K215:K228)</f>
        <v>794699</v>
      </c>
      <c r="L229" s="1670">
        <f>SUM(L215:L228)</f>
        <v>943030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39070</v>
      </c>
      <c r="E232" s="616"/>
      <c r="F232" s="616"/>
      <c r="G232" s="616"/>
      <c r="H232" s="616"/>
      <c r="I232" s="616"/>
      <c r="J232" s="616"/>
      <c r="K232" s="1671">
        <f t="shared" ref="K232:K237" si="20">D232</f>
        <v>39070</v>
      </c>
      <c r="L232" s="466">
        <v>45265</v>
      </c>
    </row>
    <row r="233" spans="1:12" x14ac:dyDescent="0.2">
      <c r="A233" s="1504" t="s">
        <v>1089</v>
      </c>
      <c r="B233" s="614">
        <v>2120</v>
      </c>
      <c r="C233" s="616"/>
      <c r="D233" s="466">
        <v>19807</v>
      </c>
      <c r="E233" s="616"/>
      <c r="F233" s="616"/>
      <c r="G233" s="616"/>
      <c r="H233" s="616"/>
      <c r="I233" s="616"/>
      <c r="J233" s="616"/>
      <c r="K233" s="1671">
        <f t="shared" si="20"/>
        <v>19807</v>
      </c>
      <c r="L233" s="466">
        <v>9411</v>
      </c>
    </row>
    <row r="234" spans="1:12" x14ac:dyDescent="0.2">
      <c r="A234" s="1504" t="s">
        <v>198</v>
      </c>
      <c r="B234" s="614">
        <v>2130</v>
      </c>
      <c r="C234" s="616"/>
      <c r="D234" s="466">
        <v>220603</v>
      </c>
      <c r="E234" s="616"/>
      <c r="F234" s="616"/>
      <c r="G234" s="616"/>
      <c r="H234" s="616"/>
      <c r="I234" s="616"/>
      <c r="J234" s="616"/>
      <c r="K234" s="1671">
        <f t="shared" si="20"/>
        <v>220603</v>
      </c>
      <c r="L234" s="466">
        <v>217156</v>
      </c>
    </row>
    <row r="235" spans="1:12" x14ac:dyDescent="0.2">
      <c r="A235" s="1504" t="s">
        <v>199</v>
      </c>
      <c r="B235" s="614">
        <v>2140</v>
      </c>
      <c r="C235" s="616"/>
      <c r="D235" s="466">
        <v>7355</v>
      </c>
      <c r="E235" s="616"/>
      <c r="F235" s="616"/>
      <c r="G235" s="616"/>
      <c r="H235" s="616"/>
      <c r="I235" s="616"/>
      <c r="J235" s="616"/>
      <c r="K235" s="1671">
        <f t="shared" si="20"/>
        <v>7355</v>
      </c>
      <c r="L235" s="466">
        <v>6006</v>
      </c>
    </row>
    <row r="236" spans="1:12" x14ac:dyDescent="0.2">
      <c r="A236" s="1504" t="s">
        <v>200</v>
      </c>
      <c r="B236" s="614">
        <v>2150</v>
      </c>
      <c r="C236" s="616"/>
      <c r="D236" s="466">
        <v>15966</v>
      </c>
      <c r="E236" s="616"/>
      <c r="F236" s="616"/>
      <c r="G236" s="616"/>
      <c r="H236" s="616"/>
      <c r="I236" s="616"/>
      <c r="J236" s="616"/>
      <c r="K236" s="1671">
        <f t="shared" si="20"/>
        <v>15966</v>
      </c>
      <c r="L236" s="466">
        <v>15842</v>
      </c>
    </row>
    <row r="237" spans="1:12" x14ac:dyDescent="0.2">
      <c r="A237" s="1504" t="s">
        <v>165</v>
      </c>
      <c r="B237" s="614">
        <v>2190</v>
      </c>
      <c r="C237" s="616"/>
      <c r="D237" s="466">
        <v>8651</v>
      </c>
      <c r="E237" s="616"/>
      <c r="F237" s="616"/>
      <c r="G237" s="616"/>
      <c r="H237" s="616"/>
      <c r="I237" s="616"/>
      <c r="J237" s="616"/>
      <c r="K237" s="1671">
        <f t="shared" si="20"/>
        <v>8651</v>
      </c>
      <c r="L237" s="466">
        <v>9197</v>
      </c>
    </row>
    <row r="238" spans="1:12" ht="12.75" customHeight="1" thickBot="1" x14ac:dyDescent="0.25">
      <c r="A238" s="1668" t="s">
        <v>559</v>
      </c>
      <c r="B238" s="1675" t="s">
        <v>715</v>
      </c>
      <c r="C238" s="616"/>
      <c r="D238" s="1670">
        <f>SUM(D232:D237)</f>
        <v>311452</v>
      </c>
      <c r="E238" s="616"/>
      <c r="F238" s="616"/>
      <c r="G238" s="616"/>
      <c r="H238" s="616"/>
      <c r="I238" s="616"/>
      <c r="J238" s="616"/>
      <c r="K238" s="1670">
        <f>SUM(K232:K237)</f>
        <v>311452</v>
      </c>
      <c r="L238" s="1670">
        <f>SUM(L232:L237)</f>
        <v>302877</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33134</v>
      </c>
      <c r="E240" s="616"/>
      <c r="F240" s="616"/>
      <c r="G240" s="616"/>
      <c r="H240" s="616"/>
      <c r="I240" s="616"/>
      <c r="J240" s="616"/>
      <c r="K240" s="1672">
        <f>D240</f>
        <v>33134</v>
      </c>
      <c r="L240" s="481">
        <v>40028</v>
      </c>
    </row>
    <row r="241" spans="1:12" x14ac:dyDescent="0.2">
      <c r="A241" s="1504" t="s">
        <v>814</v>
      </c>
      <c r="B241" s="614">
        <v>2220</v>
      </c>
      <c r="C241" s="616"/>
      <c r="D241" s="466">
        <v>24443</v>
      </c>
      <c r="E241" s="616"/>
      <c r="F241" s="616"/>
      <c r="G241" s="616"/>
      <c r="H241" s="616"/>
      <c r="I241" s="616"/>
      <c r="J241" s="616"/>
      <c r="K241" s="1672">
        <f>D241</f>
        <v>24443</v>
      </c>
      <c r="L241" s="466">
        <v>22901</v>
      </c>
    </row>
    <row r="242" spans="1:12" x14ac:dyDescent="0.2">
      <c r="A242" s="1504" t="s">
        <v>815</v>
      </c>
      <c r="B242" s="614">
        <v>2230</v>
      </c>
      <c r="C242" s="616"/>
      <c r="D242" s="466">
        <v>9168</v>
      </c>
      <c r="E242" s="616"/>
      <c r="F242" s="616"/>
      <c r="G242" s="616"/>
      <c r="H242" s="616"/>
      <c r="I242" s="616"/>
      <c r="J242" s="616"/>
      <c r="K242" s="1672">
        <f>D242</f>
        <v>9168</v>
      </c>
      <c r="L242" s="466">
        <v>3</v>
      </c>
    </row>
    <row r="243" spans="1:12" ht="12.75" customHeight="1" thickBot="1" x14ac:dyDescent="0.25">
      <c r="A243" s="1694" t="s">
        <v>560</v>
      </c>
      <c r="B243" s="1695">
        <v>2200</v>
      </c>
      <c r="C243" s="616"/>
      <c r="D243" s="1670">
        <f>SUM(D240:D242)</f>
        <v>66745</v>
      </c>
      <c r="E243" s="616"/>
      <c r="F243" s="616"/>
      <c r="G243" s="616"/>
      <c r="H243" s="616"/>
      <c r="I243" s="616"/>
      <c r="J243" s="616"/>
      <c r="K243" s="1670">
        <f>SUM(K240:K242)</f>
        <v>66745</v>
      </c>
      <c r="L243" s="1670">
        <f>SUM(L240:L242)</f>
        <v>62932</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11680</v>
      </c>
      <c r="E245" s="616"/>
      <c r="F245" s="616"/>
      <c r="G245" s="616"/>
      <c r="H245" s="616"/>
      <c r="I245" s="616"/>
      <c r="J245" s="616"/>
      <c r="K245" s="1672">
        <f>D245</f>
        <v>11680</v>
      </c>
      <c r="L245" s="481">
        <v>11997</v>
      </c>
    </row>
    <row r="246" spans="1:12" x14ac:dyDescent="0.2">
      <c r="A246" s="1504" t="s">
        <v>817</v>
      </c>
      <c r="B246" s="614">
        <v>2320</v>
      </c>
      <c r="C246" s="616"/>
      <c r="D246" s="466">
        <v>13982</v>
      </c>
      <c r="E246" s="616"/>
      <c r="F246" s="616"/>
      <c r="G246" s="616"/>
      <c r="H246" s="616"/>
      <c r="I246" s="616"/>
      <c r="J246" s="616"/>
      <c r="K246" s="1672">
        <f t="shared" ref="K246:K256" si="21">D246</f>
        <v>13982</v>
      </c>
      <c r="L246" s="466">
        <v>14722</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25662</v>
      </c>
      <c r="E257" s="616"/>
      <c r="F257" s="616"/>
      <c r="G257" s="616"/>
      <c r="H257" s="616"/>
      <c r="I257" s="616"/>
      <c r="J257" s="616"/>
      <c r="K257" s="1670">
        <f>SUM(K245:K256)</f>
        <v>25662</v>
      </c>
      <c r="L257" s="1670">
        <f>SUM(L245:L256)</f>
        <v>26719</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211453</v>
      </c>
      <c r="E259" s="616"/>
      <c r="F259" s="616"/>
      <c r="G259" s="616"/>
      <c r="H259" s="616"/>
      <c r="I259" s="616"/>
      <c r="J259" s="616"/>
      <c r="K259" s="1672">
        <f>D259</f>
        <v>211453</v>
      </c>
      <c r="L259" s="481">
        <v>225257</v>
      </c>
    </row>
    <row r="260" spans="1:14" s="597" customFormat="1" x14ac:dyDescent="0.2">
      <c r="A260" s="1522" t="s">
        <v>1800</v>
      </c>
      <c r="B260" s="628">
        <v>2490</v>
      </c>
      <c r="C260" s="616"/>
      <c r="D260" s="466">
        <v>18869</v>
      </c>
      <c r="E260" s="616"/>
      <c r="F260" s="616"/>
      <c r="G260" s="616"/>
      <c r="H260" s="616"/>
      <c r="I260" s="616"/>
      <c r="J260" s="616"/>
      <c r="K260" s="1672">
        <f>D260</f>
        <v>18869</v>
      </c>
      <c r="L260" s="466">
        <v>16718</v>
      </c>
      <c r="M260" s="210"/>
      <c r="N260" s="210"/>
    </row>
    <row r="261" spans="1:14" ht="12.75" customHeight="1" thickBot="1" x14ac:dyDescent="0.25">
      <c r="A261" s="1692" t="s">
        <v>263</v>
      </c>
      <c r="B261" s="1697" t="s">
        <v>34</v>
      </c>
      <c r="C261" s="616"/>
      <c r="D261" s="1670">
        <f>SUM(D259:D260)</f>
        <v>230322</v>
      </c>
      <c r="E261" s="616"/>
      <c r="F261" s="616"/>
      <c r="G261" s="616"/>
      <c r="H261" s="616"/>
      <c r="I261" s="616"/>
      <c r="J261" s="616"/>
      <c r="K261" s="1670">
        <f>SUM(K259:K260)</f>
        <v>230322</v>
      </c>
      <c r="L261" s="1670">
        <f>SUM(L259:L260)</f>
        <v>241975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2333</v>
      </c>
      <c r="E263" s="616"/>
      <c r="F263" s="616"/>
      <c r="G263" s="616"/>
      <c r="H263" s="616"/>
      <c r="I263" s="616"/>
      <c r="J263" s="616"/>
      <c r="K263" s="1672">
        <f>D263</f>
        <v>2333</v>
      </c>
      <c r="L263" s="481">
        <v>2331</v>
      </c>
    </row>
    <row r="264" spans="1:14" x14ac:dyDescent="0.2">
      <c r="A264" s="1504" t="s">
        <v>462</v>
      </c>
      <c r="B264" s="685">
        <v>2520</v>
      </c>
      <c r="C264" s="616"/>
      <c r="D264" s="466">
        <v>62442</v>
      </c>
      <c r="E264" s="616"/>
      <c r="F264" s="616"/>
      <c r="G264" s="616"/>
      <c r="H264" s="616"/>
      <c r="I264" s="616"/>
      <c r="J264" s="616"/>
      <c r="K264" s="1672">
        <f t="shared" ref="K264:K269" si="22">D264</f>
        <v>62442</v>
      </c>
      <c r="L264" s="466">
        <v>67617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527995</v>
      </c>
      <c r="E266" s="616"/>
      <c r="F266" s="616"/>
      <c r="G266" s="616"/>
      <c r="H266" s="616"/>
      <c r="I266" s="616"/>
      <c r="J266" s="616"/>
      <c r="K266" s="1672">
        <f t="shared" si="22"/>
        <v>527995</v>
      </c>
      <c r="L266" s="466">
        <v>570150</v>
      </c>
    </row>
    <row r="267" spans="1:14" x14ac:dyDescent="0.2">
      <c r="A267" s="1504" t="s">
        <v>952</v>
      </c>
      <c r="B267" s="614">
        <v>2550</v>
      </c>
      <c r="C267" s="616"/>
      <c r="D267" s="466">
        <v>520247</v>
      </c>
      <c r="E267" s="616"/>
      <c r="F267" s="616"/>
      <c r="G267" s="616"/>
      <c r="H267" s="616"/>
      <c r="I267" s="616"/>
      <c r="J267" s="616"/>
      <c r="K267" s="1672">
        <f t="shared" si="22"/>
        <v>520247</v>
      </c>
      <c r="L267" s="466">
        <v>512675</v>
      </c>
    </row>
    <row r="268" spans="1:14" x14ac:dyDescent="0.2">
      <c r="A268" s="1504" t="s">
        <v>100</v>
      </c>
      <c r="B268" s="614">
        <v>2560</v>
      </c>
      <c r="C268" s="616"/>
      <c r="D268" s="466">
        <v>191227</v>
      </c>
      <c r="E268" s="616"/>
      <c r="F268" s="616"/>
      <c r="G268" s="616"/>
      <c r="H268" s="616"/>
      <c r="I268" s="616"/>
      <c r="J268" s="616"/>
      <c r="K268" s="1672">
        <f t="shared" si="22"/>
        <v>191227</v>
      </c>
      <c r="L268" s="466">
        <v>185834</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1304244</v>
      </c>
      <c r="E270" s="616"/>
      <c r="F270" s="616"/>
      <c r="G270" s="616"/>
      <c r="H270" s="616"/>
      <c r="I270" s="616"/>
      <c r="J270" s="616"/>
      <c r="K270" s="1670">
        <f>SUM(K263:K269)</f>
        <v>1304244</v>
      </c>
      <c r="L270" s="1670">
        <f>SUM(L263:L269)</f>
        <v>1338607</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35756</v>
      </c>
      <c r="E274" s="616"/>
      <c r="F274" s="616"/>
      <c r="G274" s="616"/>
      <c r="H274" s="616"/>
      <c r="I274" s="616"/>
      <c r="J274" s="616"/>
      <c r="K274" s="1672">
        <f>D274</f>
        <v>35756</v>
      </c>
      <c r="L274" s="466">
        <v>23327</v>
      </c>
    </row>
    <row r="275" spans="1:12" x14ac:dyDescent="0.2">
      <c r="A275" s="1504" t="s">
        <v>402</v>
      </c>
      <c r="B275" s="614">
        <v>2640</v>
      </c>
      <c r="C275" s="616"/>
      <c r="D275" s="466">
        <v>39058</v>
      </c>
      <c r="E275" s="616"/>
      <c r="F275" s="616"/>
      <c r="G275" s="616"/>
      <c r="H275" s="616"/>
      <c r="I275" s="616"/>
      <c r="J275" s="616"/>
      <c r="K275" s="1672">
        <f>D275</f>
        <v>39058</v>
      </c>
      <c r="L275" s="466">
        <v>54611</v>
      </c>
    </row>
    <row r="276" spans="1:12" x14ac:dyDescent="0.2">
      <c r="A276" s="1504" t="s">
        <v>403</v>
      </c>
      <c r="B276" s="614">
        <v>2660</v>
      </c>
      <c r="C276" s="616"/>
      <c r="D276" s="466">
        <v>101087</v>
      </c>
      <c r="E276" s="616"/>
      <c r="F276" s="616"/>
      <c r="G276" s="616"/>
      <c r="H276" s="616"/>
      <c r="I276" s="616"/>
      <c r="J276" s="616"/>
      <c r="K276" s="1672">
        <f>D276</f>
        <v>101087</v>
      </c>
      <c r="L276" s="466">
        <v>86131</v>
      </c>
    </row>
    <row r="277" spans="1:12" ht="12.75" customHeight="1" thickBot="1" x14ac:dyDescent="0.25">
      <c r="A277" s="1691" t="s">
        <v>37</v>
      </c>
      <c r="B277" s="1669" t="s">
        <v>36</v>
      </c>
      <c r="C277" s="616"/>
      <c r="D277" s="1670">
        <f>SUM(D272:D276)</f>
        <v>175901</v>
      </c>
      <c r="E277" s="616"/>
      <c r="F277" s="616"/>
      <c r="G277" s="616"/>
      <c r="H277" s="616"/>
      <c r="I277" s="616"/>
      <c r="J277" s="616"/>
      <c r="K277" s="1670">
        <f>SUM(K272:K276)</f>
        <v>175901</v>
      </c>
      <c r="L277" s="1670">
        <f>SUM(L272:L276)</f>
        <v>164069</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2114326</v>
      </c>
      <c r="E279" s="616"/>
      <c r="F279" s="616"/>
      <c r="G279" s="616"/>
      <c r="H279" s="616"/>
      <c r="I279" s="616"/>
      <c r="J279" s="616"/>
      <c r="K279" s="1677">
        <f>SUM(K238,K243,K257,K261,K270,K277,K278)</f>
        <v>2114326</v>
      </c>
      <c r="L279" s="1677">
        <f>SUM(L238,L243,L257,L261,L270,L277,L278)</f>
        <v>2137179</v>
      </c>
    </row>
    <row r="280" spans="1:12" ht="15.75" customHeight="1" thickTop="1" thickBot="1" x14ac:dyDescent="0.25">
      <c r="A280" s="1624" t="s">
        <v>874</v>
      </c>
      <c r="B280" s="1613">
        <v>3000</v>
      </c>
      <c r="C280" s="616"/>
      <c r="D280" s="576">
        <v>52</v>
      </c>
      <c r="E280" s="616"/>
      <c r="F280" s="616"/>
      <c r="G280" s="616"/>
      <c r="H280" s="616"/>
      <c r="I280" s="616"/>
      <c r="J280" s="616"/>
      <c r="K280" s="1679">
        <f>D280</f>
        <v>52</v>
      </c>
      <c r="L280" s="576">
        <v>101</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8" t="s">
        <v>504</v>
      </c>
      <c r="B295" s="2179"/>
      <c r="C295" s="616"/>
      <c r="D295" s="1670">
        <f>SUM(D229,D279,D280,D285)</f>
        <v>2909077</v>
      </c>
      <c r="E295" s="616"/>
      <c r="F295" s="616"/>
      <c r="G295" s="616"/>
      <c r="H295" s="1670">
        <f>H293</f>
        <v>0</v>
      </c>
      <c r="I295" s="616"/>
      <c r="J295" s="616"/>
      <c r="K295" s="1670">
        <f>SUM(K229,K279,K280,K285,K293,K294)</f>
        <v>2909077</v>
      </c>
      <c r="L295" s="1670">
        <f>SUM(L229,L279,L280,L285,L293,L294)</f>
        <v>3080310</v>
      </c>
    </row>
    <row r="296" spans="1:14" ht="13.5" thickTop="1" x14ac:dyDescent="0.2">
      <c r="A296" s="2160" t="s">
        <v>995</v>
      </c>
      <c r="B296" s="2161"/>
      <c r="C296" s="616"/>
      <c r="D296" s="618"/>
      <c r="E296" s="616"/>
      <c r="F296" s="616"/>
      <c r="G296" s="616"/>
      <c r="H296" s="687"/>
      <c r="I296" s="616"/>
      <c r="J296" s="616"/>
      <c r="K296" s="1684">
        <f>'Revenues 9-14'!G268-'Expenditures 15-22'!K295</f>
        <v>148316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12320</v>
      </c>
      <c r="D301" s="466">
        <v>1792</v>
      </c>
      <c r="E301" s="466">
        <v>27494</v>
      </c>
      <c r="F301" s="466">
        <v>25123</v>
      </c>
      <c r="G301" s="466">
        <v>191107</v>
      </c>
      <c r="H301" s="466"/>
      <c r="I301" s="467"/>
      <c r="J301" s="467"/>
      <c r="K301" s="1671">
        <f>SUM(C301:J301)</f>
        <v>257836</v>
      </c>
      <c r="L301" s="467">
        <f>10000+481500</f>
        <v>491500</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12320</v>
      </c>
      <c r="D303" s="1677">
        <f t="shared" ref="D303:L303" si="23">SUM(D301:D302)</f>
        <v>1792</v>
      </c>
      <c r="E303" s="1677">
        <f t="shared" si="23"/>
        <v>27494</v>
      </c>
      <c r="F303" s="1677">
        <f t="shared" si="23"/>
        <v>25123</v>
      </c>
      <c r="G303" s="1677">
        <f t="shared" si="23"/>
        <v>191107</v>
      </c>
      <c r="H303" s="1677">
        <f t="shared" si="23"/>
        <v>0</v>
      </c>
      <c r="I303" s="1677">
        <f t="shared" si="23"/>
        <v>0</v>
      </c>
      <c r="J303" s="1677">
        <f t="shared" si="23"/>
        <v>0</v>
      </c>
      <c r="K303" s="1677">
        <f t="shared" si="23"/>
        <v>257836</v>
      </c>
      <c r="L303" s="1677">
        <f t="shared" si="23"/>
        <v>491500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5" t="s">
        <v>276</v>
      </c>
      <c r="B312" s="2176"/>
      <c r="C312" s="1670">
        <f>SUM(C303)</f>
        <v>12320</v>
      </c>
      <c r="D312" s="1670">
        <f>SUM(D303)</f>
        <v>1792</v>
      </c>
      <c r="E312" s="1670">
        <f>SUM(E303,E310)</f>
        <v>27494</v>
      </c>
      <c r="F312" s="1670">
        <f>SUM(F303)</f>
        <v>25123</v>
      </c>
      <c r="G312" s="1670">
        <f>SUM(G303)</f>
        <v>191107</v>
      </c>
      <c r="H312" s="1670">
        <f>SUM(H303,H310)</f>
        <v>0</v>
      </c>
      <c r="I312" s="1670">
        <f>SUM(I303)</f>
        <v>0</v>
      </c>
      <c r="J312" s="1670">
        <f>SUM(J303)</f>
        <v>0</v>
      </c>
      <c r="K312" s="1670">
        <f>SUM(K303,K310,K311)</f>
        <v>257836</v>
      </c>
      <c r="L312" s="1670">
        <f>SUM(L303,L310,L311)</f>
        <v>491500</v>
      </c>
      <c r="M312" s="665"/>
      <c r="N312" s="665"/>
    </row>
    <row r="313" spans="1:14" ht="13.5" thickTop="1" x14ac:dyDescent="0.2">
      <c r="A313" s="2171" t="s">
        <v>995</v>
      </c>
      <c r="B313" s="2172"/>
      <c r="C313" s="626"/>
      <c r="D313" s="626"/>
      <c r="E313" s="626"/>
      <c r="F313" s="626"/>
      <c r="G313" s="626"/>
      <c r="H313" s="626"/>
      <c r="I313" s="626"/>
      <c r="J313" s="626"/>
      <c r="K313" s="1685">
        <f>'Revenues 9-14'!H268-'Expenditures 15-22'!K312</f>
        <v>263141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897</v>
      </c>
      <c r="B317" s="2185"/>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v>501302</v>
      </c>
      <c r="F320" s="467"/>
      <c r="G320" s="467"/>
      <c r="H320" s="467"/>
      <c r="I320" s="467"/>
      <c r="J320" s="467"/>
      <c r="K320" s="1671">
        <f t="shared" ref="K320:K327" si="24">SUM(C320:J320)</f>
        <v>501302</v>
      </c>
      <c r="L320" s="467">
        <v>650000</v>
      </c>
      <c r="M320" s="665"/>
      <c r="N320" s="665"/>
    </row>
    <row r="321" spans="1:14" s="674" customFormat="1" x14ac:dyDescent="0.2">
      <c r="A321" s="1519" t="s">
        <v>299</v>
      </c>
      <c r="B321" s="697" t="s">
        <v>282</v>
      </c>
      <c r="C321" s="467"/>
      <c r="D321" s="467"/>
      <c r="E321" s="467">
        <v>8326</v>
      </c>
      <c r="F321" s="467"/>
      <c r="G321" s="467"/>
      <c r="H321" s="467"/>
      <c r="I321" s="467"/>
      <c r="J321" s="467"/>
      <c r="K321" s="1671">
        <f t="shared" si="24"/>
        <v>8326</v>
      </c>
      <c r="L321" s="467">
        <v>60000</v>
      </c>
      <c r="M321" s="665"/>
      <c r="N321" s="665"/>
    </row>
    <row r="322" spans="1:14" s="674" customFormat="1" x14ac:dyDescent="0.2">
      <c r="A322" s="1519" t="s">
        <v>238</v>
      </c>
      <c r="B322" s="697" t="s">
        <v>283</v>
      </c>
      <c r="C322" s="467"/>
      <c r="D322" s="467"/>
      <c r="E322" s="467">
        <v>220728</v>
      </c>
      <c r="F322" s="467"/>
      <c r="G322" s="467"/>
      <c r="H322" s="467"/>
      <c r="I322" s="467"/>
      <c r="J322" s="467"/>
      <c r="K322" s="1671">
        <f t="shared" si="24"/>
        <v>220728</v>
      </c>
      <c r="L322" s="467">
        <v>215000</v>
      </c>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730356</v>
      </c>
      <c r="F330" s="1670">
        <f t="shared" si="25"/>
        <v>0</v>
      </c>
      <c r="G330" s="1670">
        <f t="shared" si="25"/>
        <v>0</v>
      </c>
      <c r="H330" s="1670">
        <f t="shared" si="25"/>
        <v>0</v>
      </c>
      <c r="I330" s="1670">
        <f t="shared" si="25"/>
        <v>0</v>
      </c>
      <c r="J330" s="1670">
        <f t="shared" si="25"/>
        <v>0</v>
      </c>
      <c r="K330" s="1670">
        <f>SUM(K319:K329)</f>
        <v>730356</v>
      </c>
      <c r="L330" s="1670">
        <f>SUM(L319:L329)</f>
        <v>925000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730356</v>
      </c>
      <c r="F342" s="1670">
        <f>SUM(F330)</f>
        <v>0</v>
      </c>
      <c r="G342" s="1670">
        <f>SUM(G330)</f>
        <v>0</v>
      </c>
      <c r="H342" s="1670">
        <f>SUM(H330,H334,H340)</f>
        <v>0</v>
      </c>
      <c r="I342" s="1670">
        <f>SUM(I330)</f>
        <v>0</v>
      </c>
      <c r="J342" s="1670">
        <f>SUM(J330)</f>
        <v>0</v>
      </c>
      <c r="K342" s="1670">
        <f>SUM(K330,K334,K340)</f>
        <v>730356</v>
      </c>
      <c r="L342" s="1677">
        <f>SUM(L330,L340,L341)</f>
        <v>925000</v>
      </c>
    </row>
    <row r="343" spans="1:14" ht="12.75" customHeight="1" thickTop="1" x14ac:dyDescent="0.2">
      <c r="A343" s="2173" t="s">
        <v>995</v>
      </c>
      <c r="B343" s="2174"/>
      <c r="C343" s="616"/>
      <c r="D343" s="616"/>
      <c r="E343" s="616"/>
      <c r="F343" s="616"/>
      <c r="G343" s="616"/>
      <c r="H343" s="616"/>
      <c r="I343" s="616"/>
      <c r="J343" s="616"/>
      <c r="K343" s="1684">
        <f>'Revenues 9-14'!J268-'Expenditures 15-22'!K342</f>
        <v>344756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965</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806443</v>
      </c>
      <c r="H348" s="466"/>
      <c r="I348" s="467"/>
      <c r="J348" s="467"/>
      <c r="K348" s="1671">
        <f>SUM(C348:J348)</f>
        <v>806443</v>
      </c>
      <c r="L348" s="466">
        <v>821954</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806443</v>
      </c>
      <c r="H350" s="1670">
        <f t="shared" si="26"/>
        <v>0</v>
      </c>
      <c r="I350" s="1670">
        <f t="shared" si="26"/>
        <v>0</v>
      </c>
      <c r="J350" s="1670">
        <f t="shared" si="26"/>
        <v>0</v>
      </c>
      <c r="K350" s="1670">
        <f t="shared" si="26"/>
        <v>806443</v>
      </c>
      <c r="L350" s="1670">
        <f t="shared" si="26"/>
        <v>821954</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806443</v>
      </c>
      <c r="H352" s="1670">
        <f t="shared" si="27"/>
        <v>0</v>
      </c>
      <c r="I352" s="1670">
        <f t="shared" si="27"/>
        <v>0</v>
      </c>
      <c r="J352" s="1670">
        <f t="shared" si="27"/>
        <v>0</v>
      </c>
      <c r="K352" s="1670">
        <f t="shared" si="27"/>
        <v>806443</v>
      </c>
      <c r="L352" s="1670">
        <f t="shared" si="27"/>
        <v>821954</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806443</v>
      </c>
      <c r="H367" s="1670">
        <f t="shared" si="28"/>
        <v>0</v>
      </c>
      <c r="I367" s="1670">
        <f t="shared" si="28"/>
        <v>0</v>
      </c>
      <c r="J367" s="1670">
        <f t="shared" si="28"/>
        <v>0</v>
      </c>
      <c r="K367" s="1670">
        <f t="shared" si="28"/>
        <v>806443</v>
      </c>
      <c r="L367" s="1670">
        <f t="shared" si="28"/>
        <v>821954</v>
      </c>
    </row>
    <row r="368" spans="1:14" ht="13.5" thickTop="1" x14ac:dyDescent="0.2">
      <c r="A368" s="2160" t="s">
        <v>995</v>
      </c>
      <c r="B368" s="2161"/>
      <c r="C368" s="654"/>
      <c r="D368" s="654"/>
      <c r="E368" s="626"/>
      <c r="F368" s="626"/>
      <c r="G368" s="626"/>
      <c r="H368" s="626"/>
      <c r="I368" s="626"/>
      <c r="J368" s="623"/>
      <c r="K368" s="1671">
        <f>'Revenues 9-14'!K268-'Expenditures 15-22'!K367</f>
        <v>-964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sharepoint/v3"/>
    <ds:schemaRef ds:uri="http://purl.org/dc/terms/"/>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2019-10-03T15:11:41Z</cp:lastPrinted>
  <dcterms:created xsi:type="dcterms:W3CDTF">2003-10-29T19:06:34Z</dcterms:created>
  <dcterms:modified xsi:type="dcterms:W3CDTF">2019-12-02T21:52:21Z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