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4" i="28"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93" i="106" l="1"/>
  <c r="K355" i="29"/>
  <c r="B7794" i="106" s="1"/>
  <c r="B7813" i="106"/>
  <c r="D7813" i="106" s="1"/>
  <c r="F167" i="34"/>
  <c r="F29" i="34"/>
  <c r="B7774" i="106"/>
  <c r="E137" i="29"/>
  <c r="E139" i="29" s="1"/>
  <c r="K133" i="29"/>
  <c r="B7776" i="106" s="1"/>
  <c r="B7785" i="106"/>
  <c r="K332" i="29"/>
  <c r="B7786" i="106" s="1"/>
  <c r="H334" i="29"/>
  <c r="B7789" i="106" s="1"/>
  <c r="D17" i="171"/>
  <c r="B7809" i="106"/>
  <c r="D7809" i="106" s="1"/>
  <c r="F166" i="34"/>
  <c r="B15" i="7"/>
  <c r="D12" i="171"/>
  <c r="B7814" i="106"/>
  <c r="D7814" i="106" s="1"/>
  <c r="B7816" i="106"/>
  <c r="D7816" i="106" s="1"/>
  <c r="B7783" i="106"/>
  <c r="K282" i="29"/>
  <c r="B7784" i="106" s="1"/>
  <c r="D285" i="29"/>
  <c r="B7779" i="106"/>
  <c r="K158" i="29"/>
  <c r="B7780" i="106" s="1"/>
  <c r="H160" i="29"/>
  <c r="K157" i="29"/>
  <c r="B7777" i="106"/>
  <c r="K356" i="29"/>
  <c r="K357" i="29" s="1"/>
  <c r="K15" i="4" s="1"/>
  <c r="B5196" i="106"/>
  <c r="B7781" i="106"/>
  <c r="K159" i="29"/>
  <c r="B7782" i="106" s="1"/>
  <c r="B7811" i="106"/>
  <c r="D7811" i="106" s="1"/>
  <c r="H357" i="29"/>
  <c r="B7791" i="106"/>
  <c r="K354" i="29"/>
  <c r="B7812" i="106"/>
  <c r="D7812" i="106" s="1"/>
  <c r="B7815" i="106"/>
  <c r="D7815" i="106" s="1"/>
  <c r="H137" i="29"/>
  <c r="B7775" i="106"/>
  <c r="B7810" i="106"/>
  <c r="D7810" i="106" s="1"/>
  <c r="B7787" i="106"/>
  <c r="K333" i="29"/>
  <c r="B7788" i="106" s="1"/>
  <c r="B7792" i="106"/>
  <c r="B7778" i="106"/>
  <c r="K334" i="29"/>
  <c r="B2" i="177"/>
  <c r="A2" i="170"/>
  <c r="B2" i="174"/>
  <c r="A2" i="173"/>
  <c r="A1" i="171"/>
  <c r="B1" i="179"/>
  <c r="B2" i="176"/>
  <c r="B1" i="175"/>
  <c r="B1" i="177"/>
  <c r="A1" i="170"/>
  <c r="A2" i="171"/>
  <c r="A1" i="173"/>
  <c r="B1" i="174"/>
  <c r="B2" i="175"/>
  <c r="B1" i="176"/>
  <c r="K160" i="29" l="1"/>
  <c r="J15" i="4"/>
  <c r="B7796" i="106" s="1"/>
  <c r="F74" i="34"/>
  <c r="B7790" i="106"/>
  <c r="F60" i="34"/>
  <c r="E15" i="4"/>
  <c r="B7773" i="106"/>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K130" i="29"/>
  <c r="D14" i="4" s="1"/>
  <c r="B2570" i="106" s="1"/>
  <c r="D2570" i="106" s="1"/>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5" i="127"/>
  <c r="B66" i="127"/>
  <c r="D26" i="108"/>
  <c r="F26" i="108"/>
  <c r="E27" i="108"/>
  <c r="F27" i="108"/>
  <c r="G27" i="108"/>
  <c r="F36" i="108"/>
  <c r="F37" i="108"/>
  <c r="G28" i="108"/>
  <c r="D36" i="108"/>
  <c r="D37" i="108"/>
  <c r="E31" i="108"/>
  <c r="G31" i="108"/>
  <c r="E33" i="108"/>
  <c r="G33"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F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F14" i="4"/>
  <c r="B2597" i="106" s="1"/>
  <c r="D2597" i="106" s="1"/>
  <c r="B2633" i="106"/>
  <c r="D2633" i="106" s="1"/>
  <c r="N22" i="3"/>
  <c r="B283" i="106" s="1"/>
  <c r="D283" i="106" s="1"/>
  <c r="D7" i="118"/>
  <c r="D8" i="118"/>
  <c r="D9" i="118"/>
  <c r="H14" i="118"/>
  <c r="H19" i="118"/>
  <c r="H24" i="118"/>
  <c r="H28" i="118"/>
  <c r="H29" i="118"/>
  <c r="D22" i="37"/>
  <c r="J22" i="37"/>
  <c r="L22" i="37"/>
  <c r="L5" i="11"/>
  <c r="B2056" i="106" s="1"/>
  <c r="D2056" i="106" s="1"/>
  <c r="F72" i="34" l="1"/>
  <c r="D24" i="37"/>
  <c r="B4270" i="106" s="1"/>
  <c r="D4270" i="106" s="1"/>
  <c r="G39" i="108"/>
  <c r="D31" i="108"/>
  <c r="D41" i="108" s="1"/>
  <c r="E43" i="108" s="1"/>
  <c r="F36" i="34"/>
  <c r="F56" i="34"/>
  <c r="F50" i="34"/>
  <c r="F38" i="34"/>
  <c r="G29" i="108"/>
  <c r="E29" i="108"/>
  <c r="G35" i="108"/>
  <c r="F44" i="34"/>
  <c r="E35" i="108"/>
  <c r="B6289" i="106"/>
  <c r="D6289" i="106" s="1"/>
  <c r="D69" i="36"/>
  <c r="D11" i="37"/>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151" i="29" l="1"/>
  <c r="F59" i="34"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D41" i="3"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83" i="4" s="1"/>
  <c r="B6277" i="106" s="1"/>
  <c r="D6277" i="106" s="1"/>
  <c r="B123" i="106"/>
  <c r="D123" i="106" s="1"/>
  <c r="C11" i="146"/>
  <c r="D58" i="36"/>
  <c r="B1644" i="106"/>
  <c r="D1644"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<sst xmlns="http://schemas.openxmlformats.org/spreadsheetml/2006/main" count="5091" uniqueCount="2102">
  <si>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</si>
  <si>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</si>
  <si>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</si>
  <si>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</si>
  <si>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</si>
  <si>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</si>
  <si>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</si>
  <si>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</si>
  <si>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</si>
  <si>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</si>
  <si>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</si>
  <si>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</si>
  <si>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</si>
  <si>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</si>
  <si>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</si>
  <si>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</si>
  <si>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</si>
  <si>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</si>
  <si>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</si>
  <si>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</si>
  <si>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</si>
  <si>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</si>
  <si>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</si>
  <si>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</si>
  <si>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</si>
  <si>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</si>
  <si>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</si>
  <si>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</si>
  <si>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</si>
  <si>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</si>
  <si>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</si>
  <si>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</si>
  <si>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</si>
  <si>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</si>
  <si>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</si>
  <si>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</si>
  <si>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</si>
  <si>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</si>
  <si>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</si>
  <si>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</si>
  <si>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</si>
  <si>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</si>
  <si>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</si>
  <si>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</si>
  <si>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</si>
  <si>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</si>
  <si>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</si>
  <si>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</si>
  <si>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</si>
  <si>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</si>
  <si>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</si>
  <si>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</si>
  <si>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</si>
  <si>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</si>
  <si>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</si>
  <si>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</si>
  <si>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</si>
  <si>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</si>
  <si>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</si>
  <si>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</si>
  <si>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</si>
  <si>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</si>
  <si>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</si>
  <si>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</si>
  <si>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</si>
  <si>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</si>
  <si>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</si>
  <si>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</si>
  <si>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</si>
  <si>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</si>
  <si>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</si>
  <si>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</si>
  <si>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</si>
  <si>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</si>
  <si>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</si>
  <si>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</si>
  <si>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</si>
  <si>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</si>
  <si>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</si>
  <si>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</si>
  <si>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</si>
  <si>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</si>
  <si>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</si>
  <si>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</si>
  <si>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</si>
  <si>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</si>
  <si>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</si>
  <si>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</si>
  <si>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</si>
  <si>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</si>
  <si>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</si>
  <si>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</si>
  <si>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</si>
  <si>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</si>
  <si>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</si>
  <si>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</si>
  <si>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</si>
  <si>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</si>
  <si>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</si>
  <si>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</si>
  <si>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</si>
  <si>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</si>
  <si>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</si>
  <si>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</si>
  <si>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</si>
  <si>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</si>
  <si>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</si>
  <si>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</si>
  <si>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</si>
  <si>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</si>
  <si>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</si>
  <si>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</si>
  <si>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</si>
  <si>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</si>
  <si>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</si>
  <si>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</si>
  <si>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</si>
  <si>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</si>
  <si>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</si>
  <si>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</si>
  <si>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</si>
  <si>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</si>
  <si>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</si>
  <si>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</si>
  <si>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</si>
  <si>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</si>
  <si>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</si>
  <si>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</si>
  <si>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</si>
  <si>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</si>
  <si>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</si>
  <si>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</si>
  <si>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</si>
  <si>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</si>
  <si>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</si>
  <si>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</si>
  <si>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</si>
  <si>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</si>
  <si>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</si>
  <si>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</si>
  <si>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</si>
  <si>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</si>
  <si>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</si>
  <si>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</si>
  <si>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</si>
  <si>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</si>
  <si>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</si>
  <si>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</si>
  <si>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</si>
  <si>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</si>
  <si>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</si>
  <si>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</si>
  <si>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</si>
  <si>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</si>
  <si>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</si>
  <si>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</si>
  <si>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</si>
  <si>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</si>
  <si>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</si>
  <si>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</si>
  <si>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</si>
  <si>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</si>
  <si>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</si>
  <si>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</si>
  <si>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</si>
  <si>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</si>
  <si>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</si>
  <si>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</si>
  <si>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</si>
  <si>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</si>
  <si>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</si>
  <si>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</si>
  <si>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</si>
  <si>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</si>
  <si>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</si>
  <si>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</si>
  <si>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</si>
  <si>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</si>
  <si>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</si>
  <si>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</si>
  <si>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</si>
  <si>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</si>
  <si>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</si>
  <si>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</si>
  <si>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</si>
  <si>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</si>
  <si>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</si>
  <si>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</si>
  <si>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</si>
  <si>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</si>
  <si>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</si>
  <si>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</si>
  <si>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</si>
  <si>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</si>
  <si>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</si>
  <si>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</si>
  <si>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</si>
  <si>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</si>
  <si>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</si>
  <si>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</si>
  <si>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</si>
  <si>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</si>
  <si>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</si>
  <si>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</si>
  <si>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</si>
  <si>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</si>
  <si>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</si>
  <si>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</si>
  <si>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</si>
  <si>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</si>
  <si>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</si>
  <si>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</si>
  <si>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</si>
  <si>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</si>
  <si>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</si>
  <si>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</si>
  <si>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</si>
  <si>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</si>
  <si>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</si>
  <si>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</si>
  <si>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</si>
  <si>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</si>
  <si>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</si>
  <si>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</si>
  <si>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</si>
  <si>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</si>
  <si>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</si>
  <si>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</si>
  <si>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</si>
  <si>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</si>
  <si>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</si>
  <si>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</si>
  <si>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</si>
  <si>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</si>
  <si>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</si>
  <si>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</si>
  <si>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</si>
  <si>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</si>
  <si>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</si>
  <si>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</si>
  <si>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</si>
  <si>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</si>
  <si>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</si>
  <si>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</si>
  <si>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</si>
  <si>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</si>
  <si>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</si>
  <si>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</si>
  <si>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</si>
  <si>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</si>
  <si>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</si>
  <si>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</si>
  <si>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</si>
  <si>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</si>
  <si>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</si>
  <si>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</si>
  <si>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</si>
  <si>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</si>
  <si>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</si>
  <si>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</si>
  <si>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</si>
  <si>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</si>
  <si>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</si>
  <si>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</si>
  <si>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</si>
  <si>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</si>
  <si>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</si>
  <si>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</si>
  <si>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</si>
  <si>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</si>
  <si>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</si>
  <si>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</si>
  <si>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</si>
  <si>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</si>
  <si>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</si>
  <si>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</si>
  <si>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</si>
  <si>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</si>
  <si>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</si>
  <si>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</si>
  <si>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</si>
  <si>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</si>
  <si>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</si>
  <si>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</si>
  <si>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</si>
  <si>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</si>
  <si>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</si>
  <si>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</si>
  <si>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</si>
  <si>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</si>
  <si>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</si>
  <si>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</si>
  <si>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</si>
  <si>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</si>
  <si>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</si>
  <si>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</si>
  <si>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</si>
  <si>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</si>
  <si>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</si>
  <si>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</si>
  <si>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</si>
  <si>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</si>
  <si>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</si>
  <si>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</si>
  <si>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</si>
  <si>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</si>
  <si>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</si>
  <si>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</si>
  <si>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</si>
  <si>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</si>
  <si>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</si>
  <si>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</si>
  <si>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</si>
  <si>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</si>
  <si>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</si>
  <si>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</si>
  <si>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</si>
  <si>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</si>
  <si>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</si>
  <si>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</si>
  <si>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</si>
  <si>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</si>
  <si>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</si>
  <si>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</si>
  <si>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</si>
  <si>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</si>
  <si>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</si>
  <si>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</si>
  <si>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</si>
  <si>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</si>
  <si>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</si>
  <si>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</si>
  <si>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</si>
  <si>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</si>
  <si>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</si>
  <si>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</si>
  <si>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</si>
  <si>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</si>
  <si>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</si>
  <si>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</si>
  <si>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</si>
  <si>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</si>
  <si>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</si>
  <si>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</si>
  <si>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</si>
  <si>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</si>
  <si>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</si>
  <si>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</si>
  <si>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</si>
  <si>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</si>
  <si>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</si>
  <si>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</si>
  <si>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</si>
  <si>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</si>
  <si>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</si>
  <si>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</si>
  <si>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</si>
  <si>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</si>
  <si>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</si>
  <si>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</si>
  <si>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</si>
  <si>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</si>
  <si>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</si>
  <si>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</si>
  <si>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</si>
  <si>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</si>
  <si>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</si>
  <si>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</si>
  <si>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</si>
  <si>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</si>
  <si>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</si>
  <si>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</si>
  <si>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</si>
  <si>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</si>
  <si>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</si>
  <si>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</si>
  <si>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</si>
  <si>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</si>
  <si>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</si>
  <si>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</si>
  <si>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</si>
  <si>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</si>
  <si>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</si>
  <si>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</si>
  <si>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</si>
  <si>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</si>
  <si>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</si>
  <si>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</si>
  <si>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</si>
  <si>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</si>
  <si>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</si>
  <si>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</si>
  <si>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</si>
  <si>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</si>
  <si>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</si>
  <si>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</si>
  <si>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</si>
  <si>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</si>
  <si>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</si>
  <si>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</si>
  <si>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</si>
  <si>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</si>
  <si>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</si>
  <si>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</si>
  <si>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</si>
  <si>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</si>
  <si>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</si>
  <si>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</si>
  <si>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</si>
  <si>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</si>
  <si>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</si>
  <si>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</si>
  <si>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</si>
  <si>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</si>
  <si>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</si>
  <si>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</si>
  <si>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</si>
  <si>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</si>
  <si>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</si>
  <si>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</si>
  <si>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</si>
  <si>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</si>
  <si>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</si>
  <si>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</si>
  <si>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</si>
  <si>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</si>
  <si>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</si>
  <si>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</si>
  <si>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</si>
  <si>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</si>
  <si>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</si>
  <si>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</si>
  <si>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</si>
  <si>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</si>
  <si>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</si>
  <si>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</si>
  <si>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</si>
  <si>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</si>
  <si>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</si>
  <si>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</si>
  <si>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</si>
  <si>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</si>
  <si>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</si>
  <si>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</si>
  <si>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</si>
  <si>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</si>
  <si>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</si>
  <si>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</si>
  <si>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</si>
  <si>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</si>
  <si>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</si>
  <si>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</si>
  <si>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</si>
  <si>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</si>
  <si>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</si>
  <si>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</si>
  <si>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</si>
  <si>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</si>
  <si>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</si>
  <si>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</si>
  <si>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</si>
  <si>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</si>
  <si>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</si>
  <si>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</si>
  <si>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</si>
  <si>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</si>
  <si>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</si>
  <si>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</si>
  <si>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</si>
  <si>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</si>
  <si>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</si>
  <si>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</si>
  <si>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</si>
  <si>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</si>
  <si>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</si>
  <si>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</si>
  <si>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</si>
  <si>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</si>
  <si>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</si>
  <si>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</si>
  <si>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</si>
  <si>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</si>
  <si>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</si>
  <si>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</si>
  <si>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</si>
  <si>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</si>
  <si>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</si>
  <si>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</si>
  <si>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</si>
  <si>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</si>
  <si>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</si>
  <si>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</si>
  <si>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</si>
  <si>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</si>
  <si>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</si>
  <si>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</si>
  <si>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</si>
  <si>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</si>
  <si>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</si>
  <si>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</si>
  <si>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</si>
  <si>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</si>
  <si>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</si>
  <si>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</si>
  <si>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</si>
  <si>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</si>
  <si>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</si>
  <si>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</si>
  <si>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</si>
  <si>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</si>
  <si>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</si>
  <si>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</si>
  <si>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</si>
  <si>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</si>
  <si>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</si>
  <si>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</si>
  <si>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</si>
  <si>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</si>
  <si>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</si>
  <si>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</si>
  <si>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</si>
  <si>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</si>
  <si>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</si>
  <si>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</si>
  <si>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</si>
  <si>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</si>
  <si>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</si>
  <si>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</si>
  <si>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</si>
  <si>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</si>
  <si>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</si>
  <si>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</si>
  <si>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</si>
  <si>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</si>
  <si>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</si>
  <si>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</si>
  <si>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</si>
  <si>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</si>
  <si>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</si>
  <si>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</si>
  <si>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</si>
  <si>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</si>
  <si>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</si>
  <si>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</si>
  <si>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</si>
  <si>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</si>
  <si>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</si>
  <si>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</si>
  <si>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</si>
  <si>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</si>
  <si>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</si>
  <si>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</si>
  <si>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</si>
  <si>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</si>
  <si>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</si>
  <si>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</si>
  <si>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</si>
  <si>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</si>
  <si>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</si>
  <si>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</si>
  <si>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</si>
  <si>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</si>
  <si>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</si>
  <si>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</si>
  <si>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</si>
  <si>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</si>
  <si>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</si>
  <si>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</si>
  <si>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</si>
  <si>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</si>
  <si>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</si>
  <si>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</si>
  <si>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</si>
  <si>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</si>
  <si>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</si>
  <si>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</si>
  <si>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</si>
  <si>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</si>
  <si>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</si>
  <si>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</si>
  <si>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</si>
  <si>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</si>
  <si>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</si>
  <si>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</si>
  <si>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</si>
  <si>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</si>
  <si>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</si>
  <si>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</si>
  <si>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</si>
  <si>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</si>
  <si>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</si>
  <si>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</si>
  <si>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</si>
  <si>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</si>
  <si>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</si>
  <si>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</si>
  <si>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</si>
  <si>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</si>
  <si>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</si>
  <si>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</si>
  <si>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</si>
  <si>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</si>
  <si>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</si>
  <si>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</si>
  <si>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</si>
  <si>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</si>
  <si>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</si>
  <si>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</si>
  <si>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</si>
  <si>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</si>
  <si>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</si>
  <si>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</si>
  <si>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</si>
  <si>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</si>
  <si>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</si>
  <si>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</si>
  <si>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</si>
  <si>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</si>
  <si>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</si>
  <si>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</si>
  <si>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</si>
  <si>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</si>
  <si>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</si>
  <si>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</si>
  <si>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</si>
  <si>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</si>
  <si>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</si>
  <si>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</si>
  <si>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</si>
  <si>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</si>
  <si>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</si>
  <si>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</si>
  <si>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</si>
  <si>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</si>
  <si>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</si>
  <si>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</si>
  <si>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</si>
  <si>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</si>
  <si>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</si>
  <si>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</si>
  <si>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</si>
  <si>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</si>
  <si>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</si>
  <si>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</si>
  <si>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</si>
  <si>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</si>
  <si>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</si>
  <si>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</si>
  <si>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</si>
  <si>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</si>
  <si>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</si>
  <si>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</si>
  <si>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</si>
  <si>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</si>
  <si>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</si>
  <si>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</si>
  <si>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</si>
  <si>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</si>
  <si>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</si>
  <si>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</si>
  <si>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</si>
  <si>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</si>
  <si>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</si>
  <si>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</si>
  <si>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</si>
  <si>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</si>
  <si>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</si>
  <si>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</si>
  <si>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</si>
  <si>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</si>
  <si>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</si>
  <si>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</si>
  <si>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</si>
  <si>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</si>
  <si>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</si>
  <si>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</si>
  <si>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</si>
  <si>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</si>
  <si>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</si>
  <si>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</si>
  <si>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</si>
  <si>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</si>
  <si>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</si>
  <si>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</si>
  <si>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</si>
  <si>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</si>
  <si>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</si>
  <si>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</si>
  <si>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</si>
  <si>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</si>
  <si>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</si>
  <si>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</si>
  <si>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</si>
  <si>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</si>
  <si>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</si>
  <si>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</si>
  <si>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</si>
  <si>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</si>
  <si>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</si>
  <si>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</si>
  <si>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</si>
  <si>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</si>
  <si>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</si>
  <si>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</si>
  <si>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</si>
  <si>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</si>
  <si>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</si>
  <si>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</si>
  <si>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</si>
  <si>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</si>
  <si>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</si>
  <si>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</si>
  <si>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</si>
  <si>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</si>
  <si>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</si>
  <si>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</si>
  <si>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</si>
  <si>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</si>
  <si>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</si>
  <si>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</si>
  <si>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</si>
  <si>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</si>
  <si>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</si>
  <si>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</si>
  <si>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</si>
  <si>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</si>
  <si>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</si>
  <si>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</si>
  <si>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</si>
  <si>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</si>
  <si>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</si>
  <si>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</si>
  <si>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</si>
  <si>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</si>
  <si>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</si>
  <si>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</si>
  <si>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</si>
  <si>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</si>
  <si>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</si>
  <si>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</si>
  <si>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</si>
  <si>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</si>
  <si>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</si>
  <si>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</si>
  <si>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</si>
  <si>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</si>
  <si>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</si>
  <si>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</si>
  <si>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</si>
  <si>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</si>
  <si>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</si>
  <si>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</si>
  <si>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</si>
  <si>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</si>
  <si>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</si>
  <si>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</si>
  <si>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</si>
  <si>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</si>
  <si>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</si>
  <si>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</si>
  <si>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</si>
  <si>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</si>
  <si>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</si>
  <si>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</si>
  <si>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</si>
  <si>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</si>
  <si>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</si>
  <si>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</si>
  <si>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</si>
  <si>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</si>
  <si>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</si>
  <si>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</si>
  <si>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</si>
  <si>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</si>
  <si>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</si>
  <si>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</si>
  <si>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</si>
  <si>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</si>
  <si>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</si>
  <si>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</si>
  <si>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</si>
  <si>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</si>
  <si>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</si>
  <si>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</si>
  <si>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</si>
  <si>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</si>
  <si>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</si>
  <si>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</si>
  <si>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</si>
  <si>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</si>
  <si>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</si>
  <si>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</si>
  <si>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</si>
  <si>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</si>
  <si>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</si>
  <si>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</si>
  <si>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</si>
  <si>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</si>
  <si>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</si>
  <si>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</si>
  <si>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</si>
  <si>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</si>
  <si>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</si>
  <si>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</si>
  <si>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</si>
  <si>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</si>
  <si>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</si>
  <si>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</si>
  <si>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</si>
  <si>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</si>
  <si>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</si>
  <si>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</si>
  <si>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</si>
  <si>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</si>
  <si>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</si>
  <si>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</si>
  <si>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</si>
  <si>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</si>
  <si>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</si>
  <si>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</si>
  <si>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</si>
  <si>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</si>
  <si>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</si>
  <si>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</si>
  <si>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</si>
  <si>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</si>
  <si>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</si>
  <si>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</si>
  <si>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</si>
  <si>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</si>
  <si>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</si>
  <si>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</si>
  <si>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</si>
  <si>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</si>
  <si>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</si>
  <si>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</si>
  <si>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</si>
  <si>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</si>
  <si>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</si>
  <si>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</si>
  <si>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</si>
  <si>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</si>
  <si>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</si>
  <si>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</si>
  <si>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</si>
  <si>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</si>
  <si>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</si>
  <si>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</si>
  <si>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</si>
  <si>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</si>
  <si>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</si>
  <si>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</si>
  <si>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</si>
  <si>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</si>
  <si>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</si>
  <si>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</si>
  <si>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</si>
  <si>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</si>
  <si>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</si>
  <si>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</si>
  <si>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</si>
  <si>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</si>
  <si>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</si>
  <si>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</si>
  <si>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</si>
  <si>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</si>
  <si>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</si>
  <si>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</si>
  <si>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</si>
  <si>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</si>
  <si>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</si>
  <si>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</si>
  <si>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</si>
  <si>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</si>
  <si>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</si>
  <si>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</si>
  <si>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</si>
  <si>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</si>
  <si>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</si>
  <si>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</si>
  <si>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</si>
  <si>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</si>
  <si>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</si>
  <si>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</si>
  <si>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</si>
  <si>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</si>
  <si>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</si>
  <si>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</si>
  <si>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</si>
  <si>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</si>
  <si>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</si>
  <si>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</si>
  <si>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</si>
  <si>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</si>
  <si>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</si>
  <si>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</si>
  <si>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</si>
  <si>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</si>
  <si>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</si>
  <si>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</si>
  <si>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</si>
  <si>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</si>
  <si>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</si>
  <si>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</si>
  <si>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</si>
  <si>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</si>
  <si>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</si>
  <si>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</si>
  <si>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</si>
  <si>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</si>
  <si>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</si>
  <si>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</si>
  <si>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</si>
  <si>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</si>
  <si>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</si>
  <si>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</si>
  <si>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</si>
  <si>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</si>
  <si>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</si>
  <si>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</si>
  <si>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</si>
  <si>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</si>
  <si>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</si>
  <si>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</si>
  <si>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</si>
  <si>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</si>
  <si>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</si>
  <si>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</si>
  <si>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</si>
  <si>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</si>
  <si>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</si>
  <si>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</si>
  <si>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</si>
  <si>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</si>
  <si>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</si>
  <si>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</si>
  <si>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</si>
  <si>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</si>
  <si>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</si>
  <si>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</si>
  <si>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</si>
  <si>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</si>
  <si>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</si>
  <si>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</si>
  <si>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</si>
  <si>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</si>
  <si>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</si>
  <si>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</si>
  <si>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</si>
  <si>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</si>
  <si>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</si>
  <si>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</si>
  <si>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</si>
  <si>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</si>
  <si>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</si>
  <si>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</si>
  <si>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</si>
  <si>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</si>
  <si>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</si>
  <si>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</si>
  <si>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</si>
  <si>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</si>
  <si>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</si>
  <si>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</si>
  <si>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</si>
  <si>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</si>
  <si>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</si>
  <si>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</si>
  <si>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</si>
  <si>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</si>
  <si>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</si>
  <si>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</si>
  <si>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</si>
  <si>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</si>
  <si>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</si>
  <si>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</si>
  <si>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</si>
  <si>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</si>
  <si>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</si>
  <si>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</si>
  <si>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</si>
  <si>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</si>
  <si>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</si>
  <si>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</si>
  <si>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</si>
  <si>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</si>
  <si>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</si>
  <si>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</si>
  <si>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</si>
  <si>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</si>
  <si>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</si>
  <si>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</si>
  <si>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</si>
  <si>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</si>
  <si>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</si>
  <si>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</si>
  <si>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</si>
  <si>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</si>
  <si>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</si>
  <si>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</si>
  <si>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</si>
  <si>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</si>
  <si>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</si>
  <si>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</si>
  <si>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</si>
  <si>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</si>
  <si>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</si>
  <si>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</si>
  <si>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</si>
  <si>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</si>
  <si>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</si>
  <si>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</si>
  <si>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</si>
  <si>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</si>
  <si>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</si>
  <si>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</si>
  <si>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</si>
  <si>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</si>
  <si>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</si>
  <si>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</si>
  <si>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</si>
  <si>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</si>
  <si>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</si>
  <si>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</si>
  <si>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</si>
  <si>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</si>
  <si>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</si>
  <si>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</si>
  <si>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</si>
  <si>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</si>
  <si>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</si>
  <si>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</si>
  <si>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</si>
  <si>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</si>
  <si>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</si>
  <si>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</si>
  <si>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</si>
  <si>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</si>
  <si>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</si>
  <si>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</si>
  <si>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</si>
  <si>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</si>
  <si>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</si>
  <si>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</si>
  <si>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</si>
  <si>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</si>
  <si>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</si>
  <si>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</si>
  <si>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</si>
  <si>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</si>
  <si>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</si>
  <si>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</si>
  <si>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</si>
  <si>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</si>
  <si>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</si>
  <si>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</si>
  <si>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</si>
  <si>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</si>
  <si>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</si>
  <si>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</si>
  <si>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</si>
  <si>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</si>
  <si>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</si>
  <si>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</si>
  <si>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</si>
  <si>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</si>
  <si>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</si>
  <si>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</si>
  <si>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</si>
  <si>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</si>
  <si>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</si>
  <si>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</si>
  <si>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</si>
  <si>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</si>
  <si>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</si>
  <si>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</si>
  <si>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</si>
  <si>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</si>
  <si>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</si>
  <si>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</si>
  <si>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</si>
  <si>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</si>
  <si>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</si>
  <si>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</si>
  <si>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</si>
  <si>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</si>
  <si>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</si>
  <si>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</si>
  <si>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</si>
  <si>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</si>
  <si>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</si>
  <si>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</si>
  <si>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</si>
  <si>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</si>
  <si>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</si>
  <si>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</si>
  <si>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</si>
  <si>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</si>
  <si>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</si>
  <si>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</si>
  <si>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</si>
  <si>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</si>
  <si>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</si>
  <si>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</si>
  <si>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</si>
  <si>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</si>
  <si>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</si>
  <si>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</si>
  <si>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</si>
  <si>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</si>
  <si>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</si>
  <si>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</si>
  <si>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</si>
  <si>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</si>
  <si>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</si>
  <si>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</si>
  <si>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</si>
  <si>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</si>
  <si>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</si>
  <si>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</si>
  <si>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</si>
  <si>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</si>
  <si>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</si>
  <si>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</si>
  <si>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</si>
  <si>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</si>
  <si>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</si>
  <si>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</si>
  <si>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</si>
  <si>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</si>
  <si>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</si>
  <si>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</si>
  <si>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</si>
  <si>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</si>
  <si>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</si>
  <si>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</si>
  <si>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</si>
  <si>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</si>
  <si>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</si>
  <si>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</si>
  <si>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</si>
  <si>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</si>
  <si>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</si>
  <si>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</si>
  <si>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</si>
  <si>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</si>
  <si>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</si>
  <si>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</si>
  <si>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</si>
  <si>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</si>
  <si>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</si>
  <si>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</si>
  <si>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</si>
  <si>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</si>
  <si>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</si>
  <si>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</si>
  <si>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</si>
  <si>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</si>
  <si>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</si>
  <si>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</si>
  <si>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</si>
  <si>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</si>
  <si>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</si>
  <si>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</si>
  <si>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</si>
  <si>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</si>
  <si>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</si>
  <si>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</si>
  <si>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</si>
  <si>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</si>
  <si>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</si>
  <si>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</si>
  <si>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</si>
  <si>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</si>
  <si>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</si>
  <si>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</si>
  <si>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</si>
  <si>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</si>
  <si>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</si>
  <si>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</si>
  <si>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</si>
  <si>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</si>
  <si>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</si>
  <si>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</si>
  <si>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</si>
  <si>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</si>
  <si>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</si>
  <si>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</si>
  <si>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</si>
  <si>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</si>
  <si>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</si>
  <si>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</si>
  <si>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</si>
  <si>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</si>
  <si>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</si>
  <si>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</si>
  <si>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</si>
  <si>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</si>
  <si>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</si>
  <si>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</si>
  <si>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</si>
  <si>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</si>
  <si>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</si>
  <si>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</si>
  <si>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</si>
  <si>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</si>
  <si>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</si>
  <si>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</si>
  <si>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</si>
  <si>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</si>
  <si>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</si>
  <si>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</si>
  <si>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</si>
  <si>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</si>
  <si>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</si>
  <si>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</si>
  <si>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</si>
  <si>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</si>
  <si>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</si>
  <si>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</si>
  <si>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</si>
  <si>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</si>
  <si>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</si>
  <si>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</si>
  <si>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</si>
  <si>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</si>
  <si>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</si>
  <si>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</si>
  <si>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</si>
  <si>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</si>
  <si>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</si>
  <si>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</si>
  <si>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</si>
  <si>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</si>
  <si>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</si>
  <si>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</si>
  <si>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</si>
  <si>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</si>
  <si>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</si>
  <si>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</si>
  <si>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</si>
  <si>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</si>
  <si>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</si>
  <si>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</si>
  <si>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</si>
  <si>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</si>
  <si>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</si>
  <si>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</si>
  <si>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</si>
  <si>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</si>
  <si>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</si>
  <si>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</si>
  <si>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</si>
  <si>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</si>
  <si>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</si>
  <si>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</si>
  <si>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</si>
  <si>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</si>
  <si>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</si>
  <si>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</si>
  <si>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</si>
  <si>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</si>
  <si>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</si>
  <si>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</si>
  <si>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</si>
  <si>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</si>
  <si>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</si>
  <si>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</si>
  <si>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</si>
  <si>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</si>
  <si>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</si>
  <si>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</si>
  <si>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</si>
  <si>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</si>
  <si>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</si>
  <si>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</si>
  <si>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</si>
  <si>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</si>
  <si>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</si>
  <si>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</si>
  <si>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</si>
  <si>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</si>
  <si>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</si>
  <si>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</si>
  <si>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</si>
  <si>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</si>
  <si>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</si>
  <si>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</si>
  <si>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</si>
  <si>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</si>
  <si>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</si>
  <si>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</si>
  <si>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</si>
  <si>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</si>
  <si>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</si>
  <si>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</si>
  <si>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</si>
  <si>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</si>
  <si>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</si>
  <si>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</si>
  <si>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</si>
  <si>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</si>
  <si>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</si>
  <si>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</si>
  <si>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</si>
  <si>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</si>
  <si>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</si>
  <si>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</si>
  <si>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</si>
  <si>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</si>
  <si>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</si>
  <si>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</si>
  <si>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</si>
  <si>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</si>
  <si>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</si>
  <si>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</si>
  <si>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</si>
  <si>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</si>
  <si>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</si>
  <si>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</si>
  <si>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</si>
  <si>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</si>
  <si>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</si>
  <si>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</si>
  <si>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</si>
  <si>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</si>
  <si>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</si>
  <si>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</si>
  <si>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</si>
  <si>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</si>
  <si>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</si>
  <si>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</si>
  <si>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</si>
  <si>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</si>
  <si>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</si>
  <si>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</si>
  <si>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</si>
  <si>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</si>
  <si>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</si>
  <si>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</si>
  <si>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</si>
  <si>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</si>
  <si>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</si>
  <si>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</si>
  <si>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</si>
  <si>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</si>
  <si>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</si>
  <si>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</si>
  <si>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</si>
  <si>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</si>
  <si>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</si>
  <si>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</si>
  <si>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</si>
  <si>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</si>
  <si>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</si>
  <si>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</si>
  <si>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</si>
  <si>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</si>
  <si>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</si>
  <si>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</si>
  <si>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</si>
  <si>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</si>
  <si>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</si>
  <si>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</si>
  <si>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</si>
  <si>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</si>
  <si>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</si>
  <si>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</si>
  <si>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</si>
  <si>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</si>
  <si>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</si>
  <si>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</si>
  <si>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</si>
  <si>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</si>
  <si>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</si>
  <si>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</si>
  <si>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</si>
  <si>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</si>
  <si>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</si>
  <si>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</si>
  <si>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</si>
  <si>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</si>
  <si>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</si>
  <si>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</si>
  <si>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</si>
  <si>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</si>
  <si>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</si>
  <si>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</si>
  <si>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</si>
  <si>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</si>
  <si>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</si>
  <si>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</si>
  <si>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</si>
  <si>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</si>
  <si>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</si>
  <si>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</si>
  <si>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</si>
  <si>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</si>
  <si>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</si>
  <si>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</si>
  <si>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</si>
  <si>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</si>
  <si>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</si>
  <si>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</si>
  <si>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</si>
  <si>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</si>
  <si>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</si>
  <si>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</si>
  <si>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</si>
  <si>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</si>
  <si>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</si>
  <si>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</si>
  <si>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</si>
  <si>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</si>
  <si>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</si>
  <si>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</si>
  <si>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</si>
  <si>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</si>
  <si>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</si>
  <si>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</si>
  <si>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</si>
  <si>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</si>
  <si>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</si>
  <si>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</si>
  <si>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</si>
  <si>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</si>
  <si>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</si>
  <si>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</si>
  <si>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</si>
  <si>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</si>
  <si>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</si>
  <si>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</si>
  <si>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</si>
  <si>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</si>
  <si>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</si>
  <si>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</si>
  <si>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</si>
  <si>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</si>
  <si>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</si>
  <si>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</si>
  <si>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</si>
  <si>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</si>
  <si>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</si>
  <si>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</si>
  <si>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</si>
  <si>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</si>
  <si>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</si>
  <si>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</si>
  <si>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</si>
  <si>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</si>
  <si>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</si>
  <si>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</si>
  <si>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</si>
  <si>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</si>
  <si>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</si>
  <si>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</si>
  <si>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</si>
  <si>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</si>
  <si>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</si>
  <si>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</si>
  <si>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</si>
  <si>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</si>
  <si>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</si>
  <si>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</si>
  <si>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</si>
  <si>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</si>
  <si>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</si>
  <si>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</si>
  <si>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</si>
  <si>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</si>
  <si>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</si>
  <si>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</si>
  <si>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</si>
  <si>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</si>
  <si>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</si>
  <si>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</si>
  <si>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</si>
  <si>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</si>
  <si>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</si>
  <si>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</si>
  <si>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</si>
  <si>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</si>
  <si>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</si>
  <si>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</si>
  <si>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</si>
  <si>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</si>
  <si>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</si>
  <si>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</si>
  <si>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</si>
  <si>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</si>
  <si>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</si>
  <si>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</si>
  <si>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</si>
  <si>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</si>
  <si>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</si>
  <si>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</si>
  <si>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</si>
  <si>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</si>
  <si>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</si>
  <si>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</si>
  <si>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</si>
  <si>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</si>
  <si>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</si>
  <si>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</si>
  <si>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</si>
  <si>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</si>
  <si>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</si>
  <si>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</si>
  <si>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</si>
  <si>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</si>
  <si>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</si>
  <si>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</si>
  <si>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</si>
  <si>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</si>
  <si>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</si>
  <si>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</si>
  <si>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</si>
  <si>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</si>
  <si>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</si>
  <si>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</si>
  <si>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</si>
  <si>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</si>
  <si>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</si>
  <si>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</si>
  <si>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</si>
  <si>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</si>
  <si>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</si>
  <si>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</si>
  <si>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</si>
  <si>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</si>
  <si>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</si>
  <si>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</si>
  <si>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</si>
  <si>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</si>
  <si>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</si>
  <si>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</si>
  <si>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</si>
  <si>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</si>
  <si>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</si>
  <si>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</si>
  <si>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</si>
  <si>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</si>
  <si>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</si>
  <si>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</si>
  <si>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</si>
  <si>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</si>
  <si>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</si>
  <si>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</si>
  <si>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</si>
  <si>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</si>
  <si>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</si>
  <si>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</si>
  <si>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</si>
  <si>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</si>
  <si>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</si>
  <si>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</si>
  <si>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</si>
  <si>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</si>
  <si>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</si>
  <si>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</si>
  <si>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</si>
  <si>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</si>
  <si>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</si>
  <si>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</si>
  <si>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</si>
  <si>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</si>
  <si>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</si>
  <si>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</si>
  <si>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</si>
  <si>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</si>
  <si>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</si>
  <si>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</si>
  <si>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</si>
  <si>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</si>
  <si>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</si>
  <si>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</si>
  <si>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</si>
  <si>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</si>
  <si>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</si>
  <si>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</si>
  <si>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</si>
  <si>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</si>
  <si>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</si>
  <si>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</si>
  <si>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</si>
  <si>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</si>
  <si>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</si>
  <si>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</si>
  <si>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</si>
  <si>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</si>
  <si>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</si>
  <si>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</si>
  <si>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</si>
  <si>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</si>
  <si>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</si>
  <si>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</si>
  <si>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</si>
  <si>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</si>
  <si>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</si>
  <si>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</si>
  <si>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</si>
  <si>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</si>
  <si>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</si>
  <si>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</si>
  <si>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</si>
  <si>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</si>
  <si>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</si>
  <si>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</si>
  <si>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</si>
  <si>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</si>
  <si>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</si>
  <si>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</si>
  <si>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</si>
  <si>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</si>
  <si>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</si>
  <si>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</si>
  <si>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</si>
  <si>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</si>
  <si>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</si>
  <si>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</si>
  <si>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</si>
  <si>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</si>
  <si>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</si>
  <si>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</si>
  <si>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</si>
  <si>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</si>
  <si>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</si>
  <si>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</si>
  <si>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</si>
  <si>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</si>
  <si>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</si>
  <si>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</si>
  <si>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</si>
  <si>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</si>
  <si>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</si>
  <si>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</si>
  <si>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</si>
  <si>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</si>
  <si>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</si>
  <si>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</si>
  <si>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</si>
  <si>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</si>
  <si>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</si>
  <si>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</si>
  <si>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</si>
  <si>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</si>
  <si>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</si>
  <si>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</si>
  <si>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</si>
  <si>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</si>
  <si>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</si>
  <si>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</si>
  <si>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</si>
  <si>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</si>
  <si>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</si>
  <si>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</si>
  <si>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</si>
  <si>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</si>
  <si>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</si>
  <si>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</si>
  <si>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</si>
  <si>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</si>
  <si>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</si>
  <si>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</si>
  <si>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</si>
  <si>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</si>
  <si>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</si>
  <si>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</si>
  <si>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</si>
  <si>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</si>
  <si>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</si>
  <si>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</si>
  <si>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</si>
  <si>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</si>
  <si>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</si>
  <si>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</si>
  <si>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</si>
  <si>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</si>
  <si>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</si>
  <si>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</si>
  <si>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</si>
  <si>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</si>
  <si>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</si>
  <si>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</si>
  <si>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</si>
  <si>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</si>
  <si>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</si>
  <si>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</si>
  <si>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</si>
  <si>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</si>
  <si>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</si>
  <si>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</si>
  <si>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</si>
  <si>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</si>
  <si>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</si>
  <si>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</si>
  <si>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</si>
  <si>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</si>
  <si>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</si>
  <si>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</si>
  <si>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</si>
  <si>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</si>
  <si>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</si>
  <si>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</si>
  <si>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</si>
  <si>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</si>
  <si>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</si>
  <si>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</si>
  <si>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</si>
  <si>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</si>
  <si>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</si>
  <si>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</si>
  <si>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</si>
  <si>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</si>
  <si>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</si>
  <si>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</si>
  <si>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</si>
  <si>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</si>
  <si>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</si>
  <si>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</si>
  <si>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</si>
  <si>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</si>
  <si>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</si>
  <si>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</si>
  <si>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</si>
  <si>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</si>
  <si>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</si>
  <si>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</si>
  <si>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</si>
  <si>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</si>
  <si>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</si>
  <si>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</si>
  <si>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</si>
  <si>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</si>
  <si>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</si>
  <si>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</si>
  <si>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</si>
  <si>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</si>
  <si>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</si>
  <si>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</si>
  <si>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</si>
  <si>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</si>
  <si>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</si>
  <si>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</si>
  <si>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</si>
  <si>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</si>
  <si>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</si>
  <si>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</si>
  <si>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</si>
  <si>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</si>
  <si>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</si>
  <si>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</si>
  <si>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</si>
  <si>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</si>
  <si>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</si>
  <si>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</si>
  <si>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</si>
  <si>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</si>
  <si>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</si>
  <si>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</si>
  <si>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</si>
  <si>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</si>
  <si>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</si>
  <si>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</si>
  <si>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</si>
  <si>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</si>
  <si>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</si>
  <si>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</si>
  <si>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</si>
  <si>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</si>
  <si>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</si>
  <si>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</si>
  <si>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</si>
  <si>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</si>
  <si>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</si>
  <si>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</si>
  <si>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</si>
  <si>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</si>
  <si>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</si>
  <si>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</si>
  <si>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</si>
  <si>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</si>
  <si>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</si>
  <si>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</si>
  <si>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</si>
  <si>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</si>
  <si>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</si>
  <si>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</si>
  <si>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</si>
  <si>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</si>
  <si>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</si>
  <si>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</si>
  <si>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</si>
  <si>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</si>
  <si>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</si>
  <si>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</si>
  <si>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</si>
  <si>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</si>
  <si>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</si>
  <si>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</si>
  <si>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</si>
  <si>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</si>
  <si>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</si>
  <si>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</si>
  <si>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</si>
  <si>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</si>
  <si>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</si>
  <si>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</si>
  <si>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</si>
  <si>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</si>
  <si>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</si>
  <si>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</si>
  <si>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</si>
  <si>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</si>
  <si>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</si>
  <si>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</si>
  <si>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</si>
  <si>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</si>
  <si>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</si>
  <si>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</si>
  <si>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</si>
  <si>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</si>
  <si>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</si>
  <si>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</si>
  <si>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</si>
  <si>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</si>
  <si>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</si>
  <si>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</si>
  <si>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</si>
  <si>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</si>
  <si>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</si>
  <si>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</si>
  <si>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</si>
  <si>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</si>
  <si>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</si>
  <si>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</si>
  <si>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</si>
  <si>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</si>
  <si>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</si>
  <si>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</si>
  <si>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</si>
  <si>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</si>
  <si>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</si>
  <si>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</si>
  <si>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</si>
  <si>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</si>
  <si>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</si>
  <si>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</si>
  <si>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</si>
  <si>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</si>
  <si>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</si>
  <si>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</si>
  <si>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</si>
  <si>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</si>
  <si>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</si>
  <si>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</si>
  <si>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</si>
  <si>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</si>
  <si>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</si>
  <si>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</si>
  <si>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</si>
  <si>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</si>
  <si>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</si>
  <si>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</si>
  <si>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</si>
  <si>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</si>
  <si>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</si>
  <si>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</si>
  <si>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</si>
  <si>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</si>
  <si>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</si>
  <si>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</si>
  <si>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</si>
  <si>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</si>
  <si>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</si>
  <si>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</si>
  <si>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</si>
  <si>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</si>
  <si>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</si>
  <si>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</si>
  <si>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</si>
  <si>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</si>
  <si>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</si>
  <si>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</si>
  <si>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</si>
  <si>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</si>
  <si>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</si>
  <si>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</si>
  <si>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</si>
  <si>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</si>
  <si>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</si>
  <si>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</si>
  <si>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</si>
  <si>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</si>
  <si>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</si>
  <si>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</si>
  <si>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</si>
  <si>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</si>
  <si>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</si>
  <si>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</si>
  <si>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</si>
  <si>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</si>
  <si>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</si>
  <si>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</si>
  <si>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</si>
  <si>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</si>
  <si>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</si>
  <si>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</si>
  <si>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</si>
  <si>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</si>
  <si>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</si>
  <si>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</si>
  <si>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</si>
  <si>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</si>
  <si>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</si>
  <si>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</si>
  <si>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</si>
  <si>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</si>
  <si>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</si>
  <si>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</si>
  <si>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</si>
  <si>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</si>
  <si>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</si>
  <si>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</si>
  <si>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</si>
  <si>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</si>
  <si>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</si>
  <si>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</si>
  <si>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</si>
  <si>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</si>
  <si>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</si>
  <si>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</si>
  <si>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</si>
  <si>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</si>
  <si>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</si>
  <si>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</si>
  <si>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</si>
  <si>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</si>
  <si>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</si>
  <si>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</si>
  <si>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</si>
  <si>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</si>
  <si>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</si>
  <si>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</si>
  <si>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</si>
  <si>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</si>
  <si>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</si>
  <si>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</si>
  <si>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</si>
  <si>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</si>
  <si>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</si>
  <si>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</si>
  <si>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</si>
  <si>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</si>
  <si>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</si>
  <si>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</si>
  <si>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</si>
  <si>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</si>
  <si>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</si>
  <si>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</si>
  <si>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</si>
  <si>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</si>
  <si>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</si>
  <si>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</si>
  <si>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</si>
  <si>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</si>
  <si>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</si>
  <si>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</si>
  <si>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</si>
  <si>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</si>
  <si>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</si>
  <si>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</si>
  <si>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</si>
  <si>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</si>
  <si>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</si>
  <si>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</si>
  <si>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</si>
  <si>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</si>
  <si>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</si>
  <si>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</si>
  <si>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</si>
  <si>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</si>
  <si>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</si>
  <si>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</si>
  <si>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</si>
  <si>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</si>
  <si>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</si>
  <si>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</si>
  <si>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</si>
  <si>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</si>
  <si>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</si>
  <si>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</si>
  <si>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</si>
  <si>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</si>
  <si>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</si>
  <si>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</si>
  <si>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</si>
  <si>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</si>
  <si>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</si>
  <si>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</si>
  <si>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</si>
  <si>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</si>
  <si>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</si>
  <si>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</si>
  <si>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</si>
  <si>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</si>
  <si>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</si>
  <si>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</si>
  <si>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</si>
  <si>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</si>
  <si>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</si>
  <si>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</si>
  <si>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</si>
  <si>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</si>
  <si>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</si>
  <si>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</si>
  <si>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</si>
  <si>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</si>
  <si>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</si>
  <si>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</si>
  <si>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</si>
  <si>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</si>
  <si>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</si>
  <si>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</si>
  <si>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</si>
  <si>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</si>
  <si>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</si>
  <si>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</si>
  <si>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</si>
  <si>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</si>
  <si>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</si>
  <si>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</si>
  <si>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</si>
  <si>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</si>
  <si>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</si>
  <si>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</si>
  <si>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</si>
  <si>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</si>
  <si>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</si>
  <si>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</si>
  <si>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</si>
  <si>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</si>
  <si>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</si>
  <si>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</si>
  <si>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</si>
  <si>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</si>
  <si>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</si>
  <si>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</si>
  <si>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</si>
  <si>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</si>
  <si>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</si>
  <si>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</si>
  <si>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</si>
  <si>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</si>
  <si>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</si>
  <si>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</si>
  <si>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</si>
  <si>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</si>
  <si>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</si>
  <si>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</si>
  <si>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</si>
  <si>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</si>
  <si>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</si>
  <si>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</si>
  <si>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</si>
  <si>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</si>
  <si>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</si>
  <si>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</si>
  <si>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</si>
  <si>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</si>
  <si>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</si>
  <si>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</si>
  <si>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4213 ROUTE 12</t>
  </si>
  <si>
    <t xml:space="preserve">RICHMOND </t>
  </si>
  <si>
    <t>DLEVENDOSKI@RBCHS.COM</t>
  </si>
  <si>
    <t>X</t>
  </si>
  <si>
    <t>KEVIN SMITH</t>
  </si>
  <si>
    <t xml:space="preserve">Page 10, Line 81 - Other District/School Activity Revenue </t>
  </si>
  <si>
    <t>Page 18, Line 171 - Debt Service Other</t>
  </si>
  <si>
    <t>Student clubs and sports fees</t>
  </si>
  <si>
    <t>Chromebooks, TRS overpayments, Booster Club-Revtrak</t>
  </si>
  <si>
    <t>State Library Grant</t>
  </si>
  <si>
    <t>Dissemination Fees</t>
  </si>
  <si>
    <t>McHenry County Cooperative for Employment Education, Lake County Area Vocational System</t>
  </si>
  <si>
    <t>Nippersink School District #2</t>
  </si>
  <si>
    <t>NIHIP</t>
  </si>
  <si>
    <t>CLIC, SELF</t>
  </si>
  <si>
    <t>ISDLAF</t>
  </si>
  <si>
    <t>Special Education District of McHenry County</t>
  </si>
  <si>
    <t>Fields</t>
  </si>
  <si>
    <t>*See Below</t>
  </si>
  <si>
    <t>2012A G.O. Refunding School Bonds</t>
  </si>
  <si>
    <t>2012B G.O. Refunding School Bonds</t>
  </si>
  <si>
    <t>2014 G.O. Refunding School Bonds</t>
  </si>
  <si>
    <t>Page 12, Line 168 - Other Restricted Revenue from State Sources</t>
  </si>
  <si>
    <t>Explanation for Errors on Audit Check Tab</t>
  </si>
  <si>
    <t>Audit Check, There were no applicable contracts during the current fiscal year.</t>
  </si>
  <si>
    <t>20. Material Journal Entries made during the audit</t>
  </si>
  <si>
    <t>Page 10, Line 107 - Other Local Revenues</t>
  </si>
  <si>
    <t>Page 11, Line 121 - Other Unrestricted Grants-In-Aid from State Sources</t>
  </si>
  <si>
    <t>Student Assessment Funding</t>
  </si>
  <si>
    <t>Richmond-Burton CHSD 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</si>
</sst>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181" fontId="160" fillId="0" borderId="0" applyFont="0" applyFill="0" applyBorder="0" applyAlignment="0" applyProtection="0"/>
    <xf numFmtId="182" fontId="160" fillId="0" borderId="0" applyFont="0" applyFill="0" applyBorder="0" applyAlignment="0" applyProtection="0"/>
    <xf numFmtId="43" fontId="11" fillId="0" borderId="0" applyAlignment="0"/>
    <xf numFmtId="0" fontId="3"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0" fillId="0" borderId="0" applyFont="0" applyFill="0" applyBorder="0" applyAlignment="0" applyProtection="0"/>
    <xf numFmtId="184" fontId="160" fillId="0" borderId="0" applyFont="0" applyFill="0" applyBorder="0" applyAlignment="0" applyProtection="0"/>
    <xf numFmtId="43" fontId="11"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0" borderId="0" applyNumberFormat="0" applyBorder="0" applyAlignment="0" applyProtection="0"/>
    <xf numFmtId="0" fontId="142" fillId="31"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30" borderId="0" applyNumberFormat="0" applyBorder="0" applyAlignment="0" applyProtection="0"/>
    <xf numFmtId="0" fontId="142" fillId="34" borderId="0" applyNumberFormat="0" applyBorder="0" applyAlignment="0" applyProtection="0"/>
    <xf numFmtId="0" fontId="154" fillId="31"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42" fillId="27" borderId="0" applyNumberFormat="0" applyBorder="0" applyAlignment="0" applyProtection="0"/>
    <xf numFmtId="0" fontId="142" fillId="31" borderId="0" applyNumberFormat="0" applyBorder="0" applyAlignment="0" applyProtection="0"/>
    <xf numFmtId="0" fontId="154" fillId="31"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5"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42" fillId="30" borderId="0" applyNumberFormat="0" applyBorder="0" applyAlignment="0" applyProtection="0"/>
    <xf numFmtId="0" fontId="142" fillId="37" borderId="0" applyNumberFormat="0" applyBorder="0" applyAlignment="0" applyProtection="0"/>
    <xf numFmtId="0" fontId="154" fillId="37"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60" fillId="0" borderId="165" applyNumberFormat="0" applyFill="0" applyAlignment="0" applyProtection="0"/>
    <xf numFmtId="191" fontId="161" fillId="0" borderId="165" applyNumberFormat="0" applyFill="0" applyAlignment="0" applyProtection="0">
      <alignment horizontal="center"/>
    </xf>
    <xf numFmtId="191" fontId="161" fillId="0" borderId="78" applyFill="0" applyAlignment="0" applyProtection="0">
      <alignment horizontal="center"/>
    </xf>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62" fillId="0" borderId="0" applyProtection="0"/>
    <xf numFmtId="191" fontId="161"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0" fillId="0" borderId="0" applyProtection="0"/>
    <xf numFmtId="192" fontId="160" fillId="0" borderId="0" applyFont="0" applyFill="0" applyBorder="0" applyAlignment="0" applyProtection="0"/>
    <xf numFmtId="191" fontId="161" fillId="0" borderId="167" applyNumberFormat="0" applyFill="0" applyAlignment="0" applyProtection="0"/>
    <xf numFmtId="0" fontId="160" fillId="0" borderId="167" applyNumberFormat="0" applyFill="0" applyAlignment="0" applyProtection="0"/>
    <xf numFmtId="0" fontId="153" fillId="41" borderId="0" applyNumberFormat="0" applyBorder="0" applyAlignment="0" applyProtection="0"/>
    <xf numFmtId="0" fontId="153" fillId="42" borderId="0" applyNumberFormat="0" applyBorder="0" applyAlignment="0" applyProtection="0"/>
    <xf numFmtId="0" fontId="153" fillId="43" borderId="0" applyNumberFormat="0" applyBorder="0" applyAlignment="0" applyProtection="0"/>
    <xf numFmtId="0" fontId="163" fillId="0" borderId="0" applyProtection="0"/>
    <xf numFmtId="0" fontId="12"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40" fillId="0" borderId="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69" fillId="0" borderId="0" applyProtection="0"/>
    <xf numFmtId="0" fontId="141"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0" fillId="0" borderId="0" applyFont="0" applyFill="0" applyBorder="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61" fillId="0" borderId="0" applyNumberFormat="0" applyFill="0" applyAlignment="0" applyProtection="0"/>
    <xf numFmtId="0" fontId="11" fillId="0" borderId="0"/>
    <xf numFmtId="0" fontId="11" fillId="0" borderId="0"/>
    <xf numFmtId="0" fontId="11" fillId="0" borderId="0"/>
    <xf numFmtId="0" fontId="11" fillId="0" borderId="0"/>
    <xf numFmtId="0" fontId="3" fillId="0" borderId="0"/>
    <xf numFmtId="0" fontId="139" fillId="0" borderId="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194" fontId="161" fillId="0" borderId="0" applyFill="0" applyBorder="0" applyProtection="0">
      <alignment horizontal="right"/>
    </xf>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195" fontId="161" fillId="0" borderId="0" applyProtection="0"/>
    <xf numFmtId="0" fontId="143"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3" applyNumberFormat="0" applyFont="0" applyFill="0" applyAlignment="0" applyProtection="0"/>
    <xf numFmtId="0" fontId="160" fillId="0" borderId="174" applyNumberFormat="0" applyFont="0" applyFill="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39" fillId="0" borderId="0"/>
    <xf numFmtId="0" fontId="11" fillId="0" borderId="0"/>
    <xf numFmtId="0" fontId="11" fillId="0" borderId="0"/>
    <xf numFmtId="0" fontId="11" fillId="0" borderId="0"/>
    <xf numFmtId="0" fontId="11" fillId="0" borderId="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1" fillId="0" borderId="0"/>
    <xf numFmtId="43" fontId="3"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52" fillId="0" borderId="0"/>
    <xf numFmtId="0" fontId="3" fillId="0" borderId="0"/>
    <xf numFmtId="43" fontId="3" fillId="0" borderId="0" applyFont="0" applyFill="0" applyBorder="0" applyAlignment="0" applyProtection="0"/>
    <xf numFmtId="0" fontId="3" fillId="0" borderId="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0" fillId="0" borderId="0" applyAlignment="0"/>
    <xf numFmtId="43" fontId="180" fillId="0" borderId="0" applyFont="0" applyFill="0" applyBorder="0" applyAlignment="0" applyProtection="0"/>
    <xf numFmtId="43" fontId="1" fillId="0" borderId="0" applyFont="0" applyFill="0" applyBorder="0" applyAlignment="0" applyProtection="0"/>
    <xf numFmtId="43" fontId="180" fillId="0" borderId="0" applyFont="0" applyFill="0" applyBorder="0" applyAlignment="0" applyProtection="0"/>
    <xf numFmtId="3" fontId="180" fillId="0" borderId="0" applyFont="0" applyFill="0" applyBorder="0" applyAlignment="0" applyProtection="0"/>
    <xf numFmtId="44" fontId="180" fillId="0" borderId="0" applyFont="0" applyFill="0" applyBorder="0" applyAlignment="0" applyProtection="0"/>
    <xf numFmtId="5" fontId="180" fillId="0" borderId="0" applyFont="0" applyFill="0" applyBorder="0" applyAlignment="0" applyProtection="0"/>
    <xf numFmtId="0" fontId="181" fillId="0" borderId="0" applyNumberFormat="0" applyFill="0" applyBorder="0" applyAlignment="0" applyProtection="0">
      <alignment vertical="top"/>
      <protection locked="0"/>
    </xf>
    <xf numFmtId="0" fontId="180" fillId="0" borderId="0"/>
    <xf numFmtId="0" fontId="180" fillId="0" borderId="0"/>
    <xf numFmtId="0" fontId="1" fillId="0" borderId="0"/>
    <xf numFmtId="43" fontId="180" fillId="0" borderId="0" applyAlignment="0"/>
    <xf numFmtId="43" fontId="180" fillId="0" borderId="0" applyAlignment="0"/>
    <xf numFmtId="43" fontId="1" fillId="0" borderId="0" applyFont="0" applyFill="0" applyBorder="0" applyAlignment="0" applyProtection="0"/>
    <xf numFmtId="44" fontId="180" fillId="0" borderId="0" applyFont="0" applyFill="0" applyBorder="0" applyAlignment="0" applyProtection="0"/>
    <xf numFmtId="44" fontId="180"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0" fillId="63" borderId="172" applyNumberFormat="0" applyAlignment="0" applyProtection="0"/>
    <xf numFmtId="0" fontId="153" fillId="0" borderId="178" applyNumberFormat="0" applyFill="0" applyAlignment="0" applyProtection="0"/>
    <xf numFmtId="43" fontId="1" fillId="0" borderId="0" applyFont="0" applyFill="0" applyBorder="0" applyAlignment="0" applyProtection="0"/>
    <xf numFmtId="0" fontId="1" fillId="0" borderId="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43" fontId="1" fillId="0" borderId="0" applyFont="0" applyFill="0" applyBorder="0" applyAlignment="0" applyProtection="0"/>
    <xf numFmtId="0" fontId="1" fillId="0" borderId="0"/>
    <xf numFmtId="0" fontId="1" fillId="0" borderId="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53" fillId="0" borderId="175" applyNumberFormat="0" applyFill="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55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33"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5" fillId="0" borderId="157" xfId="17" applyFont="1" applyBorder="1" applyAlignment="1" applyProtection="1">
      <alignment horizontal="left" vertical="top" wrapText="1"/>
      <protection locked="0"/>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124" xfId="0" applyNumberFormat="1" applyFont="1" applyFill="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6" applyNumberFormat="1" applyFont="1" applyBorder="1" applyProtection="1">
      <protection locked="0"/>
    </xf>
    <xf numFmtId="164" fontId="66" fillId="0" borderId="0" xfId="0" applyNumberFormat="1" applyFont="1"/>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481">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4" xfId="37"/>
    <cellStyle name="12 5" xfId="38"/>
    <cellStyle name="12 6" xfId="39"/>
    <cellStyle name="12 7" xfId="40"/>
    <cellStyle name="12 8" xfId="41"/>
    <cellStyle name="12 9" xfId="44"/>
    <cellStyle name="12 9 2" xfId="285"/>
    <cellStyle name="12 9 2 2" xfId="2975"/>
    <cellStyle name="12 9 3" xfId="284"/>
    <cellStyle name="12 9 4" xfId="2963"/>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3" xfId="130"/>
    <cellStyle name="Comma 2 3 2" xfId="1711"/>
    <cellStyle name="Comma 2 4" xfId="131"/>
    <cellStyle name="Comma 2 4 2" xfId="2535"/>
    <cellStyle name="Comma 2 4 3" xfId="2964"/>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2" xfId="133"/>
    <cellStyle name="Comma 3 3" xfId="134"/>
    <cellStyle name="Comma 3 3 2" xfId="2534"/>
    <cellStyle name="Comma 3 3 3" xfId="2966"/>
    <cellStyle name="Comma 3 4" xfId="1726"/>
    <cellStyle name="Comma 3 4 2" xfId="2850"/>
    <cellStyle name="Comma 3 4 2 2" xfId="2897"/>
    <cellStyle name="Comma 3 4 2 2 2" xfId="2998"/>
    <cellStyle name="Comma 3 4 2 3" xfId="3442"/>
    <cellStyle name="Comma 3 4 2 4" xfId="2942"/>
    <cellStyle name="Comma 3 4 3" xfId="2880"/>
    <cellStyle name="Comma 3 4 3 2" xfId="2976"/>
    <cellStyle name="Comma 3 4 4" xfId="3418"/>
    <cellStyle name="Comma 3 4 5" xfId="2925"/>
    <cellStyle name="Comma 3 5" xfId="2531"/>
    <cellStyle name="Comma 3 5 2" xfId="2854"/>
    <cellStyle name="Comma 3 5 2 2" xfId="2901"/>
    <cellStyle name="Comma 3 5 2 2 2" xfId="3002"/>
    <cellStyle name="Comma 3 5 2 3" xfId="3446"/>
    <cellStyle name="Comma 3 5 2 4" xfId="2946"/>
    <cellStyle name="Comma 3 5 3" xfId="2884"/>
    <cellStyle name="Comma 3 5 3 2" xfId="2985"/>
    <cellStyle name="Comma 3 5 4" xfId="3428"/>
    <cellStyle name="Comma 3 5 5" xfId="2929"/>
    <cellStyle name="Comma 3 6" xfId="2540"/>
    <cellStyle name="Comma 3 6 2" xfId="2858"/>
    <cellStyle name="Comma 3 6 2 2" xfId="2905"/>
    <cellStyle name="Comma 3 6 2 2 2" xfId="3006"/>
    <cellStyle name="Comma 3 6 2 3" xfId="3450"/>
    <cellStyle name="Comma 3 6 2 4" xfId="2950"/>
    <cellStyle name="Comma 3 6 3" xfId="2888"/>
    <cellStyle name="Comma 3 6 3 2" xfId="2989"/>
    <cellStyle name="Comma 3 6 4" xfId="3432"/>
    <cellStyle name="Comma 3 6 5" xfId="2933"/>
    <cellStyle name="Comma 3 7" xfId="2848"/>
    <cellStyle name="Comma 3 7 2" xfId="2895"/>
    <cellStyle name="Comma 3 7 2 2" xfId="2996"/>
    <cellStyle name="Comma 3 7 3" xfId="3440"/>
    <cellStyle name="Comma 3 7 4" xfId="2940"/>
    <cellStyle name="Comma 3 8" xfId="2878"/>
    <cellStyle name="Comma 3 8 2" xfId="2965"/>
    <cellStyle name="Comma 3 9" xfId="3033"/>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3" xfId="3453"/>
    <cellStyle name="Comma 5 4" xfId="2953"/>
    <cellStyle name="Comma 58 2" xfId="1733"/>
    <cellStyle name="Comma 6" xfId="3474"/>
    <cellStyle name="Comma0" xfId="137"/>
    <cellStyle name="Comma0 2" xfId="2533"/>
    <cellStyle name="Comma0 3" xfId="2967"/>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3" xfId="1738"/>
    <cellStyle name="Currency 2 3 4" xfId="2968"/>
    <cellStyle name="Currency 2 4" xfId="1740"/>
    <cellStyle name="Currency 2 4 2" xfId="2978"/>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6" xfId="1756"/>
    <cellStyle name="Currency 36 2" xfId="1757"/>
    <cellStyle name="Currency 39 2" xfId="1758"/>
    <cellStyle name="Currency 43 2" xfId="1759"/>
    <cellStyle name="Currency0" xfId="142"/>
    <cellStyle name="Currency0 2" xfId="2532"/>
    <cellStyle name="Currency0 3" xfId="2969"/>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4" xfId="2970"/>
    <cellStyle name="Hyperlink 2 3" xfId="2083"/>
    <cellStyle name="Hyperlink 2 4" xfId="2084"/>
    <cellStyle name="Hyperlink 2 4 2" xfId="2980"/>
    <cellStyle name="Hyperlink 2 5" xfId="190"/>
    <cellStyle name="Hyperlink 2 6" xfId="2862"/>
    <cellStyle name="Hyperlink 3" xfId="193"/>
    <cellStyle name="Hyperlink 3 2" xfId="194"/>
    <cellStyle name="Hyperlink 3 3" xfId="2085"/>
    <cellStyle name="Hyperlink 30" xfId="2086"/>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2" xfId="2249"/>
    <cellStyle name="Normal 11 2" xfId="2250"/>
    <cellStyle name="Normal 2" xfId="3"/>
    <cellStyle name="Normal 2 2" xfId="215"/>
    <cellStyle name="Normal 2 2 2" xfId="2252"/>
    <cellStyle name="Normal 2 2 2 2" xfId="2981"/>
    <cellStyle name="Normal 2 2 3" xfId="2251"/>
    <cellStyle name="Normal 2 2 4" xfId="2971"/>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3" xfId="3435"/>
    <cellStyle name="Normal 3 10 4" xfId="2935"/>
    <cellStyle name="Normal 3 11" xfId="2863"/>
    <cellStyle name="Normal 3 11 2" xfId="2909"/>
    <cellStyle name="Normal 3 11 2 2" xfId="3010"/>
    <cellStyle name="Normal 3 11 3" xfId="3454"/>
    <cellStyle name="Normal 3 11 4" xfId="2954"/>
    <cellStyle name="Normal 3 12" xfId="24"/>
    <cellStyle name="Normal 3 12 2" xfId="2870"/>
    <cellStyle name="Normal 3 12 3" xfId="2915"/>
    <cellStyle name="Normal 3 13" xfId="19"/>
    <cellStyle name="Normal 3 13 2" xfId="2955"/>
    <cellStyle name="Normal 3 14" xfId="2865"/>
    <cellStyle name="Normal 3 14 2" xfId="3011"/>
    <cellStyle name="Normal 3 15" xfId="3475"/>
    <cellStyle name="Normal 3 16" xfId="3476"/>
    <cellStyle name="Normal 3 17" xfId="2910"/>
    <cellStyle name="Normal 3 2" xfId="14"/>
    <cellStyle name="Normal 3 2 10" xfId="3477"/>
    <cellStyle name="Normal 3 2 11" xfId="2911"/>
    <cellStyle name="Normal 3 2 2" xfId="18"/>
    <cellStyle name="Normal 3 2 2 2" xfId="216"/>
    <cellStyle name="Normal 3 2 2 3" xfId="23"/>
    <cellStyle name="Normal 3 2 2 3 2" xfId="3480"/>
    <cellStyle name="Normal 3 2 2 4" xfId="2869"/>
    <cellStyle name="Normal 3 2 2 5" xfId="2914"/>
    <cellStyle name="Normal 3 2 3" xfId="2529"/>
    <cellStyle name="Normal 3 2 3 2" xfId="2853"/>
    <cellStyle name="Normal 3 2 3 2 2" xfId="2900"/>
    <cellStyle name="Normal 3 2 3 2 2 2" xfId="3001"/>
    <cellStyle name="Normal 3 2 3 2 3" xfId="3445"/>
    <cellStyle name="Normal 3 2 3 2 4" xfId="2945"/>
    <cellStyle name="Normal 3 2 3 3" xfId="2883"/>
    <cellStyle name="Normal 3 2 3 3 2" xfId="2984"/>
    <cellStyle name="Normal 3 2 3 4" xfId="3427"/>
    <cellStyle name="Normal 3 2 3 5" xfId="2928"/>
    <cellStyle name="Normal 3 2 4" xfId="35"/>
    <cellStyle name="Normal 3 2 4 2" xfId="2847"/>
    <cellStyle name="Normal 3 2 4 2 2" xfId="2894"/>
    <cellStyle name="Normal 3 2 4 2 2 2" xfId="2995"/>
    <cellStyle name="Normal 3 2 4 2 3" xfId="3439"/>
    <cellStyle name="Normal 3 2 4 2 4" xfId="2939"/>
    <cellStyle name="Normal 3 2 4 3" xfId="2877"/>
    <cellStyle name="Normal 3 2 4 3 2" xfId="2962"/>
    <cellStyle name="Normal 3 2 4 4" xfId="3022"/>
    <cellStyle name="Normal 3 2 4 5" xfId="2922"/>
    <cellStyle name="Normal 3 2 5" xfId="28"/>
    <cellStyle name="Normal 3 2 5 2" xfId="2874"/>
    <cellStyle name="Normal 3 2 5 2 2" xfId="2959"/>
    <cellStyle name="Normal 3 2 5 3" xfId="3015"/>
    <cellStyle name="Normal 3 2 5 4" xfId="2919"/>
    <cellStyle name="Normal 3 2 6" xfId="2844"/>
    <cellStyle name="Normal 3 2 6 2" xfId="2891"/>
    <cellStyle name="Normal 3 2 6 2 2" xfId="2992"/>
    <cellStyle name="Normal 3 2 6 3" xfId="3436"/>
    <cellStyle name="Normal 3 2 6 4" xfId="2936"/>
    <cellStyle name="Normal 3 2 7" xfId="25"/>
    <cellStyle name="Normal 3 2 7 2" xfId="2871"/>
    <cellStyle name="Normal 3 2 7 3" xfId="2916"/>
    <cellStyle name="Normal 3 2 8" xfId="20"/>
    <cellStyle name="Normal 3 2 8 2" xfId="2956"/>
    <cellStyle name="Normal 3 2 9" xfId="2866"/>
    <cellStyle name="Normal 3 2 9 2" xfId="3012"/>
    <cellStyle name="Normal 3 3" xfId="217"/>
    <cellStyle name="Normal 3 3 2" xfId="218"/>
    <cellStyle name="Normal 3 3 2 2" xfId="2530"/>
    <cellStyle name="Normal 3 3 2 3" xfId="2972"/>
    <cellStyle name="Normal 3 3 3" xfId="2257"/>
    <cellStyle name="Normal 3 4" xfId="2258"/>
    <cellStyle name="Normal 3 4 2" xfId="2851"/>
    <cellStyle name="Normal 3 4 2 2" xfId="2898"/>
    <cellStyle name="Normal 3 4 2 2 2" xfId="2999"/>
    <cellStyle name="Normal 3 4 2 3" xfId="3443"/>
    <cellStyle name="Normal 3 4 2 4" xfId="2943"/>
    <cellStyle name="Normal 3 4 3" xfId="2881"/>
    <cellStyle name="Normal 3 4 3 2" xfId="2982"/>
    <cellStyle name="Normal 3 4 4" xfId="3419"/>
    <cellStyle name="Normal 3 4 5" xfId="2926"/>
    <cellStyle name="Normal 3 5" xfId="2536"/>
    <cellStyle name="Normal 3 5 2" xfId="2855"/>
    <cellStyle name="Normal 3 5 2 2" xfId="2902"/>
    <cellStyle name="Normal 3 5 2 2 2" xfId="3003"/>
    <cellStyle name="Normal 3 5 2 3" xfId="3447"/>
    <cellStyle name="Normal 3 5 2 4" xfId="2947"/>
    <cellStyle name="Normal 3 5 3" xfId="2885"/>
    <cellStyle name="Normal 3 5 3 2" xfId="2986"/>
    <cellStyle name="Normal 3 5 4" xfId="3429"/>
    <cellStyle name="Normal 3 5 5" xfId="2930"/>
    <cellStyle name="Normal 3 6" xfId="2539"/>
    <cellStyle name="Normal 3 6 2" xfId="2857"/>
    <cellStyle name="Normal 3 6 2 2" xfId="2904"/>
    <cellStyle name="Normal 3 6 2 2 2" xfId="3005"/>
    <cellStyle name="Normal 3 6 2 3" xfId="3449"/>
    <cellStyle name="Normal 3 6 2 4" xfId="2949"/>
    <cellStyle name="Normal 3 6 3" xfId="2887"/>
    <cellStyle name="Normal 3 6 3 2" xfId="2988"/>
    <cellStyle name="Normal 3 6 4" xfId="3431"/>
    <cellStyle name="Normal 3 6 5" xfId="2932"/>
    <cellStyle name="Normal 3 7" xfId="30"/>
    <cellStyle name="Normal 3 7 2" xfId="2846"/>
    <cellStyle name="Normal 3 7 2 2" xfId="2893"/>
    <cellStyle name="Normal 3 7 2 2 2" xfId="2994"/>
    <cellStyle name="Normal 3 7 2 3" xfId="3438"/>
    <cellStyle name="Normal 3 7 2 4" xfId="2938"/>
    <cellStyle name="Normal 3 7 3" xfId="2876"/>
    <cellStyle name="Normal 3 7 3 2" xfId="2961"/>
    <cellStyle name="Normal 3 7 4" xfId="3017"/>
    <cellStyle name="Normal 3 7 5" xfId="2921"/>
    <cellStyle name="Normal 3 8" xfId="29"/>
    <cellStyle name="Normal 3 8 2" xfId="2845"/>
    <cellStyle name="Normal 3 8 2 2" xfId="2892"/>
    <cellStyle name="Normal 3 8 2 2 2" xfId="2993"/>
    <cellStyle name="Normal 3 8 2 3" xfId="3437"/>
    <cellStyle name="Normal 3 8 2 4" xfId="2937"/>
    <cellStyle name="Normal 3 8 3" xfId="2875"/>
    <cellStyle name="Normal 3 8 3 2" xfId="2960"/>
    <cellStyle name="Normal 3 8 4" xfId="3016"/>
    <cellStyle name="Normal 3 8 5" xfId="2920"/>
    <cellStyle name="Normal 3 9" xfId="27"/>
    <cellStyle name="Normal 3 9 2" xfId="2873"/>
    <cellStyle name="Normal 3 9 2 2" xfId="2958"/>
    <cellStyle name="Normal 3 9 3" xfId="3014"/>
    <cellStyle name="Normal 3 9 4" xfId="2918"/>
    <cellStyle name="Normal 4" xfId="16"/>
    <cellStyle name="Normal 4 10" xfId="2867"/>
    <cellStyle name="Normal 4 10 2" xfId="3013"/>
    <cellStyle name="Normal 4 11" xfId="3478"/>
    <cellStyle name="Normal 4 12" xfId="2912"/>
    <cellStyle name="Normal 4 2" xfId="2259"/>
    <cellStyle name="Normal 4 2 2" xfId="2852"/>
    <cellStyle name="Normal 4 2 2 2" xfId="2899"/>
    <cellStyle name="Normal 4 2 2 2 2" xfId="3000"/>
    <cellStyle name="Normal 4 2 2 3" xfId="3444"/>
    <cellStyle name="Normal 4 2 2 4" xfId="2944"/>
    <cellStyle name="Normal 4 2 3" xfId="2882"/>
    <cellStyle name="Normal 4 2 3 2" xfId="2983"/>
    <cellStyle name="Normal 4 2 4" xfId="3420"/>
    <cellStyle name="Normal 4 2 5" xfId="2927"/>
    <cellStyle name="Normal 4 3" xfId="2537"/>
    <cellStyle name="Normal 4 3 2" xfId="2856"/>
    <cellStyle name="Normal 4 3 2 2" xfId="2903"/>
    <cellStyle name="Normal 4 3 2 2 2" xfId="3004"/>
    <cellStyle name="Normal 4 3 2 3" xfId="3448"/>
    <cellStyle name="Normal 4 3 2 4" xfId="2948"/>
    <cellStyle name="Normal 4 3 3" xfId="2886"/>
    <cellStyle name="Normal 4 3 3 2" xfId="2987"/>
    <cellStyle name="Normal 4 3 4" xfId="3430"/>
    <cellStyle name="Normal 4 3 5" xfId="2931"/>
    <cellStyle name="Normal 4 4" xfId="2541"/>
    <cellStyle name="Normal 4 4 2" xfId="2859"/>
    <cellStyle name="Normal 4 4 2 2" xfId="2906"/>
    <cellStyle name="Normal 4 4 2 2 2" xfId="3007"/>
    <cellStyle name="Normal 4 4 2 3" xfId="3451"/>
    <cellStyle name="Normal 4 4 2 4" xfId="2951"/>
    <cellStyle name="Normal 4 4 3" xfId="2889"/>
    <cellStyle name="Normal 4 4 3 2" xfId="2990"/>
    <cellStyle name="Normal 4 4 4" xfId="3433"/>
    <cellStyle name="Normal 4 4 5" xfId="2934"/>
    <cellStyle name="Normal 4 5" xfId="219"/>
    <cellStyle name="Normal 4 5 2" xfId="2879"/>
    <cellStyle name="Normal 4 5 2 2" xfId="2973"/>
    <cellStyle name="Normal 4 5 3" xfId="3034"/>
    <cellStyle name="Normal 4 5 4" xfId="2924"/>
    <cellStyle name="Normal 4 6" xfId="2849"/>
    <cellStyle name="Normal 4 6 2" xfId="2896"/>
    <cellStyle name="Normal 4 6 2 2" xfId="2997"/>
    <cellStyle name="Normal 4 6 3" xfId="3441"/>
    <cellStyle name="Normal 4 6 4" xfId="2941"/>
    <cellStyle name="Normal 4 7" xfId="2864"/>
    <cellStyle name="Normal 4 8" xfId="26"/>
    <cellStyle name="Normal 4 8 2" xfId="2872"/>
    <cellStyle name="Normal 4 8 3" xfId="2917"/>
    <cellStyle name="Normal 4 9" xfId="21"/>
    <cellStyle name="Normal 4 9 2" xfId="2957"/>
    <cellStyle name="Normal 5" xfId="17"/>
    <cellStyle name="Normal 5 2" xfId="2260"/>
    <cellStyle name="Normal 5 3" xfId="220"/>
    <cellStyle name="Normal 5 4" xfId="22"/>
    <cellStyle name="Normal 5 4 2" xfId="3479"/>
    <cellStyle name="Normal 5 5" xfId="2868"/>
    <cellStyle name="Normal 5 6" xfId="2913"/>
    <cellStyle name="Normal 6" xfId="2538"/>
    <cellStyle name="Normal 6 2" xfId="2261"/>
    <cellStyle name="Normal 7" xfId="2860"/>
    <cellStyle name="Normal 7 2" xfId="2262"/>
    <cellStyle name="Normal 7 3" xfId="2907"/>
    <cellStyle name="Normal 7 3 2" xfId="3008"/>
    <cellStyle name="Normal 7 4" xfId="3452"/>
    <cellStyle name="Normal 7 5" xfId="2952"/>
    <cellStyle name="Normal 8" xfId="3473"/>
    <cellStyle name="Normal 8 2" xfId="2263"/>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4</xdr:row>
          <xdr:rowOff>152400</xdr:rowOff>
        </xdr:from>
        <xdr:to>
          <xdr:col>1</xdr:col>
          <xdr:colOff>1352550</xdr:colOff>
          <xdr:row>9</xdr:row>
          <xdr:rowOff>28575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47B73451-9F44-49D0-B6E4-53B9E294CBB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83" t="s">
        <v>405</v>
      </c>
      <c r="J1" s="2084"/>
      <c r="K1" s="2084"/>
      <c r="L1" s="2084"/>
      <c r="M1" s="2084"/>
      <c r="N1" s="2084"/>
      <c r="O1" s="2084"/>
      <c r="P1" s="2084"/>
      <c r="Q1" s="2084"/>
      <c r="R1" s="2084"/>
      <c r="S1" s="2084"/>
    </row>
    <row r="2" spans="1:28" ht="12" customHeight="1" x14ac:dyDescent="0.2">
      <c r="A2" s="47" t="s">
        <v>1993</v>
      </c>
      <c r="D2" s="48"/>
      <c r="I2" s="2085" t="s">
        <v>979</v>
      </c>
      <c r="J2" s="2084"/>
      <c r="K2" s="2084"/>
      <c r="L2" s="2084"/>
      <c r="M2" s="2084"/>
      <c r="N2" s="2084"/>
      <c r="O2" s="2084"/>
      <c r="P2" s="2084"/>
      <c r="Q2" s="2084"/>
      <c r="R2" s="2084"/>
      <c r="S2" s="2084"/>
    </row>
    <row r="3" spans="1:28" ht="12" customHeight="1" x14ac:dyDescent="0.2">
      <c r="A3" s="155" t="s">
        <v>1945</v>
      </c>
      <c r="B3" s="156"/>
      <c r="C3" s="156"/>
      <c r="D3" s="157"/>
      <c r="I3" s="2085" t="s">
        <v>52</v>
      </c>
      <c r="J3" s="2084"/>
      <c r="K3" s="2084"/>
      <c r="L3" s="2084"/>
      <c r="M3" s="2084"/>
      <c r="N3" s="2084"/>
      <c r="O3" s="2084"/>
      <c r="P3" s="2084"/>
      <c r="Q3" s="2084"/>
      <c r="R3" s="2084"/>
      <c r="S3" s="2084"/>
    </row>
    <row r="4" spans="1:28" ht="12" customHeight="1" x14ac:dyDescent="0.2">
      <c r="A4" s="37"/>
      <c r="I4" s="2085" t="s">
        <v>524</v>
      </c>
      <c r="J4" s="2084"/>
      <c r="K4" s="2084"/>
      <c r="L4" s="2084"/>
      <c r="M4" s="2084"/>
      <c r="N4" s="2084"/>
      <c r="O4" s="2084"/>
      <c r="P4" s="2084"/>
      <c r="Q4" s="2084"/>
      <c r="R4" s="2084"/>
      <c r="S4" s="2084"/>
    </row>
    <row r="5" spans="1:28" ht="14.1" customHeight="1" x14ac:dyDescent="0.2">
      <c r="B5" s="104" t="s">
        <v>2075</v>
      </c>
      <c r="C5" s="26" t="s">
        <v>910</v>
      </c>
      <c r="D5" s="84"/>
      <c r="E5" s="84"/>
      <c r="H5" s="38"/>
      <c r="I5" s="2092" t="s">
        <v>680</v>
      </c>
      <c r="J5" s="2037"/>
      <c r="K5" s="2037"/>
      <c r="L5" s="2037"/>
      <c r="M5" s="2037"/>
      <c r="N5" s="2037"/>
      <c r="O5" s="2037"/>
      <c r="P5" s="2037"/>
      <c r="Q5" s="2037"/>
      <c r="R5" s="2037"/>
      <c r="S5" s="2037"/>
    </row>
    <row r="6" spans="1:28" ht="14.1" customHeight="1" x14ac:dyDescent="0.2">
      <c r="B6" s="104"/>
      <c r="C6" s="26" t="s">
        <v>911</v>
      </c>
      <c r="D6" s="84"/>
      <c r="E6" s="84"/>
      <c r="I6" s="2091" t="s">
        <v>883</v>
      </c>
      <c r="J6" s="2037"/>
      <c r="K6" s="2037"/>
      <c r="L6" s="2037"/>
      <c r="M6" s="2037"/>
      <c r="N6" s="2037"/>
      <c r="O6" s="2037"/>
      <c r="P6" s="2037"/>
      <c r="Q6" s="2037"/>
      <c r="R6" s="2037"/>
      <c r="S6" s="2037"/>
    </row>
    <row r="7" spans="1:28" ht="12.2" customHeight="1" x14ac:dyDescent="0.2">
      <c r="I7" s="2086">
        <v>43646</v>
      </c>
      <c r="J7" s="2087"/>
      <c r="K7" s="2087"/>
      <c r="L7" s="2087"/>
      <c r="M7" s="2087"/>
      <c r="N7" s="2087"/>
      <c r="O7" s="2087"/>
      <c r="P7" s="2087"/>
      <c r="Q7" s="2087"/>
      <c r="R7" s="2087"/>
      <c r="S7" s="20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8" t="s">
        <v>674</v>
      </c>
      <c r="J9" s="2089"/>
      <c r="K9" s="2089"/>
      <c r="L9" s="2089"/>
      <c r="M9" s="2089"/>
      <c r="N9" s="2089"/>
      <c r="O9" s="2089"/>
      <c r="P9" s="2089"/>
      <c r="Q9" s="2089"/>
      <c r="R9" s="2089"/>
      <c r="S9" s="2090"/>
      <c r="T9" s="2033" t="s">
        <v>533</v>
      </c>
      <c r="U9" s="2034"/>
      <c r="V9" s="2034"/>
      <c r="W9" s="2034"/>
      <c r="X9" s="2034"/>
      <c r="Y9" s="2034"/>
      <c r="Z9" s="2034"/>
      <c r="AA9" s="2035"/>
    </row>
    <row r="10" spans="1:28" ht="13.5" customHeight="1" x14ac:dyDescent="0.2">
      <c r="A10" s="2042" t="s">
        <v>675</v>
      </c>
      <c r="B10" s="2043"/>
      <c r="C10" s="2043"/>
      <c r="D10" s="2043"/>
      <c r="E10" s="2043"/>
      <c r="F10" s="2043"/>
      <c r="G10" s="2043"/>
      <c r="H10" s="2044"/>
      <c r="I10" s="29"/>
      <c r="J10" s="30"/>
      <c r="K10" s="28"/>
      <c r="R10" s="30"/>
      <c r="S10" s="30"/>
      <c r="T10" s="2036"/>
      <c r="U10" s="2037"/>
      <c r="V10" s="2037"/>
      <c r="W10" s="2037"/>
      <c r="X10" s="2037"/>
      <c r="Y10" s="2037"/>
      <c r="Z10" s="2037"/>
      <c r="AA10" s="2038"/>
    </row>
    <row r="11" spans="1:28" ht="14.25" customHeight="1" x14ac:dyDescent="0.2">
      <c r="A11" s="2045" t="s">
        <v>955</v>
      </c>
      <c r="B11" s="2046"/>
      <c r="C11" s="2046"/>
      <c r="D11" s="2046"/>
      <c r="E11" s="2046"/>
      <c r="F11" s="2046"/>
      <c r="G11" s="2046"/>
      <c r="H11" s="2047"/>
      <c r="I11" s="27"/>
      <c r="J11" s="74"/>
      <c r="K11" s="27"/>
      <c r="O11" s="148" t="s">
        <v>2075</v>
      </c>
      <c r="P11" s="100" t="s">
        <v>201</v>
      </c>
      <c r="Q11" s="30"/>
      <c r="R11" s="28"/>
      <c r="S11" s="27"/>
      <c r="T11" s="2039"/>
      <c r="U11" s="2040"/>
      <c r="V11" s="2040"/>
      <c r="W11" s="2040"/>
      <c r="X11" s="2040"/>
      <c r="Y11" s="2040"/>
      <c r="Z11" s="2040"/>
      <c r="AA11" s="204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3">
        <v>44063157016</v>
      </c>
      <c r="B13" s="2054"/>
      <c r="C13" s="2054"/>
      <c r="D13" s="2054"/>
      <c r="E13" s="2054"/>
      <c r="F13" s="2054"/>
      <c r="G13" s="2054"/>
      <c r="H13" s="2055"/>
      <c r="I13" s="31"/>
      <c r="J13" s="30"/>
      <c r="K13" s="28"/>
      <c r="L13" s="30"/>
      <c r="M13" s="30"/>
      <c r="N13" s="30"/>
      <c r="O13" s="30"/>
      <c r="P13" s="30"/>
      <c r="Q13" s="30"/>
      <c r="R13" s="30"/>
      <c r="S13" s="30"/>
      <c r="T13" s="2058" t="s">
        <v>2064</v>
      </c>
      <c r="U13" s="2059"/>
      <c r="V13" s="2059"/>
      <c r="W13" s="2059"/>
      <c r="X13" s="2059"/>
      <c r="Y13" s="2060"/>
      <c r="Z13" s="2060"/>
      <c r="AA13" s="206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1" t="s">
        <v>2066</v>
      </c>
      <c r="B15" s="2056"/>
      <c r="C15" s="2056"/>
      <c r="D15" s="2056"/>
      <c r="E15" s="2056"/>
      <c r="F15" s="2056"/>
      <c r="G15" s="2056"/>
      <c r="H15" s="2057"/>
      <c r="T15" s="2019" t="s">
        <v>2076</v>
      </c>
      <c r="U15" s="2020"/>
      <c r="V15" s="2020"/>
      <c r="W15" s="2020"/>
      <c r="X15" s="2020"/>
      <c r="Y15" s="2062"/>
      <c r="Z15" s="2062"/>
      <c r="AA15" s="206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1" t="s">
        <v>2101</v>
      </c>
      <c r="B17" s="2081"/>
      <c r="C17" s="2081"/>
      <c r="D17" s="2081"/>
      <c r="E17" s="2081"/>
      <c r="F17" s="2081"/>
      <c r="G17" s="2081"/>
      <c r="H17" s="2082"/>
      <c r="T17" s="2068" t="s">
        <v>2065</v>
      </c>
      <c r="U17" s="2069"/>
      <c r="V17" s="2069"/>
      <c r="W17" s="2069"/>
      <c r="X17" s="2069"/>
      <c r="Y17" s="2069"/>
      <c r="Z17" s="2069"/>
      <c r="AA17" s="2070"/>
    </row>
    <row r="18" spans="1:27" ht="13.5" customHeight="1" x14ac:dyDescent="0.2">
      <c r="A18" s="85" t="s">
        <v>530</v>
      </c>
      <c r="B18" s="76"/>
      <c r="C18" s="72"/>
      <c r="D18" s="76"/>
      <c r="E18" s="76"/>
      <c r="F18" s="76"/>
      <c r="G18" s="76"/>
      <c r="H18" s="56"/>
      <c r="I18" s="2078" t="s">
        <v>676</v>
      </c>
      <c r="J18" s="2079"/>
      <c r="K18" s="2079"/>
      <c r="L18" s="2079"/>
      <c r="M18" s="2079"/>
      <c r="N18" s="2079"/>
      <c r="O18" s="2079"/>
      <c r="P18" s="2079"/>
      <c r="Q18" s="2079"/>
      <c r="R18" s="2079"/>
      <c r="S18" s="2080"/>
      <c r="T18" s="85" t="s">
        <v>711</v>
      </c>
      <c r="U18" s="51"/>
      <c r="V18" s="72"/>
      <c r="W18" s="50"/>
      <c r="X18" s="85" t="s">
        <v>266</v>
      </c>
      <c r="Y18" s="81"/>
      <c r="Z18" s="159" t="s">
        <v>677</v>
      </c>
      <c r="AA18" s="46"/>
    </row>
    <row r="19" spans="1:27" ht="13.5" customHeight="1" x14ac:dyDescent="0.2">
      <c r="A19" s="2051" t="s">
        <v>2072</v>
      </c>
      <c r="B19" s="2052"/>
      <c r="C19" s="2052"/>
      <c r="D19" s="2052"/>
      <c r="E19" s="2052"/>
      <c r="F19" s="2052"/>
      <c r="G19" s="2052"/>
      <c r="H19" s="2050"/>
      <c r="I19" s="30"/>
      <c r="J19" s="99"/>
      <c r="K19" s="40"/>
      <c r="L19" s="38"/>
      <c r="M19" s="112" t="s">
        <v>315</v>
      </c>
      <c r="P19" s="27"/>
      <c r="Q19" s="27"/>
      <c r="R19" s="27"/>
      <c r="S19" s="31"/>
      <c r="T19" s="2051" t="s">
        <v>2066</v>
      </c>
      <c r="U19" s="2049"/>
      <c r="V19" s="2049"/>
      <c r="W19" s="2050"/>
      <c r="X19" s="2066" t="s">
        <v>2067</v>
      </c>
      <c r="Y19" s="2067"/>
      <c r="Z19" s="2064">
        <v>60050</v>
      </c>
      <c r="AA19" s="206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48" t="s">
        <v>2073</v>
      </c>
      <c r="B21" s="2049"/>
      <c r="C21" s="2049"/>
      <c r="D21" s="2049"/>
      <c r="E21" s="2049"/>
      <c r="F21" s="2049"/>
      <c r="G21" s="2049"/>
      <c r="H21" s="2050"/>
      <c r="I21" s="2074" t="s">
        <v>678</v>
      </c>
      <c r="J21" s="2037"/>
      <c r="K21" s="2037"/>
      <c r="L21" s="2037"/>
      <c r="M21" s="2037"/>
      <c r="N21" s="2037"/>
      <c r="O21" s="2037"/>
      <c r="P21" s="2037"/>
      <c r="Q21" s="2037"/>
      <c r="R21" s="2037"/>
      <c r="S21" s="2038"/>
      <c r="T21" s="2016" t="s">
        <v>2068</v>
      </c>
      <c r="U21" s="2017"/>
      <c r="V21" s="2017"/>
      <c r="W21" s="2017"/>
      <c r="X21" s="2030" t="s">
        <v>2069</v>
      </c>
      <c r="Y21" s="2031"/>
      <c r="Z21" s="2031"/>
      <c r="AA21" s="2032"/>
    </row>
    <row r="22" spans="1:27" ht="13.5" customHeight="1" x14ac:dyDescent="0.2">
      <c r="A22" s="87" t="s">
        <v>531</v>
      </c>
      <c r="B22" s="59"/>
      <c r="C22" s="59"/>
      <c r="D22" s="59"/>
      <c r="E22" s="59"/>
      <c r="F22" s="59"/>
      <c r="G22" s="59"/>
      <c r="H22" s="60"/>
      <c r="I22" s="2075" t="s">
        <v>1429</v>
      </c>
      <c r="J22" s="2076"/>
      <c r="K22" s="2076"/>
      <c r="L22" s="2076"/>
      <c r="M22" s="2076"/>
      <c r="N22" s="2076"/>
      <c r="O22" s="2076"/>
      <c r="P22" s="2076"/>
      <c r="Q22" s="2076"/>
      <c r="R22" s="2076"/>
      <c r="S22" s="2077"/>
      <c r="T22" s="85" t="s">
        <v>1516</v>
      </c>
      <c r="U22" s="51"/>
      <c r="V22" s="72"/>
      <c r="W22" s="51"/>
      <c r="X22" s="160" t="s">
        <v>1318</v>
      </c>
      <c r="Z22" s="45"/>
      <c r="AA22" s="46"/>
    </row>
    <row r="23" spans="1:27" ht="13.5" customHeight="1" x14ac:dyDescent="0.2">
      <c r="A23" s="2071" t="s">
        <v>2074</v>
      </c>
      <c r="B23" s="2072"/>
      <c r="C23" s="2072"/>
      <c r="D23" s="2072"/>
      <c r="E23" s="2072"/>
      <c r="F23" s="2072"/>
      <c r="G23" s="2072"/>
      <c r="H23" s="2073"/>
      <c r="T23" s="2011" t="s">
        <v>2070</v>
      </c>
      <c r="U23" s="2012"/>
      <c r="V23" s="2012"/>
      <c r="W23" s="2012"/>
      <c r="X23" s="2027">
        <v>44530</v>
      </c>
      <c r="Y23" s="2028"/>
      <c r="Z23" s="2028"/>
      <c r="AA23" s="2029"/>
    </row>
    <row r="24" spans="1:27" ht="14.1" customHeight="1" x14ac:dyDescent="0.2">
      <c r="A24" s="88" t="s">
        <v>677</v>
      </c>
      <c r="B24" s="49"/>
      <c r="C24" s="49"/>
      <c r="D24" s="49"/>
      <c r="E24" s="49"/>
      <c r="F24" s="49"/>
      <c r="G24" s="49"/>
      <c r="H24" s="61"/>
      <c r="J24" s="2113">
        <f>IF(B5="x",IF(AUDITCHECK!D29="AFR form Incomplete.","",IF(AUDITCHECK!D29="Deficit reduction plan is required.","School District must complete a deficit reduction plan in the 2019-2020 Budget",)),"")</f>
        <v>0</v>
      </c>
      <c r="K24" s="2113"/>
      <c r="L24" s="2113"/>
      <c r="M24" s="2113"/>
      <c r="N24" s="2113"/>
      <c r="O24" s="2113"/>
      <c r="P24" s="2113"/>
      <c r="Q24" s="2113"/>
      <c r="R24" s="2113"/>
      <c r="S24" s="2114"/>
      <c r="T24" s="105" t="s">
        <v>531</v>
      </c>
      <c r="U24" s="106"/>
      <c r="V24" s="106"/>
      <c r="W24" s="106"/>
      <c r="X24" s="107"/>
      <c r="Y24" s="107"/>
      <c r="Z24" s="107"/>
      <c r="AA24" s="108"/>
    </row>
    <row r="25" spans="1:27" ht="14.1" customHeight="1" x14ac:dyDescent="0.2">
      <c r="A25" s="2048">
        <v>60071</v>
      </c>
      <c r="B25" s="2049"/>
      <c r="C25" s="2049"/>
      <c r="D25" s="2049"/>
      <c r="E25" s="2049"/>
      <c r="F25" s="2049"/>
      <c r="G25" s="2049"/>
      <c r="H25" s="2050"/>
      <c r="I25" s="113"/>
      <c r="J25" s="2115"/>
      <c r="K25" s="2115"/>
      <c r="L25" s="2115"/>
      <c r="M25" s="2115"/>
      <c r="N25" s="2115"/>
      <c r="O25" s="2115"/>
      <c r="P25" s="2115"/>
      <c r="Q25" s="2115"/>
      <c r="R25" s="2115"/>
      <c r="S25" s="2116"/>
      <c r="T25" s="2008" t="s">
        <v>2071</v>
      </c>
      <c r="U25" s="2009"/>
      <c r="V25" s="2009"/>
      <c r="W25" s="2009"/>
      <c r="X25" s="2009"/>
      <c r="Y25" s="2009"/>
      <c r="Z25" s="2009"/>
      <c r="AA25" s="20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6" t="s">
        <v>1511</v>
      </c>
      <c r="J27" s="2079"/>
      <c r="K27" s="2079"/>
      <c r="L27" s="2079"/>
      <c r="M27" s="2079"/>
      <c r="N27" s="2079"/>
      <c r="O27" s="2079"/>
      <c r="P27" s="2079"/>
      <c r="Q27" s="2079"/>
      <c r="R27" s="2079"/>
      <c r="S27" s="208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2075</v>
      </c>
      <c r="M29" s="40" t="s">
        <v>99</v>
      </c>
      <c r="N29" s="32" t="s">
        <v>1523</v>
      </c>
      <c r="O29" s="32"/>
      <c r="P29" s="32"/>
      <c r="Q29" s="32"/>
      <c r="R29" s="32"/>
      <c r="S29" s="123"/>
      <c r="T29" s="6"/>
      <c r="U29" s="6"/>
      <c r="V29" s="6"/>
      <c r="W29" s="6"/>
      <c r="X29" s="6"/>
      <c r="Y29" s="6"/>
      <c r="Z29" s="6"/>
      <c r="AA29" s="132"/>
    </row>
    <row r="30" spans="1:27" ht="13.5" customHeight="1" x14ac:dyDescent="0.2">
      <c r="A30" s="153"/>
      <c r="B30" s="136" t="s">
        <v>2075</v>
      </c>
      <c r="C30" s="124" t="s">
        <v>1164</v>
      </c>
      <c r="D30" s="28"/>
      <c r="E30" s="28"/>
      <c r="F30" s="140"/>
      <c r="G30" s="114"/>
      <c r="H30" s="114"/>
      <c r="I30" s="54"/>
      <c r="J30" s="102"/>
      <c r="K30" s="28" t="s">
        <v>576</v>
      </c>
      <c r="L30" s="148" t="s">
        <v>2075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2"/>
      <c r="Q35" s="2049"/>
      <c r="R35" s="20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1"/>
      <c r="B38" s="2081"/>
      <c r="C38" s="2081"/>
      <c r="D38" s="2081"/>
      <c r="E38" s="2081"/>
      <c r="F38" s="2049"/>
      <c r="G38" s="2049"/>
      <c r="H38" s="2050"/>
      <c r="I38" s="2100"/>
      <c r="J38" s="2020"/>
      <c r="K38" s="2020"/>
      <c r="L38" s="2020"/>
      <c r="M38" s="2020"/>
      <c r="N38" s="2020"/>
      <c r="O38" s="2020"/>
      <c r="P38" s="2021"/>
      <c r="Q38" s="2021"/>
      <c r="R38" s="2021"/>
      <c r="S38" s="2022"/>
      <c r="T38" s="2019"/>
      <c r="U38" s="2020"/>
      <c r="V38" s="2020"/>
      <c r="W38" s="2020"/>
      <c r="X38" s="2021"/>
      <c r="Y38" s="2021"/>
      <c r="Z38" s="2021"/>
      <c r="AA38" s="2022"/>
    </row>
    <row r="39" spans="1:27" ht="12" customHeight="1" x14ac:dyDescent="0.2">
      <c r="A39" s="2104" t="s">
        <v>531</v>
      </c>
      <c r="B39" s="2105"/>
      <c r="C39" s="72"/>
      <c r="D39" s="69"/>
      <c r="E39" s="69"/>
      <c r="F39" s="79"/>
      <c r="G39" s="69"/>
      <c r="H39" s="56"/>
      <c r="I39" s="2104" t="s">
        <v>531</v>
      </c>
      <c r="J39" s="2105"/>
      <c r="K39" s="2105"/>
      <c r="L39" s="2105"/>
      <c r="M39" s="2105"/>
      <c r="N39" s="67"/>
      <c r="O39" s="72"/>
      <c r="P39" s="72"/>
      <c r="Q39" s="78"/>
      <c r="R39" s="72"/>
      <c r="S39" s="56"/>
      <c r="T39" s="72" t="s">
        <v>531</v>
      </c>
      <c r="U39" s="51"/>
      <c r="V39" s="72"/>
      <c r="W39" s="50"/>
      <c r="X39" s="78"/>
      <c r="Y39" s="45"/>
      <c r="Z39" s="45"/>
      <c r="AA39" s="46"/>
    </row>
    <row r="40" spans="1:27" ht="13.5" customHeight="1" x14ac:dyDescent="0.2">
      <c r="A40" s="2107"/>
      <c r="B40" s="2108"/>
      <c r="C40" s="2109"/>
      <c r="D40" s="2109"/>
      <c r="E40" s="2109"/>
      <c r="F40" s="2110"/>
      <c r="G40" s="2110"/>
      <c r="H40" s="2111"/>
      <c r="I40" s="2023"/>
      <c r="J40" s="2025"/>
      <c r="K40" s="2025"/>
      <c r="L40" s="2025"/>
      <c r="M40" s="2025"/>
      <c r="N40" s="2025"/>
      <c r="O40" s="2025"/>
      <c r="P40" s="2025"/>
      <c r="Q40" s="2025"/>
      <c r="R40" s="2025"/>
      <c r="S40" s="2026"/>
      <c r="T40" s="2023"/>
      <c r="U40" s="2024"/>
      <c r="V40" s="2025"/>
      <c r="W40" s="2025"/>
      <c r="X40" s="2025"/>
      <c r="Y40" s="2025"/>
      <c r="Z40" s="2025"/>
      <c r="AA40" s="202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7"/>
      <c r="B42" s="2098"/>
      <c r="C42" s="2099"/>
      <c r="D42" s="2112"/>
      <c r="E42" s="2098"/>
      <c r="F42" s="2098"/>
      <c r="G42" s="2098"/>
      <c r="H42" s="2099"/>
      <c r="I42" s="2018"/>
      <c r="J42" s="2014"/>
      <c r="K42" s="2014"/>
      <c r="L42" s="2014"/>
      <c r="M42" s="2014"/>
      <c r="N42" s="2014"/>
      <c r="O42" s="2015"/>
      <c r="P42" s="2013"/>
      <c r="Q42" s="2014"/>
      <c r="R42" s="2014"/>
      <c r="S42" s="2015"/>
      <c r="T42" s="2018"/>
      <c r="U42" s="2014"/>
      <c r="V42" s="2014"/>
      <c r="W42" s="2015"/>
      <c r="X42" s="2013"/>
      <c r="Y42" s="2014"/>
      <c r="Z42" s="2014"/>
      <c r="AA42" s="201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1"/>
      <c r="B44" s="2102"/>
      <c r="C44" s="2102"/>
      <c r="D44" s="2102"/>
      <c r="E44" s="2102"/>
      <c r="F44" s="2102"/>
      <c r="G44" s="2102"/>
      <c r="H44" s="2103"/>
      <c r="I44" s="2093"/>
      <c r="J44" s="2095"/>
      <c r="K44" s="2095"/>
      <c r="L44" s="2095"/>
      <c r="M44" s="2095"/>
      <c r="N44" s="2095"/>
      <c r="O44" s="2095"/>
      <c r="P44" s="2095"/>
      <c r="Q44" s="2095"/>
      <c r="R44" s="2095"/>
      <c r="S44" s="2096"/>
      <c r="T44" s="2093"/>
      <c r="U44" s="2094"/>
      <c r="V44" s="2094"/>
      <c r="W44" s="2094"/>
      <c r="X44" s="2094"/>
      <c r="Y44" s="2094"/>
      <c r="Z44" s="2095"/>
      <c r="AA44" s="209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0" t="s">
        <v>1065</v>
      </c>
      <c r="B35" s="2120"/>
      <c r="C35" s="2120"/>
      <c r="D35" s="2120"/>
      <c r="E35" s="21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7" t="s">
        <v>691</v>
      </c>
      <c r="B40" s="2117"/>
      <c r="C40" s="2117"/>
      <c r="D40" s="2117"/>
      <c r="E40" s="2117"/>
    </row>
    <row r="41" spans="1:5" x14ac:dyDescent="0.2">
      <c r="A41" s="2118" t="s">
        <v>1608</v>
      </c>
      <c r="B41" s="2118"/>
      <c r="C41" s="2118"/>
      <c r="D41" s="2118"/>
      <c r="E41" s="2118"/>
    </row>
    <row r="42" spans="1:5" ht="12.75" customHeight="1" x14ac:dyDescent="0.2">
      <c r="A42" s="2119" t="s">
        <v>1022</v>
      </c>
      <c r="B42" s="2119"/>
      <c r="C42" s="2119"/>
      <c r="D42" s="2119"/>
      <c r="E42" s="211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5" colorId="8" zoomScale="110" zoomScaleNormal="110" workbookViewId="0">
      <selection activeCell="P89" sqref="P8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1" t="s">
        <v>1168</v>
      </c>
      <c r="B2" s="2121"/>
      <c r="C2" s="2121"/>
      <c r="D2" s="2121"/>
      <c r="E2" s="2121"/>
      <c r="F2" s="2121"/>
      <c r="G2" s="2121"/>
      <c r="H2" s="2121"/>
      <c r="I2" s="2121"/>
      <c r="J2" s="212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2075</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5" t="s">
        <v>1633</v>
      </c>
      <c r="B35" s="2136"/>
      <c r="C35" s="2136"/>
      <c r="D35" s="2136"/>
      <c r="E35" s="2137"/>
      <c r="F35" s="2137"/>
      <c r="G35" s="2137"/>
      <c r="H35" s="2137"/>
      <c r="I35" s="213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5" t="s">
        <v>313</v>
      </c>
      <c r="B47" s="2138"/>
      <c r="C47" s="2138"/>
      <c r="D47" s="2138"/>
      <c r="E47" s="2139"/>
      <c r="F47" s="2139"/>
      <c r="G47" s="2139"/>
      <c r="H47" s="2139"/>
      <c r="I47" s="213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2075</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2" t="s">
        <v>2097</v>
      </c>
      <c r="C57" s="2143"/>
      <c r="D57" s="2143"/>
      <c r="E57" s="2143"/>
      <c r="F57" s="2143"/>
      <c r="G57" s="2143"/>
      <c r="H57" s="2143"/>
      <c r="I57" s="2143"/>
      <c r="J57" s="2144"/>
    </row>
    <row r="58" spans="1:10" s="181" customFormat="1" x14ac:dyDescent="0.2">
      <c r="A58" s="253"/>
      <c r="B58" s="2145"/>
      <c r="C58" s="2146"/>
      <c r="D58" s="2146"/>
      <c r="E58" s="2146"/>
      <c r="F58" s="2146"/>
      <c r="G58" s="2146"/>
      <c r="H58" s="2146"/>
      <c r="I58" s="2146"/>
      <c r="J58" s="2147"/>
    </row>
    <row r="59" spans="1:10" s="181" customFormat="1" x14ac:dyDescent="0.2">
      <c r="A59" s="253"/>
      <c r="B59" s="2145"/>
      <c r="C59" s="2146"/>
      <c r="D59" s="2146"/>
      <c r="E59" s="2146"/>
      <c r="F59" s="2146"/>
      <c r="G59" s="2146"/>
      <c r="H59" s="2146"/>
      <c r="I59" s="2146"/>
      <c r="J59" s="2147"/>
    </row>
    <row r="60" spans="1:10" s="181" customFormat="1" x14ac:dyDescent="0.2">
      <c r="A60" s="253"/>
      <c r="B60" s="2145"/>
      <c r="C60" s="2146"/>
      <c r="D60" s="2146"/>
      <c r="E60" s="2146"/>
      <c r="F60" s="2146"/>
      <c r="G60" s="2146"/>
      <c r="H60" s="2146"/>
      <c r="I60" s="2146"/>
      <c r="J60" s="2147"/>
    </row>
    <row r="61" spans="1:10" s="181" customFormat="1" x14ac:dyDescent="0.2">
      <c r="A61" s="253"/>
      <c r="B61" s="2145"/>
      <c r="C61" s="2146"/>
      <c r="D61" s="2146"/>
      <c r="E61" s="2146"/>
      <c r="F61" s="2146"/>
      <c r="G61" s="2146"/>
      <c r="H61" s="2146"/>
      <c r="I61" s="2146"/>
      <c r="J61" s="2147"/>
    </row>
    <row r="62" spans="1:10" s="181" customFormat="1" x14ac:dyDescent="0.2">
      <c r="A62" s="253"/>
      <c r="B62" s="2145"/>
      <c r="C62" s="2146"/>
      <c r="D62" s="2146"/>
      <c r="E62" s="2146"/>
      <c r="F62" s="2146"/>
      <c r="G62" s="2146"/>
      <c r="H62" s="2146"/>
      <c r="I62" s="2146"/>
      <c r="J62" s="2147"/>
    </row>
    <row r="63" spans="1:10" s="181" customFormat="1" x14ac:dyDescent="0.2">
      <c r="A63" s="253"/>
      <c r="B63" s="2145"/>
      <c r="C63" s="2146"/>
      <c r="D63" s="2146"/>
      <c r="E63" s="2146"/>
      <c r="F63" s="2146"/>
      <c r="G63" s="2146"/>
      <c r="H63" s="2146"/>
      <c r="I63" s="2146"/>
      <c r="J63" s="2147"/>
    </row>
    <row r="64" spans="1:10" s="181" customFormat="1" x14ac:dyDescent="0.2">
      <c r="A64" s="253"/>
      <c r="B64" s="2145"/>
      <c r="C64" s="2146"/>
      <c r="D64" s="2146"/>
      <c r="E64" s="2146"/>
      <c r="F64" s="2146"/>
      <c r="G64" s="2146"/>
      <c r="H64" s="2146"/>
      <c r="I64" s="2146"/>
      <c r="J64" s="2147"/>
    </row>
    <row r="65" spans="1:10" s="181" customFormat="1" x14ac:dyDescent="0.2">
      <c r="A65" s="253"/>
      <c r="B65" s="2145"/>
      <c r="C65" s="2146"/>
      <c r="D65" s="2146"/>
      <c r="E65" s="2146"/>
      <c r="F65" s="2146"/>
      <c r="G65" s="2146"/>
      <c r="H65" s="2146"/>
      <c r="I65" s="2146"/>
      <c r="J65" s="2147"/>
    </row>
    <row r="66" spans="1:10" s="181" customFormat="1" x14ac:dyDescent="0.2">
      <c r="A66" s="253"/>
      <c r="B66" s="2145"/>
      <c r="C66" s="2146"/>
      <c r="D66" s="2146"/>
      <c r="E66" s="2146"/>
      <c r="F66" s="2146"/>
      <c r="G66" s="2146"/>
      <c r="H66" s="2146"/>
      <c r="I66" s="2146"/>
      <c r="J66" s="2147"/>
    </row>
    <row r="67" spans="1:10" s="181" customFormat="1" ht="9" customHeight="1" x14ac:dyDescent="0.2">
      <c r="A67" s="254"/>
      <c r="B67" s="2148"/>
      <c r="C67" s="2149"/>
      <c r="D67" s="2149"/>
      <c r="E67" s="2149"/>
      <c r="F67" s="2149"/>
      <c r="G67" s="2149"/>
      <c r="H67" s="2149"/>
      <c r="I67" s="2149"/>
      <c r="J67" s="21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5" t="s">
        <v>1323</v>
      </c>
      <c r="B70" s="2138"/>
      <c r="C70" s="2138"/>
      <c r="D70" s="2138"/>
      <c r="E70" s="2139"/>
      <c r="F70" s="2139"/>
      <c r="G70" s="2139"/>
      <c r="H70" s="2139"/>
      <c r="I70" s="213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0" t="s">
        <v>1320</v>
      </c>
      <c r="B83" s="2140"/>
      <c r="C83" s="2140"/>
      <c r="D83" s="214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2"/>
      <c r="C102" s="2123"/>
      <c r="D102" s="2123"/>
      <c r="E102" s="2123"/>
      <c r="F102" s="2123"/>
      <c r="G102" s="2123"/>
      <c r="H102" s="2123"/>
      <c r="I102" s="2124"/>
    </row>
    <row r="103" spans="1:9" s="181" customFormat="1" ht="11.25" customHeight="1" x14ac:dyDescent="0.2">
      <c r="A103" s="316"/>
      <c r="B103" s="2125"/>
      <c r="C103" s="2126"/>
      <c r="D103" s="2126"/>
      <c r="E103" s="2126"/>
      <c r="F103" s="2126"/>
      <c r="G103" s="2126"/>
      <c r="H103" s="2126"/>
      <c r="I103" s="2127"/>
    </row>
    <row r="104" spans="1:9" s="181" customFormat="1" ht="11.25" customHeight="1" x14ac:dyDescent="0.2">
      <c r="A104" s="316"/>
      <c r="B104" s="2125"/>
      <c r="C104" s="2126"/>
      <c r="D104" s="2126"/>
      <c r="E104" s="2126"/>
      <c r="F104" s="2126"/>
      <c r="G104" s="2126"/>
      <c r="H104" s="2126"/>
      <c r="I104" s="2127"/>
    </row>
    <row r="105" spans="1:9" s="181" customFormat="1" x14ac:dyDescent="0.2">
      <c r="A105" s="316"/>
      <c r="B105" s="2125"/>
      <c r="C105" s="2126"/>
      <c r="D105" s="2126"/>
      <c r="E105" s="2126"/>
      <c r="F105" s="2126"/>
      <c r="G105" s="2126"/>
      <c r="H105" s="2126"/>
      <c r="I105" s="2127"/>
    </row>
    <row r="106" spans="1:9" s="181" customFormat="1" ht="11.25" customHeight="1" x14ac:dyDescent="0.2">
      <c r="A106" s="316"/>
      <c r="B106" s="2125"/>
      <c r="C106" s="2126"/>
      <c r="D106" s="2126"/>
      <c r="E106" s="2126"/>
      <c r="F106" s="2126"/>
      <c r="G106" s="2126"/>
      <c r="H106" s="2126"/>
      <c r="I106" s="2127"/>
    </row>
    <row r="107" spans="1:9" s="181" customFormat="1" ht="11.25" customHeight="1" x14ac:dyDescent="0.2">
      <c r="A107" s="316"/>
      <c r="B107" s="2125"/>
      <c r="C107" s="2126"/>
      <c r="D107" s="2126"/>
      <c r="E107" s="2126"/>
      <c r="F107" s="2126"/>
      <c r="G107" s="2126"/>
      <c r="H107" s="2126"/>
      <c r="I107" s="2127"/>
    </row>
    <row r="108" spans="1:9" s="181" customFormat="1" ht="11.25" customHeight="1" x14ac:dyDescent="0.2">
      <c r="A108" s="316"/>
      <c r="B108" s="2125"/>
      <c r="C108" s="2126"/>
      <c r="D108" s="2126"/>
      <c r="E108" s="2126"/>
      <c r="F108" s="2126"/>
      <c r="G108" s="2126"/>
      <c r="H108" s="2126"/>
      <c r="I108" s="2127"/>
    </row>
    <row r="109" spans="1:9" s="181" customFormat="1" ht="11.25" customHeight="1" x14ac:dyDescent="0.2">
      <c r="A109" s="316"/>
      <c r="B109" s="2125"/>
      <c r="C109" s="2126"/>
      <c r="D109" s="2126"/>
      <c r="E109" s="2126"/>
      <c r="F109" s="2126"/>
      <c r="G109" s="2126"/>
      <c r="H109" s="2126"/>
      <c r="I109" s="2127"/>
    </row>
    <row r="110" spans="1:9" s="181" customFormat="1" ht="11.25" customHeight="1" x14ac:dyDescent="0.2">
      <c r="A110" s="316"/>
      <c r="B110" s="2125"/>
      <c r="C110" s="2126"/>
      <c r="D110" s="2126"/>
      <c r="E110" s="2126"/>
      <c r="F110" s="2126"/>
      <c r="G110" s="2126"/>
      <c r="H110" s="2126"/>
      <c r="I110" s="2127"/>
    </row>
    <row r="111" spans="1:9" s="181" customFormat="1" ht="11.25" customHeight="1" x14ac:dyDescent="0.2">
      <c r="A111" s="316"/>
      <c r="B111" s="2125"/>
      <c r="C111" s="2126"/>
      <c r="D111" s="2126"/>
      <c r="E111" s="2126"/>
      <c r="F111" s="2126"/>
      <c r="G111" s="2126"/>
      <c r="H111" s="2126"/>
      <c r="I111" s="2127"/>
    </row>
    <row r="112" spans="1:9" s="181" customFormat="1" ht="11.25" customHeight="1" x14ac:dyDescent="0.2">
      <c r="A112" s="316"/>
      <c r="B112" s="2128"/>
      <c r="C112" s="2129"/>
      <c r="D112" s="2129"/>
      <c r="E112" s="2129"/>
      <c r="F112" s="2129"/>
      <c r="G112" s="2129"/>
      <c r="H112" s="2129"/>
      <c r="I112" s="21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1" t="str">
        <f>COVER!T13</f>
        <v>EDER, CASELLA &amp; CO.</v>
      </c>
      <c r="D114" s="213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2" t="s">
        <v>1330</v>
      </c>
      <c r="D117" s="2133"/>
      <c r="E117" s="2134"/>
      <c r="F117" s="2134"/>
      <c r="G117" s="2134"/>
      <c r="H117" s="2134"/>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10" colorId="8" zoomScale="110" zoomScaleNormal="110" workbookViewId="0">
      <selection activeCell="F10" sqref="F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1" t="s">
        <v>386</v>
      </c>
      <c r="B1" s="2151"/>
      <c r="C1" s="2151"/>
      <c r="D1" s="2151"/>
      <c r="E1" s="2151"/>
      <c r="F1" s="2151"/>
      <c r="G1" s="2151"/>
      <c r="H1" s="2151"/>
      <c r="I1" s="2151"/>
      <c r="J1" s="2151"/>
      <c r="K1" s="2151"/>
      <c r="L1" s="2151"/>
      <c r="M1" s="215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365030695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2.0669E-2</v>
      </c>
      <c r="E10" s="356" t="s">
        <v>1005</v>
      </c>
      <c r="F10" s="355">
        <v>4.5334499999999996E-3</v>
      </c>
      <c r="G10" s="356" t="s">
        <v>1005</v>
      </c>
      <c r="H10" s="355">
        <v>1.395E-3</v>
      </c>
      <c r="I10" s="356" t="s">
        <v>1006</v>
      </c>
      <c r="J10" s="1705">
        <f>ROUND(D10+F10+H10,5)</f>
        <v>2.6599999999999999E-2</v>
      </c>
      <c r="K10" s="222"/>
      <c r="L10" s="355">
        <v>4.4299999999999998E-4</v>
      </c>
      <c r="M10" s="222"/>
    </row>
    <row r="11" spans="1:14" ht="7.5" customHeight="1" x14ac:dyDescent="0.2">
      <c r="B11" s="222"/>
      <c r="C11" s="222"/>
      <c r="D11" s="2161" t="str">
        <f>IF(SUM(J10)&lt;=0.0999999,"","Enter the Tax Rates by moving the decimal two places to the left.")</f>
        <v/>
      </c>
      <c r="E11" s="2162"/>
      <c r="F11" s="2162"/>
      <c r="G11" s="2162"/>
      <c r="H11" s="2162"/>
      <c r="I11" s="2162"/>
      <c r="J11" s="21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13576706</v>
      </c>
      <c r="E16" s="356"/>
      <c r="F16" s="1706">
        <f>SUM('Acct Summary 7-8'!C17,'Acct Summary 7-8'!D17,'Acct Summary 7-8'!F17)</f>
        <v>12226947</v>
      </c>
      <c r="G16" s="356"/>
      <c r="H16" s="1706">
        <f>SUM(D16-F16)</f>
        <v>1349759</v>
      </c>
      <c r="I16" s="222"/>
      <c r="J16" s="1706">
        <f>SUM('Acct Summary 7-8'!C81,'Acct Summary 7-8'!D81,'Acct Summary 7-8'!F81,'Acct Summary 7-8'!I81)</f>
        <v>18196393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586</v>
      </c>
      <c r="D31" s="237" t="s">
        <v>1072</v>
      </c>
      <c r="E31" s="222"/>
      <c r="F31" s="222"/>
      <c r="G31" s="363"/>
      <c r="H31" s="1708">
        <f>IF(B31="X",(J7*0.069),IF(B32="X",(J7*0.138),"Enter x in a.or b."))</f>
        <v>25187117.955000002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2350000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2"/>
      <c r="C54" s="2153"/>
      <c r="D54" s="2153"/>
      <c r="E54" s="2153"/>
      <c r="F54" s="2153"/>
      <c r="G54" s="2153"/>
      <c r="H54" s="2153"/>
      <c r="I54" s="2153"/>
      <c r="J54" s="2153"/>
      <c r="K54" s="2153"/>
      <c r="L54" s="2154"/>
      <c r="M54" s="380"/>
    </row>
    <row r="55" spans="1:13" ht="12.75" customHeight="1" x14ac:dyDescent="0.2">
      <c r="B55" s="2155"/>
      <c r="C55" s="2156"/>
      <c r="D55" s="2156"/>
      <c r="E55" s="2156"/>
      <c r="F55" s="2156"/>
      <c r="G55" s="2156"/>
      <c r="H55" s="2156"/>
      <c r="I55" s="2156"/>
      <c r="J55" s="2156"/>
      <c r="K55" s="2156"/>
      <c r="L55" s="2157"/>
      <c r="M55" s="380"/>
    </row>
    <row r="56" spans="1:13" ht="12.75" customHeight="1" x14ac:dyDescent="0.2">
      <c r="B56" s="2155"/>
      <c r="C56" s="2156"/>
      <c r="D56" s="2156"/>
      <c r="E56" s="2156"/>
      <c r="F56" s="2156"/>
      <c r="G56" s="2156"/>
      <c r="H56" s="2156"/>
      <c r="I56" s="2156"/>
      <c r="J56" s="2156"/>
      <c r="K56" s="2156"/>
      <c r="L56" s="2157"/>
      <c r="M56" s="222"/>
    </row>
    <row r="57" spans="1:13" ht="12.75" customHeight="1" x14ac:dyDescent="0.2">
      <c r="B57" s="2155"/>
      <c r="C57" s="2156"/>
      <c r="D57" s="2156"/>
      <c r="E57" s="2156"/>
      <c r="F57" s="2156"/>
      <c r="G57" s="2156"/>
      <c r="H57" s="2156"/>
      <c r="I57" s="2156"/>
      <c r="J57" s="2156"/>
      <c r="K57" s="2156"/>
      <c r="L57" s="2157"/>
      <c r="M57" s="222"/>
    </row>
    <row r="58" spans="1:13" x14ac:dyDescent="0.2">
      <c r="B58" s="2158"/>
      <c r="C58" s="2159"/>
      <c r="D58" s="2159"/>
      <c r="E58" s="2159"/>
      <c r="F58" s="2159"/>
      <c r="G58" s="2159"/>
      <c r="H58" s="2159"/>
      <c r="I58" s="2159"/>
      <c r="J58" s="2159"/>
      <c r="K58" s="2159"/>
      <c r="L58" s="21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3"/>
      <c r="D61" s="21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topLeftCell="A7" zoomScale="110" zoomScaleNormal="110" workbookViewId="0">
      <selection activeCell="H18" sqref="H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6"/>
      <c r="B1" s="2167"/>
      <c r="C1" s="2167"/>
      <c r="D1" s="384"/>
      <c r="E1" s="384"/>
      <c r="F1" s="384"/>
      <c r="G1" s="384"/>
      <c r="H1" s="384"/>
      <c r="I1" s="384"/>
      <c r="J1" s="384"/>
      <c r="K1" s="384"/>
      <c r="L1" s="384"/>
      <c r="M1" s="384"/>
      <c r="N1" s="384"/>
      <c r="O1" s="2166"/>
      <c r="P1" s="2167"/>
      <c r="Q1" s="2167"/>
    </row>
    <row r="2" spans="1:18" ht="15" x14ac:dyDescent="0.2">
      <c r="A2" s="2170" t="s">
        <v>556</v>
      </c>
      <c r="B2" s="2170"/>
      <c r="C2" s="2170"/>
      <c r="D2" s="2170"/>
      <c r="E2" s="2170"/>
      <c r="F2" s="2170"/>
      <c r="G2" s="2170"/>
      <c r="H2" s="2170"/>
      <c r="I2" s="2170"/>
      <c r="J2" s="2170"/>
      <c r="K2" s="2170"/>
      <c r="L2" s="2170"/>
      <c r="M2" s="2170"/>
      <c r="N2" s="2170"/>
      <c r="O2" s="2170"/>
      <c r="P2" s="2170"/>
      <c r="Q2" s="2170"/>
      <c r="R2" s="2170"/>
    </row>
    <row r="3" spans="1:18" ht="12.75" x14ac:dyDescent="0.2">
      <c r="A3" s="2171" t="s">
        <v>1413</v>
      </c>
      <c r="B3" s="2171"/>
      <c r="C3" s="2171"/>
      <c r="D3" s="2171"/>
      <c r="E3" s="2171"/>
      <c r="F3" s="2171"/>
      <c r="G3" s="2171"/>
      <c r="H3" s="2171"/>
      <c r="I3" s="2171"/>
      <c r="J3" s="2171"/>
      <c r="K3" s="2171"/>
      <c r="L3" s="2171"/>
      <c r="M3" s="2171"/>
      <c r="N3" s="2171"/>
      <c r="O3" s="2171"/>
      <c r="P3" s="2171"/>
      <c r="Q3" s="2171"/>
      <c r="R3" s="2171"/>
    </row>
    <row r="4" spans="1:18" x14ac:dyDescent="0.2">
      <c r="A4" s="2172" t="s">
        <v>1554</v>
      </c>
      <c r="B4" s="2172"/>
      <c r="C4" s="2172"/>
      <c r="D4" s="2172"/>
      <c r="E4" s="2172"/>
      <c r="F4" s="2172"/>
      <c r="G4" s="2172"/>
      <c r="H4" s="2172"/>
      <c r="I4" s="2172"/>
      <c r="J4" s="2172"/>
      <c r="K4" s="2172"/>
      <c r="L4" s="2172"/>
      <c r="M4" s="2172"/>
      <c r="N4" s="2172"/>
      <c r="O4" s="2172"/>
      <c r="P4" s="2172"/>
      <c r="Q4" s="2172"/>
      <c r="R4" s="21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Richmond-Burton CHSD 157</v>
      </c>
      <c r="E7" s="391"/>
      <c r="G7" s="252"/>
      <c r="H7" s="387"/>
      <c r="I7" s="387"/>
      <c r="J7" s="387"/>
      <c r="K7" s="387"/>
      <c r="L7" s="329"/>
      <c r="M7" s="329"/>
      <c r="N7" s="329"/>
      <c r="O7" s="329"/>
      <c r="P7" s="329"/>
    </row>
    <row r="8" spans="1:18" ht="12.75" x14ac:dyDescent="0.2">
      <c r="A8" s="329"/>
      <c r="B8" s="329"/>
      <c r="C8" s="389" t="s">
        <v>1125</v>
      </c>
      <c r="D8" s="392">
        <f>COVER!A13</f>
        <v>44063157016</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18196393</v>
      </c>
      <c r="I12" s="404"/>
      <c r="J12" s="404"/>
      <c r="K12" s="405">
        <f>TRUNC((H12/H13*100000),5)/100000</f>
        <v>1.3402656726000002</v>
      </c>
      <c r="L12" s="406"/>
      <c r="M12" s="360" t="s">
        <v>1144</v>
      </c>
      <c r="N12" s="360"/>
      <c r="O12" s="407">
        <v>0.35</v>
      </c>
      <c r="P12" s="218"/>
      <c r="Q12" s="218"/>
    </row>
    <row r="13" spans="1:18" s="408" customFormat="1" ht="12.75" x14ac:dyDescent="0.2">
      <c r="A13" s="218"/>
      <c r="B13" s="401"/>
      <c r="C13" s="2168" t="s">
        <v>1324</v>
      </c>
      <c r="D13" s="2169"/>
      <c r="E13" s="218"/>
      <c r="F13" s="409" t="s">
        <v>793</v>
      </c>
      <c r="G13" s="402"/>
      <c r="H13" s="403">
        <f>SUM('Acct Summary 7-8'!C8+'Acct Summary 7-8'!D8+'Acct Summary 7-8'!F8+'Acct Summary 7-8'!I8)+H14</f>
        <v>13576706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12226947</v>
      </c>
      <c r="I17" s="404"/>
      <c r="J17" s="416"/>
      <c r="K17" s="405">
        <f>TRUNC((H17/H18*100000),5)/100000</f>
        <v>0.90058273329999994</v>
      </c>
      <c r="L17" s="406"/>
      <c r="M17" s="417" t="s">
        <v>1171</v>
      </c>
      <c r="O17" s="418" t="str">
        <f>IF(AND(O16="2", J20 &gt; 2),"1",IF(AND(O16 = "1", J20 &gt; 2),"2",IF(AND(O16="1", J20 &gt;1),"1","0")))</f>
        <v>0</v>
      </c>
      <c r="P17" s="218"/>
    </row>
    <row r="18" spans="1:18" s="408" customFormat="1" ht="11.25" x14ac:dyDescent="0.2">
      <c r="A18" s="218"/>
      <c r="B18" s="401"/>
      <c r="C18" s="2168" t="s">
        <v>1317</v>
      </c>
      <c r="D18" s="2169"/>
      <c r="E18" s="218"/>
      <c r="F18" s="419" t="s">
        <v>794</v>
      </c>
      <c r="G18" s="402"/>
      <c r="H18" s="403">
        <f>SUM('Acct Summary 7-8'!C8+'Acct Summary 7-8'!D8+'Acct Summary 7-8'!F8+'Acct Summary 7-8'!I8)+H19</f>
        <v>13576706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5" t="s">
        <v>1412</v>
      </c>
      <c r="D24" s="2165"/>
      <c r="E24" s="218"/>
      <c r="F24" s="218" t="s">
        <v>445</v>
      </c>
      <c r="G24" s="402"/>
      <c r="H24" s="403">
        <f>SUM('Assets-Liab 5-6'!C4+'Assets-Liab 5-6'!D4+'Assets-Liab 5-6'!F4+'Assets-Liab 5-6'!I4+'Assets-Liab 5-6'!C5+'Assets-Liab 5-6'!D5+'Assets-Liab 5-6'!F5+'Assets-Liab 5-6'!I5)</f>
        <v>18196453</v>
      </c>
      <c r="I24" s="422"/>
      <c r="J24" s="422"/>
      <c r="K24" s="423">
        <f>TRUNC(((H24/H25*100000)/100000),2)</f>
        <v>535.76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33963.741670000003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8253344.0139499996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2350000</v>
      </c>
      <c r="I32" s="420"/>
      <c r="J32" s="420"/>
      <c r="K32" s="423">
        <f>TRUNC(100-((((H32/H33*100))*100)/100),2)</f>
        <v>90.66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25187117.955000002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Normal="100" workbookViewId="0">
      <pane ySplit="2" topLeftCell="A15"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5" t="s">
        <v>973</v>
      </c>
      <c r="B3" s="2176"/>
      <c r="C3" s="1532"/>
      <c r="D3" s="1533"/>
      <c r="E3" s="1533"/>
      <c r="F3" s="1533"/>
      <c r="G3" s="1533"/>
      <c r="H3" s="1533"/>
      <c r="I3" s="1533"/>
      <c r="J3" s="1533"/>
      <c r="K3" s="1533"/>
      <c r="L3" s="1533"/>
      <c r="M3" s="1534"/>
      <c r="N3" s="1535"/>
    </row>
    <row r="4" spans="1:14" ht="13.5" customHeight="1" x14ac:dyDescent="0.2">
      <c r="A4" s="463" t="s">
        <v>1651</v>
      </c>
      <c r="B4" s="464"/>
      <c r="C4" s="1911">
        <v>11053309</v>
      </c>
      <c r="D4" s="1912">
        <v>1289668</v>
      </c>
      <c r="E4" s="1912">
        <v>44592</v>
      </c>
      <c r="F4" s="1912">
        <v>146381</v>
      </c>
      <c r="G4" s="1912">
        <v>484947</v>
      </c>
      <c r="H4" s="1912">
        <v>144206</v>
      </c>
      <c r="I4" s="1912">
        <v>903561</v>
      </c>
      <c r="J4" s="1913">
        <v>0</v>
      </c>
      <c r="K4" s="1992">
        <v>0</v>
      </c>
      <c r="L4" s="1912">
        <v>93202</v>
      </c>
      <c r="M4" s="467"/>
      <c r="N4" s="468"/>
    </row>
    <row r="5" spans="1:14" x14ac:dyDescent="0.2">
      <c r="A5" s="463" t="s">
        <v>992</v>
      </c>
      <c r="B5" s="469">
        <v>120</v>
      </c>
      <c r="C5" s="1911">
        <v>4017704</v>
      </c>
      <c r="D5" s="1912">
        <v>461072</v>
      </c>
      <c r="E5" s="1912">
        <v>538</v>
      </c>
      <c r="F5" s="1912">
        <v>1724</v>
      </c>
      <c r="G5" s="1912">
        <v>173374</v>
      </c>
      <c r="H5" s="1912">
        <v>51556</v>
      </c>
      <c r="I5" s="1912">
        <v>323034</v>
      </c>
      <c r="J5" s="1913"/>
      <c r="K5" s="1914"/>
      <c r="L5" s="470"/>
      <c r="M5" s="467"/>
      <c r="N5" s="468"/>
    </row>
    <row r="6" spans="1:14" ht="13.5" customHeight="1" x14ac:dyDescent="0.2">
      <c r="A6" s="471" t="s">
        <v>417</v>
      </c>
      <c r="B6" s="469">
        <v>130</v>
      </c>
      <c r="C6" s="1911">
        <v>0</v>
      </c>
      <c r="D6" s="1912">
        <v>0</v>
      </c>
      <c r="E6" s="1912">
        <v>0</v>
      </c>
      <c r="F6" s="1912">
        <v>0</v>
      </c>
      <c r="G6" s="1914">
        <v>0</v>
      </c>
      <c r="H6" s="1914">
        <v>0</v>
      </c>
      <c r="I6" s="1912">
        <v>0</v>
      </c>
      <c r="J6" s="1915">
        <v>0</v>
      </c>
      <c r="K6" s="1914">
        <v>0</v>
      </c>
      <c r="L6" s="472"/>
      <c r="M6" s="467"/>
      <c r="N6" s="468"/>
    </row>
    <row r="7" spans="1:14" ht="13.5" customHeight="1" x14ac:dyDescent="0.2">
      <c r="A7" s="471" t="s">
        <v>418</v>
      </c>
      <c r="B7" s="469">
        <v>140</v>
      </c>
      <c r="C7" s="1916">
        <v>0</v>
      </c>
      <c r="D7" s="1913">
        <v>0</v>
      </c>
      <c r="E7" s="1916">
        <v>0</v>
      </c>
      <c r="F7" s="1913">
        <v>0</v>
      </c>
      <c r="G7" s="1913">
        <v>0</v>
      </c>
      <c r="H7" s="1913">
        <v>0</v>
      </c>
      <c r="I7" s="1913">
        <v>0</v>
      </c>
      <c r="J7" s="1913">
        <v>0</v>
      </c>
      <c r="K7" s="1913">
        <v>0</v>
      </c>
      <c r="L7" s="473"/>
      <c r="M7" s="467"/>
      <c r="N7" s="468"/>
    </row>
    <row r="8" spans="1:14" ht="13.5" customHeight="1" x14ac:dyDescent="0.2">
      <c r="A8" s="471" t="s">
        <v>269</v>
      </c>
      <c r="B8" s="469">
        <v>150</v>
      </c>
      <c r="C8" s="1916">
        <v>0</v>
      </c>
      <c r="D8" s="1913">
        <v>0</v>
      </c>
      <c r="E8" s="1916">
        <v>0</v>
      </c>
      <c r="F8" s="1913">
        <v>0</v>
      </c>
      <c r="G8" s="1917">
        <v>0</v>
      </c>
      <c r="H8" s="1913">
        <v>0</v>
      </c>
      <c r="I8" s="1915">
        <v>0</v>
      </c>
      <c r="J8" s="1915">
        <v>0</v>
      </c>
      <c r="K8" s="1918">
        <v>0</v>
      </c>
      <c r="L8" s="476"/>
      <c r="M8" s="467"/>
      <c r="N8" s="468"/>
    </row>
    <row r="9" spans="1:14" ht="13.5" customHeight="1" x14ac:dyDescent="0.2">
      <c r="A9" s="471" t="s">
        <v>270</v>
      </c>
      <c r="B9" s="469">
        <v>160</v>
      </c>
      <c r="C9" s="1916">
        <v>0</v>
      </c>
      <c r="D9" s="1913">
        <v>0</v>
      </c>
      <c r="E9" s="1916">
        <v>0</v>
      </c>
      <c r="F9" s="1913">
        <v>0</v>
      </c>
      <c r="G9" s="1913">
        <v>0</v>
      </c>
      <c r="H9" s="1917">
        <v>0</v>
      </c>
      <c r="I9" s="1913">
        <v>0</v>
      </c>
      <c r="J9" s="1913">
        <v>0</v>
      </c>
      <c r="K9" s="1913">
        <v>0</v>
      </c>
      <c r="L9" s="466"/>
      <c r="M9" s="467"/>
      <c r="N9" s="468"/>
    </row>
    <row r="10" spans="1:14" ht="13.5" customHeight="1" x14ac:dyDescent="0.2">
      <c r="A10" s="471" t="s">
        <v>991</v>
      </c>
      <c r="B10" s="469">
        <v>170</v>
      </c>
      <c r="C10" s="1911">
        <v>0</v>
      </c>
      <c r="D10" s="1912">
        <v>0</v>
      </c>
      <c r="E10" s="1913">
        <v>0</v>
      </c>
      <c r="F10" s="1912">
        <v>0</v>
      </c>
      <c r="G10" s="1917">
        <v>0</v>
      </c>
      <c r="H10" s="1919">
        <v>0</v>
      </c>
      <c r="I10" s="1913">
        <v>0</v>
      </c>
      <c r="J10" s="1913">
        <v>0</v>
      </c>
      <c r="K10" s="1919">
        <v>0</v>
      </c>
      <c r="L10" s="477"/>
      <c r="M10" s="468"/>
      <c r="N10" s="468"/>
    </row>
    <row r="11" spans="1:14" ht="13.5" customHeight="1" x14ac:dyDescent="0.2">
      <c r="A11" s="471" t="s">
        <v>271</v>
      </c>
      <c r="B11" s="469">
        <v>180</v>
      </c>
      <c r="C11" s="1916">
        <v>0</v>
      </c>
      <c r="D11" s="1913">
        <v>0</v>
      </c>
      <c r="E11" s="1913">
        <v>0</v>
      </c>
      <c r="F11" s="1913">
        <v>0</v>
      </c>
      <c r="G11" s="1913">
        <v>0</v>
      </c>
      <c r="H11" s="1913">
        <v>0</v>
      </c>
      <c r="I11" s="1917">
        <v>0</v>
      </c>
      <c r="J11" s="1917">
        <v>0</v>
      </c>
      <c r="K11" s="1913">
        <v>0</v>
      </c>
      <c r="L11" s="466"/>
      <c r="M11" s="468"/>
      <c r="N11" s="468"/>
    </row>
    <row r="12" spans="1:14" ht="13.5" customHeight="1" x14ac:dyDescent="0.2">
      <c r="A12" s="471" t="s">
        <v>419</v>
      </c>
      <c r="B12" s="469">
        <v>190</v>
      </c>
      <c r="C12" s="1911">
        <v>0</v>
      </c>
      <c r="D12" s="1912">
        <v>0</v>
      </c>
      <c r="E12" s="1912">
        <v>0</v>
      </c>
      <c r="F12" s="1912">
        <v>0</v>
      </c>
      <c r="G12" s="1912">
        <v>0</v>
      </c>
      <c r="H12" s="1912">
        <v>0</v>
      </c>
      <c r="I12" s="1912">
        <v>0</v>
      </c>
      <c r="J12" s="1913">
        <v>0</v>
      </c>
      <c r="K12" s="1912">
        <v>0</v>
      </c>
      <c r="L12" s="465"/>
      <c r="M12" s="468"/>
      <c r="N12" s="468"/>
    </row>
    <row r="13" spans="1:14" ht="13.5" customHeight="1" thickBot="1" x14ac:dyDescent="0.25">
      <c r="A13" s="1709" t="s">
        <v>644</v>
      </c>
      <c r="B13" s="1682"/>
      <c r="C13" s="1710">
        <f>SUM(C4:C12)</f>
        <v>15071013</v>
      </c>
      <c r="D13" s="1710">
        <f t="shared" ref="D13:L13" si="0">SUM(D4:D12)</f>
        <v>1750740</v>
      </c>
      <c r="E13" s="1710">
        <f t="shared" si="0"/>
        <v>45130</v>
      </c>
      <c r="F13" s="1710">
        <f t="shared" si="0"/>
        <v>148105</v>
      </c>
      <c r="G13" s="1710">
        <f t="shared" si="0"/>
        <v>658321</v>
      </c>
      <c r="H13" s="1710">
        <f t="shared" si="0"/>
        <v>195762</v>
      </c>
      <c r="I13" s="1710">
        <f t="shared" si="0"/>
        <v>1226595</v>
      </c>
      <c r="J13" s="1710">
        <f t="shared" si="0"/>
        <v>0</v>
      </c>
      <c r="K13" s="1710">
        <f t="shared" si="0"/>
        <v>0</v>
      </c>
      <c r="L13" s="1710">
        <f t="shared" si="0"/>
        <v>93202</v>
      </c>
      <c r="M13" s="467"/>
      <c r="N13" s="468"/>
    </row>
    <row r="14" spans="1:14" ht="18" customHeight="1" thickTop="1" x14ac:dyDescent="0.2">
      <c r="A14" s="2177" t="s">
        <v>147</v>
      </c>
      <c r="B14" s="2178"/>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3">
        <v>81500</v>
      </c>
      <c r="N16" s="480"/>
    </row>
    <row r="17" spans="1:14" s="481" customFormat="1" ht="12.75" customHeight="1" x14ac:dyDescent="0.2">
      <c r="A17" s="478" t="s">
        <v>1403</v>
      </c>
      <c r="B17" s="479">
        <v>230</v>
      </c>
      <c r="C17" s="473"/>
      <c r="D17" s="473"/>
      <c r="E17" s="473"/>
      <c r="F17" s="473"/>
      <c r="G17" s="473"/>
      <c r="H17" s="473"/>
      <c r="I17" s="473"/>
      <c r="J17" s="473"/>
      <c r="K17" s="473"/>
      <c r="L17" s="473"/>
      <c r="M17" s="1913">
        <v>25403896</v>
      </c>
      <c r="N17" s="480"/>
    </row>
    <row r="18" spans="1:14" s="481" customFormat="1" ht="12.75" customHeight="1" x14ac:dyDescent="0.2">
      <c r="A18" s="478" t="s">
        <v>1404</v>
      </c>
      <c r="B18" s="479">
        <v>240</v>
      </c>
      <c r="C18" s="473"/>
      <c r="D18" s="473"/>
      <c r="E18" s="473"/>
      <c r="F18" s="473"/>
      <c r="G18" s="473"/>
      <c r="H18" s="473"/>
      <c r="I18" s="473"/>
      <c r="J18" s="473"/>
      <c r="K18" s="473"/>
      <c r="L18" s="473"/>
      <c r="M18" s="1913">
        <v>1548856</v>
      </c>
      <c r="N18" s="480"/>
    </row>
    <row r="19" spans="1:14" s="481" customFormat="1" ht="12.75" customHeight="1" x14ac:dyDescent="0.2">
      <c r="A19" s="478" t="s">
        <v>1405</v>
      </c>
      <c r="B19" s="479">
        <v>250</v>
      </c>
      <c r="C19" s="473"/>
      <c r="D19" s="473"/>
      <c r="E19" s="473"/>
      <c r="F19" s="473"/>
      <c r="G19" s="473"/>
      <c r="H19" s="473"/>
      <c r="I19" s="473"/>
      <c r="J19" s="473"/>
      <c r="K19" s="473"/>
      <c r="L19" s="473"/>
      <c r="M19" s="1913">
        <v>5348358</v>
      </c>
      <c r="N19" s="480"/>
    </row>
    <row r="20" spans="1:14" s="481" customFormat="1" ht="12.75" customHeight="1" x14ac:dyDescent="0.2">
      <c r="A20" s="478" t="s">
        <v>1406</v>
      </c>
      <c r="B20" s="479">
        <v>260</v>
      </c>
      <c r="C20" s="473"/>
      <c r="D20" s="473"/>
      <c r="E20" s="473"/>
      <c r="F20" s="473"/>
      <c r="G20" s="473"/>
      <c r="H20" s="473"/>
      <c r="I20" s="473"/>
      <c r="J20" s="473"/>
      <c r="K20" s="473"/>
      <c r="L20" s="473"/>
      <c r="M20" s="1913">
        <v>51308</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3">
        <f>+E39</f>
        <v>45130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2304870</v>
      </c>
    </row>
    <row r="23" spans="1:14" ht="13.5" customHeight="1" thickBot="1" x14ac:dyDescent="0.25">
      <c r="A23" s="1709" t="s">
        <v>643</v>
      </c>
      <c r="B23" s="1714"/>
      <c r="C23" s="467"/>
      <c r="D23" s="467"/>
      <c r="E23" s="467"/>
      <c r="F23" s="467"/>
      <c r="G23" s="467"/>
      <c r="H23" s="467"/>
      <c r="I23" s="467"/>
      <c r="J23" s="467"/>
      <c r="K23" s="467"/>
      <c r="L23" s="467"/>
      <c r="M23" s="1661">
        <f>SUM(M15:M22)</f>
        <v>32433918</v>
      </c>
      <c r="N23" s="1661">
        <f>SUM(N21:N22)</f>
        <v>2350000</v>
      </c>
    </row>
    <row r="24" spans="1:14" ht="18" customHeight="1" thickTop="1" x14ac:dyDescent="0.2">
      <c r="A24" s="2179" t="s">
        <v>598</v>
      </c>
      <c r="B24" s="2180"/>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8">
        <v>0</v>
      </c>
      <c r="I25" s="467"/>
      <c r="J25" s="474">
        <v>0</v>
      </c>
      <c r="K25" s="474">
        <v>0</v>
      </c>
      <c r="L25" s="467"/>
      <c r="M25" s="467"/>
      <c r="N25" s="467"/>
    </row>
    <row r="26" spans="1:14" x14ac:dyDescent="0.2">
      <c r="A26" s="471" t="s">
        <v>646</v>
      </c>
      <c r="B26" s="469">
        <v>420</v>
      </c>
      <c r="C26" s="1913">
        <v>0</v>
      </c>
      <c r="D26" s="1913">
        <v>0</v>
      </c>
      <c r="E26" s="1913">
        <v>0</v>
      </c>
      <c r="F26" s="1913">
        <v>0</v>
      </c>
      <c r="G26" s="1913">
        <v>0</v>
      </c>
      <c r="H26" s="1913">
        <v>0</v>
      </c>
      <c r="I26" s="1913">
        <v>0</v>
      </c>
      <c r="J26" s="1915">
        <v>0</v>
      </c>
      <c r="K26" s="1913">
        <v>0</v>
      </c>
      <c r="L26" s="467"/>
      <c r="M26" s="467"/>
      <c r="N26" s="467"/>
    </row>
    <row r="27" spans="1:14" ht="13.5" customHeight="1" x14ac:dyDescent="0.2">
      <c r="A27" s="471" t="s">
        <v>647</v>
      </c>
      <c r="B27" s="469">
        <v>430</v>
      </c>
      <c r="C27" s="1913">
        <v>0</v>
      </c>
      <c r="D27" s="1913">
        <v>60</v>
      </c>
      <c r="E27" s="1913">
        <v>0</v>
      </c>
      <c r="F27" s="1913">
        <v>0</v>
      </c>
      <c r="G27" s="1913">
        <v>0</v>
      </c>
      <c r="H27" s="1913">
        <v>0</v>
      </c>
      <c r="I27" s="1913">
        <v>0</v>
      </c>
      <c r="J27" s="1913">
        <v>0</v>
      </c>
      <c r="K27" s="1913">
        <v>0</v>
      </c>
      <c r="L27" s="467"/>
      <c r="M27" s="467"/>
      <c r="N27" s="467"/>
    </row>
    <row r="28" spans="1:14" ht="13.5" customHeight="1" x14ac:dyDescent="0.2">
      <c r="A28" s="471" t="s">
        <v>648</v>
      </c>
      <c r="B28" s="469">
        <v>440</v>
      </c>
      <c r="C28" s="1913">
        <v>0</v>
      </c>
      <c r="D28" s="1913">
        <v>0</v>
      </c>
      <c r="E28" s="1915">
        <v>0</v>
      </c>
      <c r="F28" s="1913">
        <v>0</v>
      </c>
      <c r="G28" s="1915">
        <v>0</v>
      </c>
      <c r="H28" s="1915">
        <v>0</v>
      </c>
      <c r="I28" s="1913">
        <v>0</v>
      </c>
      <c r="J28" s="1913">
        <v>0</v>
      </c>
      <c r="K28" s="1918">
        <v>0</v>
      </c>
      <c r="L28" s="467"/>
      <c r="M28" s="467"/>
      <c r="N28" s="467"/>
    </row>
    <row r="29" spans="1:14" ht="13.5" customHeight="1" x14ac:dyDescent="0.2">
      <c r="A29" s="471" t="s">
        <v>649</v>
      </c>
      <c r="B29" s="469">
        <v>460</v>
      </c>
      <c r="C29" s="1920">
        <v>0</v>
      </c>
      <c r="D29" s="1921">
        <v>0</v>
      </c>
      <c r="E29" s="1915">
        <v>0</v>
      </c>
      <c r="F29" s="1913">
        <v>0</v>
      </c>
      <c r="G29" s="1915">
        <v>0</v>
      </c>
      <c r="H29" s="1915">
        <v>0</v>
      </c>
      <c r="I29" s="1915">
        <v>0</v>
      </c>
      <c r="J29" s="1915">
        <v>0</v>
      </c>
      <c r="K29" s="1913">
        <v>0</v>
      </c>
      <c r="L29" s="467"/>
      <c r="M29" s="467"/>
      <c r="N29" s="467"/>
    </row>
    <row r="30" spans="1:14" ht="13.5" customHeight="1" x14ac:dyDescent="0.2">
      <c r="A30" s="471" t="s">
        <v>650</v>
      </c>
      <c r="B30" s="469">
        <v>470</v>
      </c>
      <c r="C30" s="1913">
        <v>0</v>
      </c>
      <c r="D30" s="1915">
        <v>0</v>
      </c>
      <c r="E30" s="1913">
        <v>0</v>
      </c>
      <c r="F30" s="1913">
        <v>0</v>
      </c>
      <c r="G30" s="1913">
        <v>0</v>
      </c>
      <c r="H30" s="1913">
        <v>0</v>
      </c>
      <c r="I30" s="1913">
        <v>0</v>
      </c>
      <c r="J30" s="1913">
        <v>0</v>
      </c>
      <c r="K30" s="474">
        <v>0</v>
      </c>
      <c r="L30" s="467"/>
      <c r="M30" s="467"/>
      <c r="N30" s="467"/>
    </row>
    <row r="31" spans="1:14" ht="13.5" customHeight="1" x14ac:dyDescent="0.2">
      <c r="A31" s="471" t="s">
        <v>651</v>
      </c>
      <c r="B31" s="469">
        <v>480</v>
      </c>
      <c r="C31" s="1912">
        <v>0</v>
      </c>
      <c r="D31" s="1913">
        <v>0</v>
      </c>
      <c r="E31" s="1913">
        <v>0</v>
      </c>
      <c r="F31" s="1912">
        <v>0</v>
      </c>
      <c r="G31" s="1913">
        <v>0</v>
      </c>
      <c r="H31" s="1913">
        <v>0</v>
      </c>
      <c r="I31" s="1913">
        <v>0</v>
      </c>
      <c r="J31" s="1913">
        <v>0</v>
      </c>
      <c r="K31" s="1913">
        <v>0</v>
      </c>
      <c r="L31" s="467"/>
      <c r="M31" s="467"/>
      <c r="N31" s="467"/>
    </row>
    <row r="32" spans="1:14" ht="13.5" customHeight="1" x14ac:dyDescent="0.2">
      <c r="A32" s="484" t="s">
        <v>652</v>
      </c>
      <c r="B32" s="485">
        <v>490</v>
      </c>
      <c r="C32" s="1922">
        <v>0</v>
      </c>
      <c r="D32" s="1922">
        <v>0</v>
      </c>
      <c r="E32" s="1915">
        <v>0</v>
      </c>
      <c r="F32" s="1915">
        <v>0</v>
      </c>
      <c r="G32" s="1915">
        <v>0</v>
      </c>
      <c r="H32" s="1915">
        <v>0</v>
      </c>
      <c r="I32" s="1915">
        <v>0</v>
      </c>
      <c r="J32" s="1915">
        <v>0</v>
      </c>
      <c r="K32" s="1918">
        <v>0</v>
      </c>
      <c r="L32" s="467"/>
      <c r="M32" s="467"/>
      <c r="N32" s="467"/>
    </row>
    <row r="33" spans="1:14" ht="13.5" customHeight="1" x14ac:dyDescent="0.2">
      <c r="A33" s="486" t="s">
        <v>303</v>
      </c>
      <c r="B33" s="485">
        <v>493</v>
      </c>
      <c r="C33" s="1913">
        <v>0</v>
      </c>
      <c r="D33" s="1913">
        <v>0</v>
      </c>
      <c r="E33" s="1913">
        <v>0</v>
      </c>
      <c r="F33" s="1913">
        <v>0</v>
      </c>
      <c r="G33" s="1913">
        <v>0</v>
      </c>
      <c r="H33" s="1913">
        <v>0</v>
      </c>
      <c r="I33" s="1913">
        <v>0</v>
      </c>
      <c r="J33" s="1913">
        <v>0</v>
      </c>
      <c r="K33" s="1913">
        <v>0</v>
      </c>
      <c r="L33" s="1913">
        <v>93202</v>
      </c>
      <c r="M33" s="467"/>
      <c r="N33" s="468"/>
    </row>
    <row r="34" spans="1:14" ht="13.5" customHeight="1" thickBot="1" x14ac:dyDescent="0.25">
      <c r="A34" s="1711" t="s">
        <v>654</v>
      </c>
      <c r="B34" s="1712"/>
      <c r="C34" s="1713">
        <f>SUM(C25:C33)</f>
        <v>0</v>
      </c>
      <c r="D34" s="1713">
        <f t="shared" ref="D34:K34" si="1">SUM(D25:D33)</f>
        <v>60</v>
      </c>
      <c r="E34" s="1713">
        <f t="shared" si="1"/>
        <v>0</v>
      </c>
      <c r="F34" s="1713">
        <f t="shared" si="1"/>
        <v>0</v>
      </c>
      <c r="G34" s="1713">
        <f t="shared" si="1"/>
        <v>0</v>
      </c>
      <c r="H34" s="1713">
        <f t="shared" si="1"/>
        <v>0</v>
      </c>
      <c r="I34" s="1713">
        <f t="shared" si="1"/>
        <v>0</v>
      </c>
      <c r="J34" s="1713">
        <f t="shared" si="1"/>
        <v>0</v>
      </c>
      <c r="K34" s="1713">
        <f t="shared" si="1"/>
        <v>0</v>
      </c>
      <c r="L34" s="1694">
        <f>SUM(L33)</f>
        <v>93202</v>
      </c>
      <c r="M34" s="467"/>
      <c r="N34" s="476"/>
    </row>
    <row r="35" spans="1:14" ht="18" customHeight="1" thickTop="1" x14ac:dyDescent="0.2">
      <c r="A35" s="2181" t="s">
        <v>529</v>
      </c>
      <c r="B35" s="2182"/>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2350000</v>
      </c>
    </row>
    <row r="37" spans="1:14" ht="13.5" thickBot="1" x14ac:dyDescent="0.25">
      <c r="A37" s="1709" t="s">
        <v>653</v>
      </c>
      <c r="B37" s="1714"/>
      <c r="C37" s="473"/>
      <c r="D37" s="473"/>
      <c r="E37" s="473"/>
      <c r="F37" s="473"/>
      <c r="G37" s="473"/>
      <c r="H37" s="473"/>
      <c r="I37" s="473"/>
      <c r="J37" s="473"/>
      <c r="K37" s="473"/>
      <c r="L37" s="476"/>
      <c r="M37" s="467"/>
      <c r="N37" s="1661">
        <f>SUM(N36:N36)</f>
        <v>2350000</v>
      </c>
    </row>
    <row r="38" spans="1:14" s="329" customFormat="1" ht="13.5" customHeight="1" thickTop="1" x14ac:dyDescent="0.2">
      <c r="A38" s="489" t="s">
        <v>420</v>
      </c>
      <c r="B38" s="479">
        <v>714</v>
      </c>
      <c r="C38" s="1912"/>
      <c r="D38" s="1912"/>
      <c r="E38" s="1912"/>
      <c r="F38" s="1912"/>
      <c r="G38" s="1912"/>
      <c r="H38" s="1912"/>
      <c r="I38" s="1912"/>
      <c r="J38" s="1913"/>
      <c r="K38" s="1912"/>
      <c r="L38" s="477"/>
      <c r="M38" s="490"/>
      <c r="N38" s="490"/>
    </row>
    <row r="39" spans="1:14" s="329" customFormat="1" ht="13.5" customHeight="1" x14ac:dyDescent="0.2">
      <c r="A39" s="489" t="s">
        <v>342</v>
      </c>
      <c r="B39" s="479">
        <v>730</v>
      </c>
      <c r="C39" s="1912">
        <v>15071013</v>
      </c>
      <c r="D39" s="1912">
        <v>1750680</v>
      </c>
      <c r="E39" s="1912">
        <v>45130</v>
      </c>
      <c r="F39" s="1912">
        <v>148105</v>
      </c>
      <c r="G39" s="1912">
        <v>658321</v>
      </c>
      <c r="H39" s="1912">
        <v>195762</v>
      </c>
      <c r="I39" s="1912">
        <v>1226595</v>
      </c>
      <c r="J39" s="1913">
        <v>0</v>
      </c>
      <c r="K39" s="1912">
        <v>0</v>
      </c>
      <c r="L39" s="1912">
        <v>0</v>
      </c>
      <c r="M39" s="490"/>
      <c r="N39" s="490"/>
    </row>
    <row r="40" spans="1:14" s="329" customFormat="1" ht="13.5" customHeight="1" x14ac:dyDescent="0.2">
      <c r="A40" s="491" t="s">
        <v>148</v>
      </c>
      <c r="B40" s="492"/>
      <c r="C40" s="493"/>
      <c r="D40" s="493"/>
      <c r="E40" s="493"/>
      <c r="F40" s="493"/>
      <c r="G40" s="493"/>
      <c r="H40" s="493"/>
      <c r="I40" s="493"/>
      <c r="J40" s="493"/>
      <c r="K40" s="493"/>
      <c r="L40" s="493"/>
      <c r="M40" s="1923">
        <v>32433918</v>
      </c>
      <c r="N40" s="490"/>
    </row>
    <row r="41" spans="1:14" ht="13.5" customHeight="1" thickBot="1" x14ac:dyDescent="0.25">
      <c r="A41" s="1709" t="s">
        <v>655</v>
      </c>
      <c r="B41" s="1679"/>
      <c r="C41" s="1661">
        <f>(SUM(C34,C37,C38,C39))</f>
        <v>15071013</v>
      </c>
      <c r="D41" s="1661">
        <f t="shared" ref="D41:L41" si="2">SUM(D34,D37,D38:D39)</f>
        <v>1750740</v>
      </c>
      <c r="E41" s="1661">
        <f t="shared" si="2"/>
        <v>45130</v>
      </c>
      <c r="F41" s="1661">
        <f t="shared" si="2"/>
        <v>148105</v>
      </c>
      <c r="G41" s="1661">
        <f t="shared" si="2"/>
        <v>658321</v>
      </c>
      <c r="H41" s="1661">
        <f t="shared" si="2"/>
        <v>195762</v>
      </c>
      <c r="I41" s="1661">
        <f t="shared" si="2"/>
        <v>1226595</v>
      </c>
      <c r="J41" s="1661">
        <f t="shared" si="2"/>
        <v>0</v>
      </c>
      <c r="K41" s="1661">
        <f t="shared" si="2"/>
        <v>0</v>
      </c>
      <c r="L41" s="1661">
        <f t="shared" si="2"/>
        <v>93202</v>
      </c>
      <c r="M41" s="1661">
        <f>SUM(M40)</f>
        <v>32433918</v>
      </c>
      <c r="N41" s="1661">
        <f>SUM(N37)</f>
        <v>2350000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activeCell="AF22" sqref="AF22"/>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1"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2"/>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3" t="s">
        <v>1175</v>
      </c>
      <c r="B3" s="2204"/>
      <c r="C3" s="1546"/>
      <c r="D3" s="1547"/>
      <c r="E3" s="1547"/>
      <c r="F3" s="1547"/>
      <c r="G3" s="1547"/>
      <c r="H3" s="1547"/>
      <c r="I3" s="1547"/>
      <c r="J3" s="1547"/>
      <c r="K3" s="1548"/>
      <c r="L3" s="499"/>
    </row>
    <row r="4" spans="1:13" ht="15.75" customHeight="1" x14ac:dyDescent="0.2">
      <c r="A4" s="1901" t="s">
        <v>1499</v>
      </c>
      <c r="B4" s="1902">
        <v>1000</v>
      </c>
      <c r="C4" s="1715">
        <f>'Revenues 9-14'!C109</f>
        <v>8315366</v>
      </c>
      <c r="D4" s="1715">
        <f>'Revenues 9-14'!D109</f>
        <v>1633450</v>
      </c>
      <c r="E4" s="1715">
        <f>'Revenues 9-14'!E109</f>
        <v>1658688</v>
      </c>
      <c r="F4" s="1715">
        <f>'Revenues 9-14'!F109</f>
        <v>1228557</v>
      </c>
      <c r="G4" s="1715">
        <f>'Revenues 9-14'!G109</f>
        <v>334890</v>
      </c>
      <c r="H4" s="1715">
        <f>'Revenues 9-14'!H109</f>
        <v>26028</v>
      </c>
      <c r="I4" s="1715">
        <f>'Revenues 9-14'!I109</f>
        <v>165996</v>
      </c>
      <c r="J4" s="1715">
        <f>'Revenues 9-14'!J109</f>
        <v>0</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1479142</v>
      </c>
      <c r="D6" s="1716">
        <f>'Revenues 9-14'!D170</f>
        <v>0</v>
      </c>
      <c r="E6" s="1716">
        <f>'Revenues 9-14'!E170</f>
        <v>0</v>
      </c>
      <c r="F6" s="1716">
        <f>'Revenues 9-14'!F170</f>
        <v>610551</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143644</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9938152</v>
      </c>
      <c r="D8" s="1661">
        <f t="shared" ref="D8:K8" si="0">SUM(D4:D7)</f>
        <v>1633450</v>
      </c>
      <c r="E8" s="1661">
        <f t="shared" si="0"/>
        <v>1658688</v>
      </c>
      <c r="F8" s="1661">
        <f t="shared" si="0"/>
        <v>1839108</v>
      </c>
      <c r="G8" s="1661">
        <f t="shared" si="0"/>
        <v>334890</v>
      </c>
      <c r="H8" s="1661">
        <f t="shared" si="0"/>
        <v>26028</v>
      </c>
      <c r="I8" s="1661">
        <f t="shared" si="0"/>
        <v>165996</v>
      </c>
      <c r="J8" s="1661">
        <f t="shared" si="0"/>
        <v>0</v>
      </c>
      <c r="K8" s="1661">
        <f t="shared" si="0"/>
        <v>0</v>
      </c>
      <c r="L8" s="347"/>
    </row>
    <row r="9" spans="1:13" ht="15.75" thickTop="1" x14ac:dyDescent="0.2">
      <c r="A9" s="507" t="s">
        <v>1653</v>
      </c>
      <c r="B9" s="508">
        <v>3998</v>
      </c>
      <c r="C9" s="477">
        <v>3330795</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13268947</v>
      </c>
      <c r="D10" s="1661">
        <f t="shared" ref="D10:K10" si="1">SUM(D8:D9)</f>
        <v>1633450</v>
      </c>
      <c r="E10" s="1661">
        <f t="shared" si="1"/>
        <v>1658688</v>
      </c>
      <c r="F10" s="1661">
        <f t="shared" si="1"/>
        <v>1839108</v>
      </c>
      <c r="G10" s="1661">
        <f t="shared" si="1"/>
        <v>334890</v>
      </c>
      <c r="H10" s="1661">
        <f t="shared" si="1"/>
        <v>26028</v>
      </c>
      <c r="I10" s="1661">
        <f t="shared" si="1"/>
        <v>165996</v>
      </c>
      <c r="J10" s="1661">
        <f t="shared" si="1"/>
        <v>0</v>
      </c>
      <c r="K10" s="1661">
        <f t="shared" si="1"/>
        <v>0</v>
      </c>
      <c r="L10" s="511"/>
    </row>
    <row r="11" spans="1:13" s="512" customFormat="1" ht="16.7" customHeight="1" thickTop="1" x14ac:dyDescent="0.2">
      <c r="A11" s="2177" t="s">
        <v>1176</v>
      </c>
      <c r="B11" s="2178"/>
      <c r="C11" s="1543"/>
      <c r="D11" s="1544"/>
      <c r="E11" s="1544"/>
      <c r="F11" s="1544"/>
      <c r="G11" s="1544"/>
      <c r="H11" s="1544"/>
      <c r="I11" s="1544"/>
      <c r="J11" s="1544"/>
      <c r="K11" s="1545"/>
      <c r="L11" s="511"/>
    </row>
    <row r="12" spans="1:13" ht="15.75" customHeight="1" x14ac:dyDescent="0.2">
      <c r="A12" s="1549" t="s">
        <v>456</v>
      </c>
      <c r="B12" s="1551">
        <v>1000</v>
      </c>
      <c r="C12" s="1715">
        <f>'Expenditures 15-22'!K33</f>
        <v>5600196</v>
      </c>
      <c r="D12" s="513" t="s">
        <v>1169</v>
      </c>
      <c r="E12" s="467" t="s">
        <v>1169</v>
      </c>
      <c r="F12" s="467" t="s">
        <v>1169</v>
      </c>
      <c r="G12" s="1715">
        <f>'Expenditures 15-22'!K229</f>
        <v>105954</v>
      </c>
      <c r="H12" s="514"/>
      <c r="I12" s="467" t="s">
        <v>1169</v>
      </c>
      <c r="J12" s="467" t="s">
        <v>1169</v>
      </c>
      <c r="K12" s="514" t="s">
        <v>1169</v>
      </c>
      <c r="L12" s="347"/>
    </row>
    <row r="13" spans="1:13" ht="15.75" customHeight="1" x14ac:dyDescent="0.2">
      <c r="A13" s="1549" t="s">
        <v>457</v>
      </c>
      <c r="B13" s="1551">
        <v>2000</v>
      </c>
      <c r="C13" s="1716">
        <f>'Expenditures 15-22'!K74</f>
        <v>2692459</v>
      </c>
      <c r="D13" s="1716">
        <f>'Expenditures 15-22'!K129</f>
        <v>1219448</v>
      </c>
      <c r="E13" s="468" t="s">
        <v>1169</v>
      </c>
      <c r="F13" s="1716">
        <f>'Expenditures 15-22'!K184</f>
        <v>2494450</v>
      </c>
      <c r="G13" s="1716">
        <f>'Expenditures 15-22'!K279</f>
        <v>248958</v>
      </c>
      <c r="H13" s="1716">
        <f>'Expenditures 15-22'!K303</f>
        <v>0</v>
      </c>
      <c r="I13" s="467" t="s">
        <v>1169</v>
      </c>
      <c r="J13" s="1716">
        <f>'Expenditures 15-22'!K330</f>
        <v>0</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220394</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1880080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8513049</v>
      </c>
      <c r="D17" s="1661">
        <f t="shared" si="2"/>
        <v>1219448</v>
      </c>
      <c r="E17" s="1661">
        <f t="shared" si="2"/>
        <v>1880080</v>
      </c>
      <c r="F17" s="1661">
        <f t="shared" si="2"/>
        <v>2494450</v>
      </c>
      <c r="G17" s="1661">
        <f t="shared" si="2"/>
        <v>354912</v>
      </c>
      <c r="H17" s="1661">
        <f t="shared" si="2"/>
        <v>0</v>
      </c>
      <c r="I17" s="467"/>
      <c r="J17" s="1661">
        <f>SUM(J12:J16)</f>
        <v>0</v>
      </c>
      <c r="K17" s="1661">
        <f>SUM(K12:K16)</f>
        <v>0</v>
      </c>
      <c r="L17" s="347"/>
    </row>
    <row r="18" spans="1:12" ht="15" customHeight="1" thickTop="1" x14ac:dyDescent="0.2">
      <c r="A18" s="1717" t="s">
        <v>1654</v>
      </c>
      <c r="B18" s="1718">
        <v>4180</v>
      </c>
      <c r="C18" s="1715">
        <f t="shared" ref="C18:H18" si="3">C9</f>
        <v>3330795</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11843844</v>
      </c>
      <c r="D19" s="1661">
        <f t="shared" si="4"/>
        <v>1219448</v>
      </c>
      <c r="E19" s="1661">
        <f t="shared" si="4"/>
        <v>1880080</v>
      </c>
      <c r="F19" s="1661">
        <f t="shared" si="4"/>
        <v>2494450</v>
      </c>
      <c r="G19" s="1661">
        <f t="shared" si="4"/>
        <v>354912</v>
      </c>
      <c r="H19" s="1661">
        <f t="shared" si="4"/>
        <v>0</v>
      </c>
      <c r="I19" s="467"/>
      <c r="J19" s="1661">
        <f>SUM(J17:J18)</f>
        <v>0</v>
      </c>
      <c r="K19" s="1661">
        <f>SUM(K17:K18)</f>
        <v>0</v>
      </c>
      <c r="L19" s="347"/>
    </row>
    <row r="20" spans="1:12" ht="16.5" thickTop="1" thickBot="1" x14ac:dyDescent="0.25">
      <c r="A20" s="2193" t="s">
        <v>1655</v>
      </c>
      <c r="B20" s="2194"/>
      <c r="C20" s="1719">
        <f>C8-C17</f>
        <v>1425103</v>
      </c>
      <c r="D20" s="1719">
        <f t="shared" ref="D20:K20" si="5">D8-D17</f>
        <v>414002</v>
      </c>
      <c r="E20" s="1719">
        <f t="shared" si="5"/>
        <v>-221392</v>
      </c>
      <c r="F20" s="1719">
        <f t="shared" si="5"/>
        <v>-655342</v>
      </c>
      <c r="G20" s="1719">
        <f t="shared" si="5"/>
        <v>-20022</v>
      </c>
      <c r="H20" s="1719">
        <f t="shared" si="5"/>
        <v>26028</v>
      </c>
      <c r="I20" s="1719">
        <f t="shared" si="5"/>
        <v>165996</v>
      </c>
      <c r="J20" s="1719">
        <f t="shared" si="5"/>
        <v>0</v>
      </c>
      <c r="K20" s="1719">
        <f t="shared" si="5"/>
        <v>0</v>
      </c>
      <c r="L20" s="347"/>
    </row>
    <row r="21" spans="1:12" ht="16.7" customHeight="1" thickTop="1" x14ac:dyDescent="0.2">
      <c r="A21" s="2205" t="s">
        <v>595</v>
      </c>
      <c r="B21" s="2206"/>
      <c r="C21" s="1543"/>
      <c r="D21" s="1544"/>
      <c r="E21" s="1544"/>
      <c r="F21" s="1544"/>
      <c r="G21" s="1544"/>
      <c r="H21" s="1544"/>
      <c r="I21" s="1544"/>
      <c r="J21" s="1544"/>
      <c r="K21" s="1545"/>
      <c r="L21" s="517"/>
    </row>
    <row r="22" spans="1:12" ht="15.75" customHeight="1" collapsed="1" x14ac:dyDescent="0.2">
      <c r="A22" s="2201" t="s">
        <v>596</v>
      </c>
      <c r="B22" s="2202"/>
      <c r="C22" s="473"/>
      <c r="D22" s="473"/>
      <c r="E22" s="473"/>
      <c r="F22" s="473"/>
      <c r="G22" s="473"/>
      <c r="H22" s="473"/>
      <c r="I22" s="473"/>
      <c r="J22" s="473"/>
      <c r="K22" s="473"/>
      <c r="L22" s="347"/>
    </row>
    <row r="23" spans="1:12" s="481" customFormat="1" ht="15.75" customHeight="1" x14ac:dyDescent="0.2">
      <c r="A23" s="2197" t="s">
        <v>293</v>
      </c>
      <c r="B23" s="2198"/>
      <c r="C23" s="476"/>
      <c r="D23" s="473"/>
      <c r="E23" s="473"/>
      <c r="F23" s="473"/>
      <c r="G23" s="473"/>
      <c r="H23" s="473"/>
      <c r="I23" s="473"/>
      <c r="J23" s="473"/>
      <c r="K23" s="473"/>
      <c r="L23" s="517"/>
    </row>
    <row r="24" spans="1:12" s="481" customFormat="1" ht="13.5" customHeight="1" x14ac:dyDescent="0.2">
      <c r="A24" s="1462" t="s">
        <v>1656</v>
      </c>
      <c r="B24" s="518">
        <v>7110</v>
      </c>
      <c r="C24" s="1923"/>
      <c r="D24" s="473"/>
      <c r="E24" s="473"/>
      <c r="F24" s="473"/>
      <c r="G24" s="473"/>
      <c r="H24" s="473"/>
      <c r="I24" s="473"/>
      <c r="J24" s="473"/>
      <c r="K24" s="473"/>
      <c r="L24" s="517"/>
    </row>
    <row r="25" spans="1:12" s="481" customFormat="1" ht="13.5" customHeight="1" x14ac:dyDescent="0.2">
      <c r="A25" s="1462" t="s">
        <v>1657</v>
      </c>
      <c r="B25" s="518">
        <v>7110</v>
      </c>
      <c r="C25" s="1923">
        <v>0</v>
      </c>
      <c r="D25" s="1923">
        <v>0</v>
      </c>
      <c r="E25" s="1923">
        <v>0</v>
      </c>
      <c r="F25" s="1923">
        <v>0</v>
      </c>
      <c r="G25" s="1923">
        <v>0</v>
      </c>
      <c r="H25" s="1923">
        <v>0</v>
      </c>
      <c r="I25" s="473"/>
      <c r="J25" s="1923">
        <v>0</v>
      </c>
      <c r="K25" s="1923">
        <v>0</v>
      </c>
      <c r="L25" s="517"/>
    </row>
    <row r="26" spans="1:12" s="481" customFormat="1" ht="13.5" customHeight="1" x14ac:dyDescent="0.2">
      <c r="A26" s="1462" t="s">
        <v>184</v>
      </c>
      <c r="B26" s="479">
        <v>7120</v>
      </c>
      <c r="C26" s="1923">
        <v>0</v>
      </c>
      <c r="D26" s="1923">
        <v>0</v>
      </c>
      <c r="E26" s="1923">
        <v>0</v>
      </c>
      <c r="F26" s="1923">
        <v>0</v>
      </c>
      <c r="G26" s="1923">
        <v>0</v>
      </c>
      <c r="H26" s="1923">
        <v>0</v>
      </c>
      <c r="I26" s="473"/>
      <c r="J26" s="1923">
        <v>0</v>
      </c>
      <c r="K26" s="1923">
        <v>0</v>
      </c>
      <c r="L26" s="517"/>
    </row>
    <row r="27" spans="1:12" s="481" customFormat="1" ht="13.5" customHeight="1" x14ac:dyDescent="0.2">
      <c r="A27" s="1462" t="s">
        <v>185</v>
      </c>
      <c r="B27" s="479">
        <v>7130</v>
      </c>
      <c r="C27" s="1923">
        <v>0</v>
      </c>
      <c r="D27" s="1923">
        <v>0</v>
      </c>
      <c r="E27" s="519"/>
      <c r="F27" s="1923">
        <v>0</v>
      </c>
      <c r="G27" s="476"/>
      <c r="H27" s="476"/>
      <c r="I27" s="476"/>
      <c r="J27" s="476"/>
      <c r="K27" s="476"/>
      <c r="L27" s="517"/>
    </row>
    <row r="28" spans="1:12" s="481" customFormat="1" ht="13.5" customHeight="1" x14ac:dyDescent="0.2">
      <c r="A28" s="1462" t="s">
        <v>1398</v>
      </c>
      <c r="B28" s="479">
        <v>7140</v>
      </c>
      <c r="C28" s="1923">
        <v>0</v>
      </c>
      <c r="D28" s="1923">
        <v>0</v>
      </c>
      <c r="E28" s="1923">
        <v>0</v>
      </c>
      <c r="F28" s="1923">
        <v>0</v>
      </c>
      <c r="G28" s="1923">
        <v>0</v>
      </c>
      <c r="H28" s="1923">
        <v>0</v>
      </c>
      <c r="I28" s="1923">
        <v>0</v>
      </c>
      <c r="J28" s="1923">
        <v>0</v>
      </c>
      <c r="K28" s="1923">
        <v>0</v>
      </c>
      <c r="L28" s="517"/>
    </row>
    <row r="29" spans="1:12" s="481" customFormat="1" ht="13.5" customHeight="1" x14ac:dyDescent="0.2">
      <c r="A29" s="1462" t="s">
        <v>294</v>
      </c>
      <c r="B29" s="479">
        <v>7150</v>
      </c>
      <c r="C29" s="472"/>
      <c r="D29" s="1923">
        <v>0</v>
      </c>
      <c r="E29" s="472"/>
      <c r="F29" s="472"/>
      <c r="G29" s="472"/>
      <c r="H29" s="472"/>
      <c r="I29" s="472"/>
      <c r="J29" s="472"/>
      <c r="K29" s="472"/>
      <c r="L29" s="517"/>
    </row>
    <row r="30" spans="1:12" s="481" customFormat="1" ht="26.25" x14ac:dyDescent="0.2">
      <c r="A30" s="1462" t="s">
        <v>1794</v>
      </c>
      <c r="B30" s="520">
        <v>7160</v>
      </c>
      <c r="C30" s="473"/>
      <c r="D30" s="1923">
        <v>0</v>
      </c>
      <c r="E30" s="473"/>
      <c r="F30" s="473"/>
      <c r="G30" s="473"/>
      <c r="H30" s="473"/>
      <c r="I30" s="473"/>
      <c r="J30" s="473"/>
      <c r="K30" s="473"/>
      <c r="L30" s="517"/>
    </row>
    <row r="31" spans="1:12" s="481" customFormat="1" ht="26.25" x14ac:dyDescent="0.2">
      <c r="A31" s="1462" t="s">
        <v>1798</v>
      </c>
      <c r="B31" s="520">
        <v>7170</v>
      </c>
      <c r="C31" s="473"/>
      <c r="D31" s="473"/>
      <c r="E31" s="1924">
        <v>0</v>
      </c>
      <c r="F31" s="473"/>
      <c r="G31" s="473"/>
      <c r="H31" s="473"/>
      <c r="I31" s="473"/>
      <c r="J31" s="473"/>
      <c r="K31" s="473"/>
      <c r="L31" s="517"/>
    </row>
    <row r="32" spans="1:12" s="481" customFormat="1" ht="15.75" customHeight="1" x14ac:dyDescent="0.2">
      <c r="A32" s="2199" t="s">
        <v>981</v>
      </c>
      <c r="B32" s="2200"/>
      <c r="C32" s="473"/>
      <c r="D32" s="473"/>
      <c r="E32" s="472"/>
      <c r="F32" s="473"/>
      <c r="G32" s="473"/>
      <c r="H32" s="473"/>
      <c r="I32" s="473"/>
      <c r="J32" s="473"/>
      <c r="K32" s="473"/>
      <c r="L32" s="517"/>
    </row>
    <row r="33" spans="1:12" s="481" customFormat="1" x14ac:dyDescent="0.2">
      <c r="A33" s="1462" t="s">
        <v>412</v>
      </c>
      <c r="B33" s="518">
        <v>7210</v>
      </c>
      <c r="C33" s="1923">
        <v>0</v>
      </c>
      <c r="D33" s="1923">
        <v>0</v>
      </c>
      <c r="E33" s="1923">
        <v>0</v>
      </c>
      <c r="F33" s="1923">
        <v>0</v>
      </c>
      <c r="G33" s="473"/>
      <c r="H33" s="1923">
        <v>0</v>
      </c>
      <c r="I33" s="1923">
        <v>0</v>
      </c>
      <c r="J33" s="1923">
        <v>0</v>
      </c>
      <c r="K33" s="1923">
        <v>0</v>
      </c>
      <c r="L33" s="517"/>
    </row>
    <row r="34" spans="1:12" s="481" customFormat="1" x14ac:dyDescent="0.2">
      <c r="A34" s="1462" t="s">
        <v>1001</v>
      </c>
      <c r="B34" s="518">
        <v>7220</v>
      </c>
      <c r="C34" s="1923">
        <v>0</v>
      </c>
      <c r="D34" s="1923">
        <v>0</v>
      </c>
      <c r="E34" s="1923">
        <v>0</v>
      </c>
      <c r="F34" s="1923">
        <v>0</v>
      </c>
      <c r="G34" s="473"/>
      <c r="H34" s="474">
        <v>0</v>
      </c>
      <c r="I34" s="474">
        <v>0</v>
      </c>
      <c r="J34" s="474">
        <v>0</v>
      </c>
      <c r="K34" s="474">
        <v>0</v>
      </c>
      <c r="L34" s="517"/>
    </row>
    <row r="35" spans="1:12" s="481" customFormat="1" x14ac:dyDescent="0.2">
      <c r="A35" s="1462" t="s">
        <v>990</v>
      </c>
      <c r="B35" s="518">
        <v>7230</v>
      </c>
      <c r="C35" s="1923">
        <v>0</v>
      </c>
      <c r="D35" s="1923">
        <v>0</v>
      </c>
      <c r="E35" s="1923">
        <v>0</v>
      </c>
      <c r="F35" s="1923">
        <v>0</v>
      </c>
      <c r="G35" s="476"/>
      <c r="H35" s="1923">
        <v>0</v>
      </c>
      <c r="I35" s="1923">
        <v>0</v>
      </c>
      <c r="J35" s="1923">
        <v>0</v>
      </c>
      <c r="K35" s="1923">
        <v>0</v>
      </c>
      <c r="L35" s="517"/>
    </row>
    <row r="36" spans="1:12" s="481" customFormat="1" ht="15" x14ac:dyDescent="0.2">
      <c r="A36" s="1462" t="s">
        <v>1658</v>
      </c>
      <c r="B36" s="518">
        <v>7300</v>
      </c>
      <c r="C36" s="1923">
        <v>0</v>
      </c>
      <c r="D36" s="1923">
        <v>0</v>
      </c>
      <c r="E36" s="1923">
        <v>0</v>
      </c>
      <c r="F36" s="1923">
        <v>0</v>
      </c>
      <c r="G36" s="1923">
        <v>0</v>
      </c>
      <c r="H36" s="1923">
        <v>0</v>
      </c>
      <c r="I36" s="472"/>
      <c r="J36" s="1923">
        <v>0</v>
      </c>
      <c r="K36" s="1923">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3">
        <v>0</v>
      </c>
      <c r="D42" s="1923">
        <v>0</v>
      </c>
      <c r="E42" s="1923">
        <v>0</v>
      </c>
      <c r="F42" s="1923">
        <v>0</v>
      </c>
      <c r="G42" s="1923">
        <v>0</v>
      </c>
      <c r="H42" s="1923">
        <v>0</v>
      </c>
      <c r="I42" s="476"/>
      <c r="J42" s="476"/>
      <c r="K42" s="1923">
        <v>0</v>
      </c>
      <c r="L42" s="517"/>
    </row>
    <row r="43" spans="1:12" s="481" customFormat="1" ht="13.5" customHeight="1" x14ac:dyDescent="0.2">
      <c r="A43" s="1462" t="s">
        <v>373</v>
      </c>
      <c r="B43" s="479">
        <v>7990</v>
      </c>
      <c r="C43" s="1923">
        <v>0</v>
      </c>
      <c r="D43" s="1923">
        <v>0</v>
      </c>
      <c r="E43" s="1923">
        <v>205000</v>
      </c>
      <c r="F43" s="1923">
        <v>0</v>
      </c>
      <c r="G43" s="1923">
        <v>0</v>
      </c>
      <c r="H43" s="1923">
        <v>0</v>
      </c>
      <c r="I43" s="1923">
        <v>0</v>
      </c>
      <c r="J43" s="1923">
        <v>0</v>
      </c>
      <c r="K43" s="1923">
        <v>0</v>
      </c>
      <c r="L43" s="517"/>
    </row>
    <row r="44" spans="1:12" s="481" customFormat="1" ht="13.5" customHeight="1" thickBot="1" x14ac:dyDescent="0.25">
      <c r="A44" s="2207" t="s">
        <v>374</v>
      </c>
      <c r="B44" s="2208"/>
      <c r="C44" s="1676">
        <f>SUM(C24:C43)</f>
        <v>0</v>
      </c>
      <c r="D44" s="1676">
        <f t="shared" ref="D44:K44" si="6">SUM(D24:D43)</f>
        <v>0</v>
      </c>
      <c r="E44" s="1676">
        <f t="shared" si="6"/>
        <v>205000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1" t="s">
        <v>108</v>
      </c>
      <c r="B45" s="2202"/>
      <c r="C45" s="521"/>
      <c r="D45" s="521"/>
      <c r="E45" s="521"/>
      <c r="F45" s="521"/>
      <c r="G45" s="521"/>
      <c r="H45" s="521"/>
      <c r="I45" s="521"/>
      <c r="J45" s="521"/>
      <c r="K45" s="521"/>
      <c r="L45" s="347"/>
    </row>
    <row r="46" spans="1:12" s="481" customFormat="1" ht="15.75" customHeight="1" x14ac:dyDescent="0.2">
      <c r="A46" s="2209" t="s">
        <v>109</v>
      </c>
      <c r="B46" s="2210"/>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3">
        <v>0</v>
      </c>
      <c r="D49" s="1923">
        <v>0</v>
      </c>
      <c r="E49" s="476"/>
      <c r="F49" s="1923">
        <v>0</v>
      </c>
      <c r="G49" s="476"/>
      <c r="H49" s="476"/>
      <c r="I49" s="473"/>
      <c r="J49" s="476"/>
      <c r="K49" s="473"/>
      <c r="L49" s="517"/>
    </row>
    <row r="50" spans="1:12" s="481" customFormat="1" x14ac:dyDescent="0.2">
      <c r="A50" s="1463" t="s">
        <v>1398</v>
      </c>
      <c r="B50" s="479">
        <v>8140</v>
      </c>
      <c r="C50" s="1923">
        <v>0</v>
      </c>
      <c r="D50" s="1923">
        <v>0</v>
      </c>
      <c r="E50" s="1923">
        <v>0</v>
      </c>
      <c r="F50" s="1923">
        <v>0</v>
      </c>
      <c r="G50" s="1923">
        <v>0</v>
      </c>
      <c r="H50" s="1923">
        <v>0</v>
      </c>
      <c r="I50" s="473"/>
      <c r="J50" s="1923">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5">
        <v>0</v>
      </c>
      <c r="D54" s="1925">
        <v>0</v>
      </c>
      <c r="E54" s="473"/>
      <c r="F54" s="473"/>
      <c r="G54" s="473"/>
      <c r="H54" s="1929">
        <v>0</v>
      </c>
      <c r="I54" s="473"/>
      <c r="J54" s="473"/>
      <c r="K54" s="472"/>
      <c r="L54" s="517"/>
    </row>
    <row r="55" spans="1:12" s="481" customFormat="1" ht="14.25" thickTop="1" thickBot="1" x14ac:dyDescent="0.25">
      <c r="A55" s="1464" t="s">
        <v>693</v>
      </c>
      <c r="B55" s="479">
        <v>8420</v>
      </c>
      <c r="C55" s="1926">
        <v>0</v>
      </c>
      <c r="D55" s="1926">
        <v>0</v>
      </c>
      <c r="E55" s="473"/>
      <c r="F55" s="473"/>
      <c r="G55" s="473"/>
      <c r="H55" s="1929">
        <v>0</v>
      </c>
      <c r="I55" s="473"/>
      <c r="J55" s="473"/>
      <c r="K55" s="473"/>
      <c r="L55" s="517"/>
    </row>
    <row r="56" spans="1:12" s="481" customFormat="1" ht="14.25" thickTop="1" thickBot="1" x14ac:dyDescent="0.25">
      <c r="A56" s="1463" t="s">
        <v>581</v>
      </c>
      <c r="B56" s="479">
        <v>8430</v>
      </c>
      <c r="C56" s="1926">
        <v>0</v>
      </c>
      <c r="D56" s="1926">
        <v>0</v>
      </c>
      <c r="E56" s="473"/>
      <c r="F56" s="473"/>
      <c r="G56" s="473"/>
      <c r="H56" s="1929">
        <v>0</v>
      </c>
      <c r="I56" s="473"/>
      <c r="J56" s="473"/>
      <c r="K56" s="473"/>
      <c r="L56" s="517"/>
    </row>
    <row r="57" spans="1:12" s="481" customFormat="1" ht="14.25" thickTop="1" thickBot="1" x14ac:dyDescent="0.25">
      <c r="A57" s="1464" t="s">
        <v>578</v>
      </c>
      <c r="B57" s="479">
        <v>8440</v>
      </c>
      <c r="C57" s="1926">
        <v>0</v>
      </c>
      <c r="D57" s="1926">
        <v>0</v>
      </c>
      <c r="E57" s="473"/>
      <c r="F57" s="473"/>
      <c r="G57" s="473"/>
      <c r="H57" s="1929">
        <v>0</v>
      </c>
      <c r="I57" s="473"/>
      <c r="J57" s="473"/>
      <c r="K57" s="473"/>
      <c r="L57" s="517"/>
    </row>
    <row r="58" spans="1:12" s="481" customFormat="1" ht="14.25" thickTop="1" thickBot="1" x14ac:dyDescent="0.25">
      <c r="A58" s="1463" t="s">
        <v>579</v>
      </c>
      <c r="B58" s="479">
        <v>8510</v>
      </c>
      <c r="C58" s="1926">
        <v>0</v>
      </c>
      <c r="D58" s="1926">
        <v>0</v>
      </c>
      <c r="E58" s="473"/>
      <c r="F58" s="473"/>
      <c r="G58" s="473"/>
      <c r="H58" s="1929">
        <v>0</v>
      </c>
      <c r="I58" s="473"/>
      <c r="J58" s="473"/>
      <c r="K58" s="473"/>
      <c r="L58" s="517"/>
    </row>
    <row r="59" spans="1:12" s="481" customFormat="1" ht="14.25" thickTop="1" thickBot="1" x14ac:dyDescent="0.25">
      <c r="A59" s="1465" t="s">
        <v>694</v>
      </c>
      <c r="B59" s="479">
        <v>8520</v>
      </c>
      <c r="C59" s="1926">
        <v>0</v>
      </c>
      <c r="D59" s="1926">
        <v>0</v>
      </c>
      <c r="E59" s="473"/>
      <c r="F59" s="473"/>
      <c r="G59" s="473"/>
      <c r="H59" s="1929">
        <v>0</v>
      </c>
      <c r="I59" s="473"/>
      <c r="J59" s="473"/>
      <c r="K59" s="473"/>
      <c r="L59" s="517"/>
    </row>
    <row r="60" spans="1:12" s="481" customFormat="1" ht="14.25" thickTop="1" thickBot="1" x14ac:dyDescent="0.25">
      <c r="A60" s="1463" t="s">
        <v>580</v>
      </c>
      <c r="B60" s="479">
        <v>8530</v>
      </c>
      <c r="C60" s="1926">
        <v>0</v>
      </c>
      <c r="D60" s="1926">
        <v>0</v>
      </c>
      <c r="E60" s="473"/>
      <c r="F60" s="473"/>
      <c r="G60" s="473"/>
      <c r="H60" s="1929">
        <v>0</v>
      </c>
      <c r="I60" s="473"/>
      <c r="J60" s="473"/>
      <c r="K60" s="473"/>
      <c r="L60" s="517"/>
    </row>
    <row r="61" spans="1:12" s="481" customFormat="1" ht="14.25" thickTop="1" thickBot="1" x14ac:dyDescent="0.25">
      <c r="A61" s="1464" t="s">
        <v>743</v>
      </c>
      <c r="B61" s="479">
        <v>8540</v>
      </c>
      <c r="C61" s="1926">
        <v>0</v>
      </c>
      <c r="D61" s="1926">
        <v>0</v>
      </c>
      <c r="E61" s="473"/>
      <c r="F61" s="473"/>
      <c r="G61" s="473"/>
      <c r="H61" s="1929">
        <v>0</v>
      </c>
      <c r="I61" s="473"/>
      <c r="J61" s="473"/>
      <c r="K61" s="473"/>
      <c r="L61" s="517"/>
    </row>
    <row r="62" spans="1:12" s="481" customFormat="1" ht="13.5" customHeight="1" thickTop="1" thickBot="1" x14ac:dyDescent="0.25">
      <c r="A62" s="1463" t="s">
        <v>744</v>
      </c>
      <c r="B62" s="479">
        <v>8610</v>
      </c>
      <c r="C62" s="1926">
        <v>0</v>
      </c>
      <c r="D62" s="1926">
        <v>0</v>
      </c>
      <c r="E62" s="473"/>
      <c r="F62" s="473"/>
      <c r="G62" s="473"/>
      <c r="H62" s="473"/>
      <c r="I62" s="473"/>
      <c r="J62" s="473"/>
      <c r="K62" s="473"/>
      <c r="L62" s="517"/>
    </row>
    <row r="63" spans="1:12" s="481" customFormat="1" ht="14.25" thickTop="1" thickBot="1" x14ac:dyDescent="0.25">
      <c r="A63" s="1464" t="s">
        <v>695</v>
      </c>
      <c r="B63" s="479">
        <v>8620</v>
      </c>
      <c r="C63" s="1926">
        <v>0</v>
      </c>
      <c r="D63" s="1926">
        <v>0</v>
      </c>
      <c r="E63" s="473"/>
      <c r="F63" s="473"/>
      <c r="G63" s="473"/>
      <c r="H63" s="473"/>
      <c r="I63" s="473"/>
      <c r="J63" s="473"/>
      <c r="K63" s="473"/>
      <c r="L63" s="517"/>
    </row>
    <row r="64" spans="1:12" s="481" customFormat="1" ht="13.5" customHeight="1" thickTop="1" thickBot="1" x14ac:dyDescent="0.25">
      <c r="A64" s="1463" t="s">
        <v>745</v>
      </c>
      <c r="B64" s="479">
        <v>8630</v>
      </c>
      <c r="C64" s="1926">
        <v>0</v>
      </c>
      <c r="D64" s="1926">
        <v>0</v>
      </c>
      <c r="E64" s="473"/>
      <c r="F64" s="473"/>
      <c r="G64" s="473"/>
      <c r="H64" s="473"/>
      <c r="I64" s="473"/>
      <c r="J64" s="473"/>
      <c r="K64" s="473"/>
      <c r="L64" s="517"/>
    </row>
    <row r="65" spans="1:12" s="481" customFormat="1" ht="14.25" thickTop="1" thickBot="1" x14ac:dyDescent="0.25">
      <c r="A65" s="1464" t="s">
        <v>746</v>
      </c>
      <c r="B65" s="479">
        <v>8640</v>
      </c>
      <c r="C65" s="1926">
        <v>0</v>
      </c>
      <c r="D65" s="1926">
        <v>0</v>
      </c>
      <c r="E65" s="473"/>
      <c r="F65" s="473"/>
      <c r="G65" s="473"/>
      <c r="H65" s="473"/>
      <c r="I65" s="473"/>
      <c r="J65" s="473"/>
      <c r="K65" s="473"/>
      <c r="L65" s="517"/>
    </row>
    <row r="66" spans="1:12" s="481" customFormat="1" ht="14.25" thickTop="1" thickBot="1" x14ac:dyDescent="0.25">
      <c r="A66" s="1463" t="s">
        <v>747</v>
      </c>
      <c r="B66" s="479">
        <v>8710</v>
      </c>
      <c r="C66" s="1926">
        <v>0</v>
      </c>
      <c r="D66" s="1926">
        <v>0</v>
      </c>
      <c r="E66" s="473"/>
      <c r="F66" s="473"/>
      <c r="G66" s="473"/>
      <c r="H66" s="473"/>
      <c r="I66" s="473"/>
      <c r="J66" s="473"/>
      <c r="K66" s="473"/>
      <c r="L66" s="517"/>
    </row>
    <row r="67" spans="1:12" s="481" customFormat="1" ht="14.25" thickTop="1" thickBot="1" x14ac:dyDescent="0.25">
      <c r="A67" s="1464" t="s">
        <v>696</v>
      </c>
      <c r="B67" s="479">
        <v>8720</v>
      </c>
      <c r="C67" s="1926">
        <v>0</v>
      </c>
      <c r="D67" s="1926">
        <v>0</v>
      </c>
      <c r="E67" s="473"/>
      <c r="F67" s="473"/>
      <c r="G67" s="473"/>
      <c r="H67" s="473"/>
      <c r="I67" s="473"/>
      <c r="J67" s="473"/>
      <c r="K67" s="473"/>
      <c r="L67" s="517"/>
    </row>
    <row r="68" spans="1:12" s="481" customFormat="1" ht="14.25" thickTop="1" thickBot="1" x14ac:dyDescent="0.25">
      <c r="A68" s="1465" t="s">
        <v>748</v>
      </c>
      <c r="B68" s="479">
        <v>8730</v>
      </c>
      <c r="C68" s="1926">
        <v>0</v>
      </c>
      <c r="D68" s="1926">
        <v>0</v>
      </c>
      <c r="E68" s="473"/>
      <c r="F68" s="473"/>
      <c r="G68" s="473"/>
      <c r="H68" s="473"/>
      <c r="I68" s="473"/>
      <c r="J68" s="473"/>
      <c r="K68" s="473"/>
      <c r="L68" s="517"/>
    </row>
    <row r="69" spans="1:12" s="481" customFormat="1" ht="14.25" thickTop="1" thickBot="1" x14ac:dyDescent="0.25">
      <c r="A69" s="1464" t="s">
        <v>749</v>
      </c>
      <c r="B69" s="479">
        <v>8740</v>
      </c>
      <c r="C69" s="1926">
        <v>0</v>
      </c>
      <c r="D69" s="1926">
        <v>0</v>
      </c>
      <c r="E69" s="473"/>
      <c r="F69" s="473"/>
      <c r="G69" s="473"/>
      <c r="H69" s="473"/>
      <c r="I69" s="473"/>
      <c r="J69" s="473"/>
      <c r="K69" s="473"/>
      <c r="L69" s="517"/>
    </row>
    <row r="70" spans="1:12" s="481" customFormat="1" ht="14.25" thickTop="1" thickBot="1" x14ac:dyDescent="0.25">
      <c r="A70" s="1463" t="s">
        <v>750</v>
      </c>
      <c r="B70" s="479">
        <v>8810</v>
      </c>
      <c r="C70" s="1926">
        <v>0</v>
      </c>
      <c r="D70" s="1926">
        <v>0</v>
      </c>
      <c r="E70" s="473"/>
      <c r="F70" s="473"/>
      <c r="G70" s="473"/>
      <c r="H70" s="473"/>
      <c r="I70" s="473"/>
      <c r="J70" s="473"/>
      <c r="K70" s="473"/>
      <c r="L70" s="517"/>
    </row>
    <row r="71" spans="1:12" s="481" customFormat="1" ht="14.25" thickTop="1" thickBot="1" x14ac:dyDescent="0.25">
      <c r="A71" s="1463" t="s">
        <v>754</v>
      </c>
      <c r="B71" s="479">
        <v>8820</v>
      </c>
      <c r="C71" s="1926">
        <v>0</v>
      </c>
      <c r="D71" s="1926">
        <v>0</v>
      </c>
      <c r="E71" s="473"/>
      <c r="F71" s="473"/>
      <c r="G71" s="473"/>
      <c r="H71" s="473"/>
      <c r="I71" s="473"/>
      <c r="J71" s="473"/>
      <c r="K71" s="473"/>
      <c r="L71" s="517"/>
    </row>
    <row r="72" spans="1:12" s="481" customFormat="1" ht="14.25" thickTop="1" thickBot="1" x14ac:dyDescent="0.25">
      <c r="A72" s="1463" t="s">
        <v>751</v>
      </c>
      <c r="B72" s="479">
        <v>8830</v>
      </c>
      <c r="C72" s="1926">
        <v>0</v>
      </c>
      <c r="D72" s="1926">
        <v>0</v>
      </c>
      <c r="E72" s="473"/>
      <c r="F72" s="473"/>
      <c r="G72" s="473"/>
      <c r="H72" s="473"/>
      <c r="I72" s="473"/>
      <c r="J72" s="473"/>
      <c r="K72" s="473"/>
      <c r="L72" s="517"/>
    </row>
    <row r="73" spans="1:12" s="481" customFormat="1" ht="14.25" thickTop="1" thickBot="1" x14ac:dyDescent="0.25">
      <c r="A73" s="1463" t="s">
        <v>752</v>
      </c>
      <c r="B73" s="479">
        <v>8840</v>
      </c>
      <c r="C73" s="1926">
        <v>0</v>
      </c>
      <c r="D73" s="1926">
        <v>0</v>
      </c>
      <c r="E73" s="473"/>
      <c r="F73" s="473"/>
      <c r="G73" s="473"/>
      <c r="H73" s="473"/>
      <c r="I73" s="473"/>
      <c r="J73" s="473"/>
      <c r="K73" s="476"/>
      <c r="L73" s="517"/>
    </row>
    <row r="74" spans="1:12" s="481" customFormat="1" ht="14.25" thickTop="1" thickBot="1" x14ac:dyDescent="0.25">
      <c r="A74" s="1463" t="s">
        <v>375</v>
      </c>
      <c r="B74" s="479">
        <v>8910</v>
      </c>
      <c r="C74" s="1926">
        <v>0</v>
      </c>
      <c r="D74" s="1926">
        <v>0</v>
      </c>
      <c r="E74" s="476"/>
      <c r="F74" s="1929">
        <v>0</v>
      </c>
      <c r="G74" s="1929">
        <v>0</v>
      </c>
      <c r="H74" s="1929">
        <v>0</v>
      </c>
      <c r="I74" s="476"/>
      <c r="J74" s="476"/>
      <c r="K74" s="1929">
        <v>0</v>
      </c>
      <c r="L74" s="517"/>
    </row>
    <row r="75" spans="1:12" s="481" customFormat="1" ht="14.25" thickTop="1" thickBot="1" x14ac:dyDescent="0.25">
      <c r="A75" s="1466" t="s">
        <v>439</v>
      </c>
      <c r="B75" s="479">
        <v>8990</v>
      </c>
      <c r="C75" s="1926">
        <v>0</v>
      </c>
      <c r="D75" s="1926">
        <v>205000</v>
      </c>
      <c r="E75" s="1929">
        <v>0</v>
      </c>
      <c r="F75" s="1930">
        <v>0</v>
      </c>
      <c r="G75" s="1930">
        <v>0</v>
      </c>
      <c r="H75" s="1930">
        <v>0</v>
      </c>
      <c r="I75" s="1929">
        <v>0</v>
      </c>
      <c r="J75" s="1929">
        <v>0</v>
      </c>
      <c r="K75" s="1930">
        <v>0</v>
      </c>
      <c r="L75" s="517"/>
    </row>
    <row r="76" spans="1:12" s="481" customFormat="1" ht="14.25" thickTop="1" thickBot="1" x14ac:dyDescent="0.25">
      <c r="A76" s="2183" t="s">
        <v>440</v>
      </c>
      <c r="B76" s="2184"/>
      <c r="C76" s="1676">
        <f t="shared" ref="C76:K76" si="7">SUM(C47:C75)</f>
        <v>0</v>
      </c>
      <c r="D76" s="1676">
        <f t="shared" si="7"/>
        <v>205000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5" t="s">
        <v>1177</v>
      </c>
      <c r="B77" s="2186"/>
      <c r="C77" s="1676">
        <f t="shared" ref="C77:K77" si="8">C44-C76</f>
        <v>0</v>
      </c>
      <c r="D77" s="1676">
        <f t="shared" si="8"/>
        <v>-205000</v>
      </c>
      <c r="E77" s="1676">
        <f t="shared" si="8"/>
        <v>205000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89" t="s">
        <v>597</v>
      </c>
      <c r="B78" s="2190"/>
      <c r="C78" s="1675">
        <f t="shared" ref="C78:K78" si="9">C20+C77</f>
        <v>1425103</v>
      </c>
      <c r="D78" s="1675">
        <f t="shared" si="9"/>
        <v>209002</v>
      </c>
      <c r="E78" s="1675">
        <f t="shared" si="9"/>
        <v>-16392</v>
      </c>
      <c r="F78" s="1675">
        <f t="shared" si="9"/>
        <v>-655342</v>
      </c>
      <c r="G78" s="1675">
        <f t="shared" si="9"/>
        <v>-20022</v>
      </c>
      <c r="H78" s="1675">
        <f t="shared" si="9"/>
        <v>26028</v>
      </c>
      <c r="I78" s="1675">
        <f t="shared" si="9"/>
        <v>165996</v>
      </c>
      <c r="J78" s="1675">
        <f t="shared" si="9"/>
        <v>0</v>
      </c>
      <c r="K78" s="1675">
        <f t="shared" si="9"/>
        <v>0</v>
      </c>
      <c r="L78" s="524"/>
    </row>
    <row r="79" spans="1:12" ht="13.5" thickTop="1" x14ac:dyDescent="0.2">
      <c r="A79" s="1467" t="s">
        <v>1949</v>
      </c>
      <c r="B79" s="525"/>
      <c r="C79" s="474">
        <v>13645910</v>
      </c>
      <c r="D79" s="1931">
        <v>1541678</v>
      </c>
      <c r="E79" s="1931">
        <v>61522</v>
      </c>
      <c r="F79" s="1931">
        <v>803447</v>
      </c>
      <c r="G79" s="1931">
        <v>678343</v>
      </c>
      <c r="H79" s="1931">
        <v>169734</v>
      </c>
      <c r="I79" s="1931">
        <v>1060599</v>
      </c>
      <c r="J79" s="1931">
        <v>0</v>
      </c>
      <c r="K79" s="1931">
        <v>0</v>
      </c>
      <c r="L79" s="347"/>
    </row>
    <row r="80" spans="1:12" x14ac:dyDescent="0.2">
      <c r="A80" s="2195" t="s">
        <v>1795</v>
      </c>
      <c r="B80" s="2196"/>
      <c r="C80" s="466"/>
      <c r="D80" s="466"/>
      <c r="E80" s="466"/>
      <c r="F80" s="466"/>
      <c r="G80" s="466"/>
      <c r="H80" s="466"/>
      <c r="I80" s="466"/>
      <c r="J80" s="466"/>
      <c r="K80" s="466"/>
      <c r="L80" s="347"/>
    </row>
    <row r="81" spans="1:12" ht="13.5" thickBot="1" x14ac:dyDescent="0.25">
      <c r="A81" s="2187" t="s">
        <v>1950</v>
      </c>
      <c r="B81" s="2188"/>
      <c r="C81" s="1661">
        <f>(SUM(C78:C80))</f>
        <v>15071013</v>
      </c>
      <c r="D81" s="1661">
        <f>SUM(D78:D80)</f>
        <v>1750680</v>
      </c>
      <c r="E81" s="1661">
        <f t="shared" ref="E81:K81" si="10">SUM(E78:E80)</f>
        <v>45130</v>
      </c>
      <c r="F81" s="1661">
        <f t="shared" si="10"/>
        <v>148105</v>
      </c>
      <c r="G81" s="1661">
        <f t="shared" si="10"/>
        <v>658321</v>
      </c>
      <c r="H81" s="1661">
        <f t="shared" si="10"/>
        <v>195762</v>
      </c>
      <c r="I81" s="1661">
        <f t="shared" si="10"/>
        <v>1226595</v>
      </c>
      <c r="J81" s="1661">
        <f t="shared" si="10"/>
        <v>0</v>
      </c>
      <c r="K81" s="1661">
        <f t="shared" si="10"/>
        <v>0</v>
      </c>
      <c r="L81" s="347"/>
    </row>
    <row r="82" spans="1:12" ht="0.75" customHeight="1" thickTop="1" thickBot="1" x14ac:dyDescent="0.25">
      <c r="A82" s="526" t="s">
        <v>343</v>
      </c>
      <c r="B82" s="527"/>
      <c r="C82" s="528">
        <f>(C81-C79)</f>
        <v>1425103</v>
      </c>
      <c r="D82" s="528">
        <f t="shared" ref="D82:K82" si="11">(D81-D79)</f>
        <v>209002</v>
      </c>
      <c r="E82" s="528">
        <f t="shared" si="11"/>
        <v>-16392</v>
      </c>
      <c r="F82" s="528">
        <f t="shared" si="11"/>
        <v>-655342</v>
      </c>
      <c r="G82" s="528">
        <f t="shared" si="11"/>
        <v>-20022</v>
      </c>
      <c r="H82" s="528">
        <f t="shared" si="11"/>
        <v>26028</v>
      </c>
      <c r="I82" s="528">
        <f t="shared" si="11"/>
        <v>165996</v>
      </c>
      <c r="J82" s="528">
        <f t="shared" si="11"/>
        <v>0</v>
      </c>
      <c r="K82" s="528">
        <f t="shared" si="11"/>
        <v>0</v>
      </c>
    </row>
    <row r="83" spans="1:12" ht="14.25" hidden="1" thickTop="1" thickBot="1" x14ac:dyDescent="0.25">
      <c r="A83" s="529" t="s">
        <v>344</v>
      </c>
      <c r="B83" s="464"/>
      <c r="C83" s="530">
        <f>C82/C81</f>
        <v>9.4559204480813605E-2</v>
      </c>
      <c r="D83" s="530">
        <f t="shared" ref="D83:K83" si="12">D82/D81</f>
        <v>0.11938332533644069</v>
      </c>
      <c r="E83" s="530">
        <f t="shared" si="12"/>
        <v>-0.36321737203633947</v>
      </c>
      <c r="F83" s="530">
        <f t="shared" si="12"/>
        <v>-4.4248472367577056</v>
      </c>
      <c r="G83" s="530">
        <f t="shared" si="12"/>
        <v>-3.04137343332508E-2</v>
      </c>
      <c r="H83" s="530">
        <f t="shared" si="12"/>
        <v>0.13295736659821619</v>
      </c>
      <c r="I83" s="530">
        <f t="shared" si="12"/>
        <v>0.13533073263791226</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110" zoomScaleNormal="110" zoomScaleSheetLayoutView="75" workbookViewId="0">
      <pane ySplit="2" topLeftCell="A179" activePane="bottomLeft" state="frozen"/>
      <selection activeCell="AF22" sqref="AF22"/>
      <selection pane="bottomLeft" activeCell="C213" sqref="C213"/>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1" t="s">
        <v>1802</v>
      </c>
      <c r="B1" s="452"/>
      <c r="C1" s="453" t="s">
        <v>425</v>
      </c>
      <c r="D1" s="453" t="s">
        <v>426</v>
      </c>
      <c r="E1" s="453" t="s">
        <v>427</v>
      </c>
      <c r="F1" s="453" t="s">
        <v>428</v>
      </c>
      <c r="G1" s="453" t="s">
        <v>429</v>
      </c>
      <c r="H1" s="453" t="s">
        <v>430</v>
      </c>
      <c r="I1" s="453" t="s">
        <v>431</v>
      </c>
      <c r="J1" s="453" t="s">
        <v>432</v>
      </c>
      <c r="K1" s="453" t="s">
        <v>756</v>
      </c>
    </row>
    <row r="2" spans="1:12" ht="36" x14ac:dyDescent="0.2">
      <c r="A2" s="2192"/>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7361058</v>
      </c>
      <c r="D5" s="477">
        <v>1614561</v>
      </c>
      <c r="E5" s="1927">
        <v>1656810</v>
      </c>
      <c r="F5" s="1935">
        <v>496796</v>
      </c>
      <c r="G5" s="1933">
        <v>94904</v>
      </c>
      <c r="H5" s="1933">
        <v>0</v>
      </c>
      <c r="I5" s="1933">
        <v>157635</v>
      </c>
      <c r="J5" s="1937">
        <v>0</v>
      </c>
      <c r="K5" s="1936">
        <v>0</v>
      </c>
    </row>
    <row r="6" spans="1:12" ht="15" x14ac:dyDescent="0.2">
      <c r="A6" s="463" t="s">
        <v>1662</v>
      </c>
      <c r="B6" s="469">
        <v>1130</v>
      </c>
      <c r="C6" s="1927">
        <v>0</v>
      </c>
      <c r="D6" s="1927">
        <v>0</v>
      </c>
      <c r="E6" s="472"/>
      <c r="F6" s="472"/>
      <c r="G6" s="467"/>
      <c r="H6" s="467"/>
      <c r="I6" s="467"/>
      <c r="J6" s="467"/>
      <c r="K6" s="467"/>
    </row>
    <row r="7" spans="1:12" x14ac:dyDescent="0.2">
      <c r="A7" s="463" t="s">
        <v>110</v>
      </c>
      <c r="B7" s="538">
        <v>1140</v>
      </c>
      <c r="C7" s="1927">
        <v>109866</v>
      </c>
      <c r="D7" s="1927">
        <v>0</v>
      </c>
      <c r="E7" s="467"/>
      <c r="F7" s="1934">
        <v>0</v>
      </c>
      <c r="G7" s="1934">
        <v>0</v>
      </c>
      <c r="H7" s="1934">
        <v>0</v>
      </c>
      <c r="I7" s="467"/>
      <c r="J7" s="467"/>
      <c r="K7" s="467"/>
    </row>
    <row r="8" spans="1:12" x14ac:dyDescent="0.2">
      <c r="A8" s="463" t="s">
        <v>413</v>
      </c>
      <c r="B8" s="469">
        <v>1150</v>
      </c>
      <c r="C8" s="472"/>
      <c r="D8" s="472"/>
      <c r="E8" s="473"/>
      <c r="F8" s="473"/>
      <c r="G8" s="477">
        <v>94907</v>
      </c>
      <c r="H8" s="467"/>
      <c r="I8" s="467"/>
      <c r="J8" s="467"/>
      <c r="K8" s="467"/>
    </row>
    <row r="9" spans="1:12" x14ac:dyDescent="0.2">
      <c r="A9" s="471" t="s">
        <v>111</v>
      </c>
      <c r="B9" s="469">
        <v>1160</v>
      </c>
      <c r="C9" s="467"/>
      <c r="D9" s="1928">
        <v>0</v>
      </c>
      <c r="E9" s="1934">
        <v>0</v>
      </c>
      <c r="F9" s="468"/>
      <c r="G9" s="472"/>
      <c r="H9" s="1934">
        <v>0</v>
      </c>
      <c r="I9" s="467"/>
      <c r="J9" s="467"/>
      <c r="K9" s="467"/>
    </row>
    <row r="10" spans="1:12" x14ac:dyDescent="0.2">
      <c r="A10" s="471" t="s">
        <v>112</v>
      </c>
      <c r="B10" s="469">
        <v>1170</v>
      </c>
      <c r="C10" s="1928">
        <v>0</v>
      </c>
      <c r="D10" s="519"/>
      <c r="E10" s="519"/>
      <c r="F10" s="468"/>
      <c r="G10" s="467"/>
      <c r="H10" s="467"/>
      <c r="I10" s="467"/>
      <c r="J10" s="467"/>
      <c r="K10" s="467"/>
    </row>
    <row r="11" spans="1:12" x14ac:dyDescent="0.2">
      <c r="A11" s="471" t="s">
        <v>414</v>
      </c>
      <c r="B11" s="539">
        <v>1190</v>
      </c>
      <c r="C11" s="1932">
        <v>0</v>
      </c>
      <c r="D11" s="1927">
        <v>0</v>
      </c>
      <c r="E11" s="1933">
        <v>0</v>
      </c>
      <c r="F11" s="1933">
        <v>0</v>
      </c>
      <c r="G11" s="1933">
        <v>0</v>
      </c>
      <c r="H11" s="1933">
        <v>0</v>
      </c>
      <c r="I11" s="1933">
        <v>0</v>
      </c>
      <c r="J11" s="1937">
        <v>0</v>
      </c>
      <c r="K11" s="1936">
        <v>0</v>
      </c>
      <c r="L11" s="540"/>
    </row>
    <row r="12" spans="1:12" ht="12.75" customHeight="1" thickBot="1" x14ac:dyDescent="0.25">
      <c r="A12" s="1678" t="s">
        <v>29</v>
      </c>
      <c r="B12" s="1679"/>
      <c r="C12" s="1680">
        <f t="shared" ref="C12:K12" si="0">SUM(C5:C11)</f>
        <v>7470924</v>
      </c>
      <c r="D12" s="1680">
        <f t="shared" si="0"/>
        <v>1614561</v>
      </c>
      <c r="E12" s="1680">
        <f t="shared" si="0"/>
        <v>1656810</v>
      </c>
      <c r="F12" s="1680">
        <f t="shared" si="0"/>
        <v>496796</v>
      </c>
      <c r="G12" s="1680">
        <f t="shared" si="0"/>
        <v>189811</v>
      </c>
      <c r="H12" s="1680">
        <f t="shared" si="0"/>
        <v>0</v>
      </c>
      <c r="I12" s="1680">
        <f t="shared" si="0"/>
        <v>157635</v>
      </c>
      <c r="J12" s="1680">
        <f t="shared" si="0"/>
        <v>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1">
        <v>0</v>
      </c>
      <c r="D14" s="1936">
        <v>0</v>
      </c>
      <c r="E14" s="1936">
        <v>0</v>
      </c>
      <c r="F14" s="1936">
        <v>0</v>
      </c>
      <c r="G14" s="1936">
        <v>0</v>
      </c>
      <c r="H14" s="1936">
        <v>0</v>
      </c>
      <c r="I14" s="1936">
        <v>0</v>
      </c>
      <c r="J14" s="1937">
        <v>0</v>
      </c>
      <c r="K14" s="1936">
        <v>0</v>
      </c>
    </row>
    <row r="15" spans="1:12" ht="12.75" customHeight="1" x14ac:dyDescent="0.2">
      <c r="A15" s="463" t="s">
        <v>95</v>
      </c>
      <c r="B15" s="469">
        <v>1220</v>
      </c>
      <c r="C15" s="1941">
        <v>0</v>
      </c>
      <c r="D15" s="1936">
        <v>0</v>
      </c>
      <c r="E15" s="1936">
        <v>0</v>
      </c>
      <c r="F15" s="1936">
        <v>0</v>
      </c>
      <c r="G15" s="1936">
        <v>0</v>
      </c>
      <c r="H15" s="1936">
        <v>0</v>
      </c>
      <c r="I15" s="1936">
        <v>0</v>
      </c>
      <c r="J15" s="1937">
        <v>0</v>
      </c>
      <c r="K15" s="1936">
        <v>0</v>
      </c>
    </row>
    <row r="16" spans="1:12" ht="15" customHeight="1" x14ac:dyDescent="0.2">
      <c r="A16" s="463" t="s">
        <v>1663</v>
      </c>
      <c r="B16" s="538">
        <v>1230</v>
      </c>
      <c r="C16" s="1941">
        <v>0</v>
      </c>
      <c r="D16" s="1936">
        <v>0</v>
      </c>
      <c r="E16" s="1936">
        <v>0</v>
      </c>
      <c r="F16" s="1936">
        <v>0</v>
      </c>
      <c r="G16" s="1936">
        <v>137112</v>
      </c>
      <c r="H16" s="1936">
        <v>0</v>
      </c>
      <c r="I16" s="1936">
        <v>0</v>
      </c>
      <c r="J16" s="1937">
        <v>0</v>
      </c>
      <c r="K16" s="1936">
        <v>0</v>
      </c>
    </row>
    <row r="17" spans="1:11" ht="12.75" customHeight="1" x14ac:dyDescent="0.2">
      <c r="A17" s="463" t="s">
        <v>807</v>
      </c>
      <c r="B17" s="469">
        <v>1290</v>
      </c>
      <c r="C17" s="1941">
        <v>0</v>
      </c>
      <c r="D17" s="1936">
        <v>0</v>
      </c>
      <c r="E17" s="1936">
        <v>0</v>
      </c>
      <c r="F17" s="1936">
        <v>0</v>
      </c>
      <c r="G17" s="1936">
        <v>0</v>
      </c>
      <c r="H17" s="1936">
        <v>0</v>
      </c>
      <c r="I17" s="1936">
        <v>0</v>
      </c>
      <c r="J17" s="1937">
        <v>0</v>
      </c>
      <c r="K17" s="1936">
        <v>0</v>
      </c>
    </row>
    <row r="18" spans="1:11" ht="12.75" customHeight="1" thickBot="1" x14ac:dyDescent="0.25">
      <c r="A18" s="1681" t="s">
        <v>537</v>
      </c>
      <c r="B18" s="1682"/>
      <c r="C18" s="1683">
        <f>SUM(C14:C17)</f>
        <v>0</v>
      </c>
      <c r="D18" s="1683">
        <f t="shared" ref="D18:K18" si="1">SUM(D14:D17)</f>
        <v>0</v>
      </c>
      <c r="E18" s="1683">
        <f t="shared" si="1"/>
        <v>0</v>
      </c>
      <c r="F18" s="1683">
        <f t="shared" si="1"/>
        <v>0</v>
      </c>
      <c r="G18" s="1683">
        <f t="shared" si="1"/>
        <v>137112</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6">
        <v>0</v>
      </c>
      <c r="D20" s="467"/>
      <c r="E20" s="467"/>
      <c r="F20" s="467"/>
      <c r="G20" s="467"/>
      <c r="H20" s="467"/>
      <c r="I20" s="467"/>
      <c r="J20" s="467"/>
      <c r="K20" s="467"/>
    </row>
    <row r="21" spans="1:11" ht="12.75" customHeight="1" x14ac:dyDescent="0.2">
      <c r="A21" s="463" t="s">
        <v>832</v>
      </c>
      <c r="B21" s="469">
        <v>1312</v>
      </c>
      <c r="C21" s="1941">
        <v>15696</v>
      </c>
      <c r="D21" s="467"/>
      <c r="E21" s="467"/>
      <c r="F21" s="467"/>
      <c r="G21" s="467"/>
      <c r="H21" s="467"/>
      <c r="I21" s="467"/>
      <c r="J21" s="467"/>
      <c r="K21" s="467"/>
    </row>
    <row r="22" spans="1:11" ht="12.75" customHeight="1" x14ac:dyDescent="0.2">
      <c r="A22" s="463" t="s">
        <v>1074</v>
      </c>
      <c r="B22" s="469">
        <v>1313</v>
      </c>
      <c r="C22" s="1941">
        <v>0</v>
      </c>
      <c r="D22" s="467"/>
      <c r="E22" s="467"/>
      <c r="F22" s="467"/>
      <c r="G22" s="467"/>
      <c r="H22" s="467"/>
      <c r="I22" s="467"/>
      <c r="J22" s="467"/>
      <c r="K22" s="467"/>
    </row>
    <row r="23" spans="1:11" ht="12.75" customHeight="1" x14ac:dyDescent="0.2">
      <c r="A23" s="463" t="s">
        <v>1075</v>
      </c>
      <c r="B23" s="469">
        <v>1314</v>
      </c>
      <c r="C23" s="1940">
        <v>0</v>
      </c>
      <c r="D23" s="467"/>
      <c r="E23" s="467"/>
      <c r="F23" s="467"/>
      <c r="G23" s="467"/>
      <c r="H23" s="467"/>
      <c r="I23" s="467"/>
      <c r="J23" s="467"/>
      <c r="K23" s="467"/>
    </row>
    <row r="24" spans="1:11" ht="12.75" customHeight="1" x14ac:dyDescent="0.2">
      <c r="A24" s="463" t="s">
        <v>1027</v>
      </c>
      <c r="B24" s="469">
        <v>1321</v>
      </c>
      <c r="C24" s="1941">
        <v>0</v>
      </c>
      <c r="D24" s="467"/>
      <c r="E24" s="467"/>
      <c r="F24" s="467"/>
      <c r="G24" s="467"/>
      <c r="H24" s="467"/>
      <c r="I24" s="467"/>
      <c r="J24" s="467"/>
      <c r="K24" s="467"/>
    </row>
    <row r="25" spans="1:11" ht="12.75" customHeight="1" x14ac:dyDescent="0.2">
      <c r="A25" s="463" t="s">
        <v>833</v>
      </c>
      <c r="B25" s="469">
        <v>1322</v>
      </c>
      <c r="C25" s="1941">
        <v>0</v>
      </c>
      <c r="D25" s="467"/>
      <c r="E25" s="467"/>
      <c r="F25" s="467"/>
      <c r="G25" s="467"/>
      <c r="H25" s="467"/>
      <c r="I25" s="467"/>
      <c r="J25" s="467"/>
      <c r="K25" s="467"/>
    </row>
    <row r="26" spans="1:11" ht="12.75" customHeight="1" x14ac:dyDescent="0.2">
      <c r="A26" s="463" t="s">
        <v>1101</v>
      </c>
      <c r="B26" s="469">
        <v>1323</v>
      </c>
      <c r="C26" s="1941">
        <v>0</v>
      </c>
      <c r="D26" s="467"/>
      <c r="E26" s="467"/>
      <c r="F26" s="467"/>
      <c r="G26" s="467"/>
      <c r="H26" s="467"/>
      <c r="I26" s="467"/>
      <c r="J26" s="467"/>
      <c r="K26" s="467"/>
    </row>
    <row r="27" spans="1:11" ht="12.75" customHeight="1" x14ac:dyDescent="0.2">
      <c r="A27" s="463" t="s">
        <v>1023</v>
      </c>
      <c r="B27" s="469">
        <v>1324</v>
      </c>
      <c r="C27" s="1940">
        <v>0</v>
      </c>
      <c r="D27" s="467"/>
      <c r="E27" s="467"/>
      <c r="F27" s="467"/>
      <c r="G27" s="467"/>
      <c r="H27" s="467"/>
      <c r="I27" s="467"/>
      <c r="J27" s="467"/>
      <c r="K27" s="467"/>
    </row>
    <row r="28" spans="1:11" ht="12.75" customHeight="1" x14ac:dyDescent="0.2">
      <c r="A28" s="463" t="s">
        <v>1024</v>
      </c>
      <c r="B28" s="469">
        <v>1331</v>
      </c>
      <c r="C28" s="1941">
        <v>0</v>
      </c>
      <c r="D28" s="467"/>
      <c r="E28" s="467"/>
      <c r="F28" s="467"/>
      <c r="G28" s="467"/>
      <c r="H28" s="467"/>
      <c r="I28" s="467"/>
      <c r="J28" s="467"/>
      <c r="K28" s="467"/>
    </row>
    <row r="29" spans="1:11" ht="12.75" customHeight="1" x14ac:dyDescent="0.2">
      <c r="A29" s="463" t="s">
        <v>834</v>
      </c>
      <c r="B29" s="469">
        <v>1332</v>
      </c>
      <c r="C29" s="1941">
        <v>0</v>
      </c>
      <c r="D29" s="467"/>
      <c r="E29" s="467"/>
      <c r="F29" s="467"/>
      <c r="G29" s="467"/>
      <c r="H29" s="467"/>
      <c r="I29" s="467"/>
      <c r="J29" s="467"/>
      <c r="K29" s="467"/>
    </row>
    <row r="30" spans="1:11" ht="12.75" customHeight="1" x14ac:dyDescent="0.2">
      <c r="A30" s="463" t="s">
        <v>1026</v>
      </c>
      <c r="B30" s="469">
        <v>1333</v>
      </c>
      <c r="C30" s="1941">
        <v>0</v>
      </c>
      <c r="D30" s="467"/>
      <c r="E30" s="467"/>
      <c r="F30" s="467"/>
      <c r="G30" s="467"/>
      <c r="H30" s="467"/>
      <c r="I30" s="467"/>
      <c r="J30" s="467"/>
      <c r="K30" s="467"/>
    </row>
    <row r="31" spans="1:11" ht="12.75" customHeight="1" x14ac:dyDescent="0.2">
      <c r="A31" s="463" t="s">
        <v>1025</v>
      </c>
      <c r="B31" s="469">
        <v>1334</v>
      </c>
      <c r="C31" s="1940">
        <v>0</v>
      </c>
      <c r="D31" s="467"/>
      <c r="E31" s="467"/>
      <c r="F31" s="467"/>
      <c r="G31" s="467"/>
      <c r="H31" s="467"/>
      <c r="I31" s="467"/>
      <c r="J31" s="467"/>
      <c r="K31" s="467"/>
    </row>
    <row r="32" spans="1:11" ht="12.75" customHeight="1" x14ac:dyDescent="0.2">
      <c r="A32" s="463" t="s">
        <v>494</v>
      </c>
      <c r="B32" s="469">
        <v>1341</v>
      </c>
      <c r="C32" s="1941">
        <v>0</v>
      </c>
      <c r="D32" s="467"/>
      <c r="E32" s="467"/>
      <c r="F32" s="467"/>
      <c r="G32" s="467"/>
      <c r="H32" s="467"/>
      <c r="I32" s="467"/>
      <c r="J32" s="467"/>
      <c r="K32" s="467"/>
    </row>
    <row r="33" spans="1:11" ht="12.75" customHeight="1" x14ac:dyDescent="0.2">
      <c r="A33" s="463" t="s">
        <v>835</v>
      </c>
      <c r="B33" s="469">
        <v>1342</v>
      </c>
      <c r="C33" s="1941">
        <v>0</v>
      </c>
      <c r="D33" s="467"/>
      <c r="E33" s="467"/>
      <c r="F33" s="467"/>
      <c r="G33" s="467"/>
      <c r="H33" s="467"/>
      <c r="I33" s="467"/>
      <c r="J33" s="467"/>
      <c r="K33" s="467"/>
    </row>
    <row r="34" spans="1:11" ht="12.75" customHeight="1" x14ac:dyDescent="0.2">
      <c r="A34" s="463" t="s">
        <v>495</v>
      </c>
      <c r="B34" s="469">
        <v>1343</v>
      </c>
      <c r="C34" s="1941">
        <v>0</v>
      </c>
      <c r="D34" s="467"/>
      <c r="E34" s="467"/>
      <c r="F34" s="467"/>
      <c r="G34" s="467"/>
      <c r="H34" s="467"/>
      <c r="I34" s="467"/>
      <c r="J34" s="467"/>
      <c r="K34" s="467"/>
    </row>
    <row r="35" spans="1:11" ht="12.75" customHeight="1" x14ac:dyDescent="0.2">
      <c r="A35" s="463" t="s">
        <v>493</v>
      </c>
      <c r="B35" s="469">
        <v>1344</v>
      </c>
      <c r="C35" s="1940">
        <v>0</v>
      </c>
      <c r="D35" s="467"/>
      <c r="E35" s="467"/>
      <c r="F35" s="467"/>
      <c r="G35" s="467"/>
      <c r="H35" s="467"/>
      <c r="I35" s="467"/>
      <c r="J35" s="467"/>
      <c r="K35" s="467"/>
    </row>
    <row r="36" spans="1:11" ht="12.75" customHeight="1" x14ac:dyDescent="0.2">
      <c r="A36" s="463" t="s">
        <v>831</v>
      </c>
      <c r="B36" s="469">
        <v>1351</v>
      </c>
      <c r="C36" s="1941">
        <v>0</v>
      </c>
      <c r="D36" s="467"/>
      <c r="E36" s="467"/>
      <c r="F36" s="467"/>
      <c r="G36" s="467"/>
      <c r="H36" s="467"/>
      <c r="I36" s="467"/>
      <c r="J36" s="467"/>
      <c r="K36" s="467"/>
    </row>
    <row r="37" spans="1:11" ht="12.75" customHeight="1" x14ac:dyDescent="0.2">
      <c r="A37" s="463" t="s">
        <v>836</v>
      </c>
      <c r="B37" s="469">
        <v>1352</v>
      </c>
      <c r="C37" s="1941">
        <v>0</v>
      </c>
      <c r="D37" s="467"/>
      <c r="E37" s="467"/>
      <c r="F37" s="467"/>
      <c r="G37" s="467"/>
      <c r="H37" s="467"/>
      <c r="I37" s="467"/>
      <c r="J37" s="467"/>
      <c r="K37" s="467"/>
    </row>
    <row r="38" spans="1:11" ht="12.75" customHeight="1" x14ac:dyDescent="0.2">
      <c r="A38" s="463" t="s">
        <v>593</v>
      </c>
      <c r="B38" s="469">
        <v>1353</v>
      </c>
      <c r="C38" s="1941">
        <v>0</v>
      </c>
      <c r="D38" s="467"/>
      <c r="E38" s="467"/>
      <c r="F38" s="467"/>
      <c r="G38" s="467"/>
      <c r="H38" s="467"/>
      <c r="I38" s="467"/>
      <c r="J38" s="467"/>
      <c r="K38" s="467"/>
    </row>
    <row r="39" spans="1:11" ht="12.75" customHeight="1" x14ac:dyDescent="0.2">
      <c r="A39" s="1468" t="s">
        <v>594</v>
      </c>
      <c r="B39" s="544">
        <v>1354</v>
      </c>
      <c r="C39" s="1940">
        <v>0</v>
      </c>
      <c r="D39" s="467"/>
      <c r="E39" s="467"/>
      <c r="F39" s="467"/>
      <c r="G39" s="467"/>
      <c r="H39" s="467"/>
      <c r="I39" s="467"/>
      <c r="J39" s="467"/>
      <c r="K39" s="467"/>
    </row>
    <row r="40" spans="1:11" ht="12.75" customHeight="1" thickBot="1" x14ac:dyDescent="0.25">
      <c r="A40" s="1681" t="s">
        <v>538</v>
      </c>
      <c r="B40" s="1682"/>
      <c r="C40" s="1661">
        <f>SUM(C20:C39)</f>
        <v>15696</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6">
        <v>691621</v>
      </c>
      <c r="G43" s="467"/>
      <c r="H43" s="467"/>
      <c r="I43" s="467"/>
      <c r="J43" s="467"/>
      <c r="K43" s="467"/>
    </row>
    <row r="44" spans="1:11" ht="12.75" customHeight="1" x14ac:dyDescent="0.2">
      <c r="A44" s="463" t="s">
        <v>384</v>
      </c>
      <c r="B44" s="469">
        <v>1413</v>
      </c>
      <c r="C44" s="467"/>
      <c r="D44" s="467"/>
      <c r="E44" s="467"/>
      <c r="F44" s="1936">
        <v>0</v>
      </c>
      <c r="G44" s="467"/>
      <c r="H44" s="467"/>
      <c r="I44" s="467"/>
      <c r="J44" s="467"/>
      <c r="K44" s="467"/>
    </row>
    <row r="45" spans="1:11" ht="12.75" customHeight="1" x14ac:dyDescent="0.2">
      <c r="A45" s="463" t="s">
        <v>240</v>
      </c>
      <c r="B45" s="469">
        <v>1415</v>
      </c>
      <c r="C45" s="467"/>
      <c r="D45" s="467"/>
      <c r="E45" s="467"/>
      <c r="F45" s="1936">
        <v>0</v>
      </c>
      <c r="G45" s="467"/>
      <c r="H45" s="467"/>
      <c r="I45" s="467"/>
      <c r="J45" s="467"/>
      <c r="K45" s="467"/>
    </row>
    <row r="46" spans="1:11" ht="12.75" customHeight="1" x14ac:dyDescent="0.2">
      <c r="A46" s="463" t="s">
        <v>1174</v>
      </c>
      <c r="B46" s="469">
        <v>1416</v>
      </c>
      <c r="C46" s="467"/>
      <c r="D46" s="467"/>
      <c r="E46" s="467"/>
      <c r="F46" s="1937">
        <v>0</v>
      </c>
      <c r="G46" s="467"/>
      <c r="H46" s="467"/>
      <c r="I46" s="467"/>
      <c r="J46" s="467"/>
      <c r="K46" s="467"/>
    </row>
    <row r="47" spans="1:11" ht="12.75" customHeight="1" x14ac:dyDescent="0.2">
      <c r="A47" s="463" t="s">
        <v>57</v>
      </c>
      <c r="B47" s="469">
        <v>1421</v>
      </c>
      <c r="C47" s="467"/>
      <c r="D47" s="467"/>
      <c r="E47" s="467"/>
      <c r="F47" s="1936">
        <v>0</v>
      </c>
      <c r="G47" s="467"/>
      <c r="H47" s="467"/>
      <c r="I47" s="467"/>
      <c r="J47" s="467"/>
      <c r="K47" s="467"/>
    </row>
    <row r="48" spans="1:11" ht="12.75" customHeight="1" x14ac:dyDescent="0.2">
      <c r="A48" s="463" t="s">
        <v>838</v>
      </c>
      <c r="B48" s="469">
        <v>1422</v>
      </c>
      <c r="C48" s="467"/>
      <c r="D48" s="467"/>
      <c r="E48" s="467"/>
      <c r="F48" s="1936">
        <v>0</v>
      </c>
      <c r="G48" s="467"/>
      <c r="H48" s="467"/>
      <c r="I48" s="467"/>
      <c r="J48" s="467"/>
      <c r="K48" s="467"/>
    </row>
    <row r="49" spans="1:11" ht="12.75" customHeight="1" x14ac:dyDescent="0.2">
      <c r="A49" s="463" t="s">
        <v>58</v>
      </c>
      <c r="B49" s="469">
        <v>1423</v>
      </c>
      <c r="C49" s="467"/>
      <c r="D49" s="467"/>
      <c r="E49" s="467"/>
      <c r="F49" s="1936">
        <v>0</v>
      </c>
      <c r="G49" s="467"/>
      <c r="H49" s="467"/>
      <c r="I49" s="467"/>
      <c r="J49" s="467"/>
      <c r="K49" s="467"/>
    </row>
    <row r="50" spans="1:11" ht="12.75" customHeight="1" x14ac:dyDescent="0.2">
      <c r="A50" s="463" t="s">
        <v>59</v>
      </c>
      <c r="B50" s="469">
        <v>1424</v>
      </c>
      <c r="C50" s="467"/>
      <c r="D50" s="467"/>
      <c r="E50" s="467"/>
      <c r="F50" s="1937">
        <v>0</v>
      </c>
      <c r="G50" s="467"/>
      <c r="H50" s="467"/>
      <c r="I50" s="467"/>
      <c r="J50" s="467"/>
      <c r="K50" s="467"/>
    </row>
    <row r="51" spans="1:11" ht="12.75" customHeight="1" x14ac:dyDescent="0.2">
      <c r="A51" s="1469" t="s">
        <v>60</v>
      </c>
      <c r="B51" s="545">
        <v>1431</v>
      </c>
      <c r="C51" s="467"/>
      <c r="D51" s="467"/>
      <c r="E51" s="467"/>
      <c r="F51" s="1936">
        <v>0</v>
      </c>
      <c r="G51" s="467"/>
      <c r="H51" s="467"/>
      <c r="I51" s="467"/>
      <c r="J51" s="467"/>
      <c r="K51" s="467"/>
    </row>
    <row r="52" spans="1:11" ht="12.75" customHeight="1" x14ac:dyDescent="0.2">
      <c r="A52" s="1469" t="s">
        <v>1106</v>
      </c>
      <c r="B52" s="545">
        <v>1432</v>
      </c>
      <c r="C52" s="467"/>
      <c r="D52" s="467"/>
      <c r="E52" s="467"/>
      <c r="F52" s="1936">
        <v>0</v>
      </c>
      <c r="G52" s="467"/>
      <c r="H52" s="467"/>
      <c r="I52" s="467"/>
      <c r="J52" s="467"/>
      <c r="K52" s="467"/>
    </row>
    <row r="53" spans="1:11" ht="12.75" customHeight="1" x14ac:dyDescent="0.2">
      <c r="A53" s="1469" t="s">
        <v>61</v>
      </c>
      <c r="B53" s="545">
        <v>1433</v>
      </c>
      <c r="C53" s="467"/>
      <c r="D53" s="467"/>
      <c r="E53" s="467"/>
      <c r="F53" s="1936">
        <v>0</v>
      </c>
      <c r="G53" s="467"/>
      <c r="H53" s="467"/>
      <c r="I53" s="467"/>
      <c r="J53" s="467"/>
      <c r="K53" s="467"/>
    </row>
    <row r="54" spans="1:11" ht="12.75" customHeight="1" x14ac:dyDescent="0.2">
      <c r="A54" s="1469" t="s">
        <v>62</v>
      </c>
      <c r="B54" s="545">
        <v>1434</v>
      </c>
      <c r="C54" s="467"/>
      <c r="D54" s="467"/>
      <c r="E54" s="467"/>
      <c r="F54" s="1937">
        <v>0</v>
      </c>
      <c r="G54" s="467"/>
      <c r="H54" s="467"/>
      <c r="I54" s="467"/>
      <c r="J54" s="467"/>
      <c r="K54" s="467"/>
    </row>
    <row r="55" spans="1:11" ht="12.75" customHeight="1" x14ac:dyDescent="0.2">
      <c r="A55" s="1469" t="s">
        <v>63</v>
      </c>
      <c r="B55" s="545">
        <v>1441</v>
      </c>
      <c r="C55" s="467"/>
      <c r="D55" s="467"/>
      <c r="E55" s="467"/>
      <c r="F55" s="1936">
        <v>0</v>
      </c>
      <c r="G55" s="467"/>
      <c r="H55" s="467"/>
      <c r="I55" s="467"/>
      <c r="J55" s="467"/>
      <c r="K55" s="467"/>
    </row>
    <row r="56" spans="1:11" ht="12.75" customHeight="1" x14ac:dyDescent="0.2">
      <c r="A56" s="1469" t="s">
        <v>1107</v>
      </c>
      <c r="B56" s="545">
        <v>1442</v>
      </c>
      <c r="C56" s="467"/>
      <c r="D56" s="467"/>
      <c r="E56" s="467"/>
      <c r="F56" s="1936">
        <v>0</v>
      </c>
      <c r="G56" s="467"/>
      <c r="H56" s="467"/>
      <c r="I56" s="467"/>
      <c r="J56" s="467"/>
      <c r="K56" s="467"/>
    </row>
    <row r="57" spans="1:11" ht="12.75" customHeight="1" x14ac:dyDescent="0.2">
      <c r="A57" s="1469" t="s">
        <v>489</v>
      </c>
      <c r="B57" s="545">
        <v>1443</v>
      </c>
      <c r="C57" s="467"/>
      <c r="D57" s="467"/>
      <c r="E57" s="467"/>
      <c r="F57" s="1936">
        <v>0</v>
      </c>
      <c r="G57" s="467"/>
      <c r="H57" s="467"/>
      <c r="I57" s="467"/>
      <c r="J57" s="467"/>
      <c r="K57" s="467"/>
    </row>
    <row r="58" spans="1:11" ht="12.75" customHeight="1" x14ac:dyDescent="0.2">
      <c r="A58" s="1469" t="s">
        <v>65</v>
      </c>
      <c r="B58" s="545">
        <v>1444</v>
      </c>
      <c r="C58" s="467"/>
      <c r="D58" s="467"/>
      <c r="E58" s="467"/>
      <c r="F58" s="1936">
        <v>0</v>
      </c>
      <c r="G58" s="467"/>
      <c r="H58" s="467"/>
      <c r="I58" s="467"/>
      <c r="J58" s="467"/>
      <c r="K58" s="467"/>
    </row>
    <row r="59" spans="1:11" ht="12.75" customHeight="1" x14ac:dyDescent="0.2">
      <c r="A59" s="1469" t="s">
        <v>878</v>
      </c>
      <c r="B59" s="545">
        <v>1451</v>
      </c>
      <c r="C59" s="467"/>
      <c r="D59" s="467"/>
      <c r="E59" s="467"/>
      <c r="F59" s="1936">
        <v>0</v>
      </c>
      <c r="G59" s="467"/>
      <c r="H59" s="467"/>
      <c r="I59" s="467"/>
      <c r="J59" s="467"/>
      <c r="K59" s="467"/>
    </row>
    <row r="60" spans="1:11" ht="12.75" customHeight="1" x14ac:dyDescent="0.2">
      <c r="A60" s="1469" t="s">
        <v>1108</v>
      </c>
      <c r="B60" s="545">
        <v>1452</v>
      </c>
      <c r="C60" s="467"/>
      <c r="D60" s="467"/>
      <c r="E60" s="467"/>
      <c r="F60" s="1936">
        <v>0</v>
      </c>
      <c r="G60" s="467"/>
      <c r="H60" s="467"/>
      <c r="I60" s="467"/>
      <c r="J60" s="467"/>
      <c r="K60" s="467"/>
    </row>
    <row r="61" spans="1:11" ht="12.75" customHeight="1" x14ac:dyDescent="0.2">
      <c r="A61" s="551" t="s">
        <v>879</v>
      </c>
      <c r="B61" s="545">
        <v>1453</v>
      </c>
      <c r="C61" s="467"/>
      <c r="D61" s="467"/>
      <c r="E61" s="467"/>
      <c r="F61" s="1936">
        <v>0</v>
      </c>
      <c r="G61" s="467"/>
      <c r="H61" s="467"/>
      <c r="I61" s="467"/>
      <c r="J61" s="467"/>
      <c r="K61" s="467"/>
    </row>
    <row r="62" spans="1:11" ht="12.75" customHeight="1" x14ac:dyDescent="0.2">
      <c r="A62" s="1470" t="s">
        <v>880</v>
      </c>
      <c r="B62" s="546">
        <v>1454</v>
      </c>
      <c r="C62" s="467"/>
      <c r="D62" s="467"/>
      <c r="E62" s="467"/>
      <c r="F62" s="1937">
        <v>0</v>
      </c>
      <c r="G62" s="467"/>
      <c r="H62" s="467"/>
      <c r="I62" s="467"/>
      <c r="J62" s="467"/>
      <c r="K62" s="467"/>
    </row>
    <row r="63" spans="1:11" ht="12.75" customHeight="1" thickBot="1" x14ac:dyDescent="0.25">
      <c r="A63" s="1681" t="s">
        <v>485</v>
      </c>
      <c r="B63" s="1682"/>
      <c r="C63" s="467"/>
      <c r="D63" s="467"/>
      <c r="E63" s="467"/>
      <c r="F63" s="1661">
        <f>SUM(F42:F62)</f>
        <v>691621</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6">
        <v>167343</v>
      </c>
      <c r="D65" s="1936">
        <v>18889</v>
      </c>
      <c r="E65" s="1936">
        <v>1878</v>
      </c>
      <c r="F65" s="1937">
        <v>2204</v>
      </c>
      <c r="G65" s="1936">
        <v>7967</v>
      </c>
      <c r="H65" s="1936">
        <v>7172</v>
      </c>
      <c r="I65" s="1936">
        <v>8361</v>
      </c>
      <c r="J65" s="1937">
        <v>0</v>
      </c>
      <c r="K65" s="1936">
        <v>0</v>
      </c>
    </row>
    <row r="66" spans="1:11" ht="12.75" customHeight="1" x14ac:dyDescent="0.2">
      <c r="A66" s="463" t="s">
        <v>679</v>
      </c>
      <c r="B66" s="469">
        <v>1520</v>
      </c>
      <c r="C66" s="1936">
        <v>0</v>
      </c>
      <c r="D66" s="1936">
        <v>0</v>
      </c>
      <c r="E66" s="1936">
        <v>0</v>
      </c>
      <c r="F66" s="1936">
        <v>0</v>
      </c>
      <c r="G66" s="1936">
        <v>0</v>
      </c>
      <c r="H66" s="1936">
        <v>0</v>
      </c>
      <c r="I66" s="1936">
        <v>0</v>
      </c>
      <c r="J66" s="1937">
        <v>0</v>
      </c>
      <c r="K66" s="1936">
        <v>0</v>
      </c>
    </row>
    <row r="67" spans="1:11" ht="12.75" customHeight="1" thickBot="1" x14ac:dyDescent="0.25">
      <c r="A67" s="1681" t="s">
        <v>486</v>
      </c>
      <c r="B67" s="1682"/>
      <c r="C67" s="1661">
        <f>SUM(C65:C66)</f>
        <v>167343</v>
      </c>
      <c r="D67" s="1661">
        <f t="shared" ref="D67:K67" si="2">SUM(D65:D66)</f>
        <v>18889</v>
      </c>
      <c r="E67" s="1661">
        <f t="shared" si="2"/>
        <v>1878</v>
      </c>
      <c r="F67" s="1661">
        <f t="shared" si="2"/>
        <v>2204</v>
      </c>
      <c r="G67" s="1661">
        <f t="shared" si="2"/>
        <v>7967</v>
      </c>
      <c r="H67" s="1661">
        <f t="shared" si="2"/>
        <v>7172</v>
      </c>
      <c r="I67" s="1661">
        <f t="shared" si="2"/>
        <v>8361</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6">
        <v>233093</v>
      </c>
      <c r="D69" s="467"/>
      <c r="E69" s="467"/>
      <c r="F69" s="467"/>
      <c r="G69" s="467"/>
      <c r="H69" s="467"/>
      <c r="I69" s="467"/>
      <c r="J69" s="467"/>
      <c r="K69" s="467"/>
    </row>
    <row r="70" spans="1:11" ht="12.75" customHeight="1" x14ac:dyDescent="0.2">
      <c r="A70" s="463" t="s">
        <v>997</v>
      </c>
      <c r="B70" s="469">
        <v>1612</v>
      </c>
      <c r="C70" s="1941">
        <v>0</v>
      </c>
      <c r="D70" s="467"/>
      <c r="E70" s="467"/>
      <c r="F70" s="467"/>
      <c r="G70" s="467"/>
      <c r="H70" s="467"/>
      <c r="I70" s="467"/>
      <c r="J70" s="467"/>
      <c r="K70" s="467"/>
    </row>
    <row r="71" spans="1:11" ht="12.75" customHeight="1" x14ac:dyDescent="0.2">
      <c r="A71" s="463" t="s">
        <v>273</v>
      </c>
      <c r="B71" s="469">
        <v>1613</v>
      </c>
      <c r="C71" s="1941">
        <v>0</v>
      </c>
      <c r="D71" s="467"/>
      <c r="E71" s="467"/>
      <c r="F71" s="467"/>
      <c r="G71" s="467"/>
      <c r="H71" s="467"/>
      <c r="I71" s="467"/>
      <c r="J71" s="467"/>
      <c r="K71" s="467"/>
    </row>
    <row r="72" spans="1:11" ht="12.75" customHeight="1" x14ac:dyDescent="0.2">
      <c r="A72" s="463" t="s">
        <v>24</v>
      </c>
      <c r="B72" s="469">
        <v>1614</v>
      </c>
      <c r="C72" s="1941">
        <v>0</v>
      </c>
      <c r="D72" s="467"/>
      <c r="E72" s="467"/>
      <c r="F72" s="467"/>
      <c r="G72" s="467"/>
      <c r="H72" s="467"/>
      <c r="I72" s="467"/>
      <c r="J72" s="467"/>
      <c r="K72" s="467"/>
    </row>
    <row r="73" spans="1:11" ht="12.75" customHeight="1" x14ac:dyDescent="0.2">
      <c r="A73" s="463" t="s">
        <v>998</v>
      </c>
      <c r="B73" s="469">
        <v>1620</v>
      </c>
      <c r="C73" s="1941">
        <v>0</v>
      </c>
      <c r="D73" s="467"/>
      <c r="E73" s="467"/>
      <c r="F73" s="467"/>
      <c r="G73" s="467"/>
      <c r="H73" s="467"/>
      <c r="I73" s="467"/>
      <c r="J73" s="467"/>
      <c r="K73" s="467"/>
    </row>
    <row r="74" spans="1:11" ht="12.75" customHeight="1" x14ac:dyDescent="0.2">
      <c r="A74" s="463" t="s">
        <v>25</v>
      </c>
      <c r="B74" s="469">
        <v>1690</v>
      </c>
      <c r="C74" s="1941">
        <v>0</v>
      </c>
      <c r="D74" s="467"/>
      <c r="E74" s="467"/>
      <c r="F74" s="467"/>
      <c r="G74" s="467"/>
      <c r="H74" s="467"/>
      <c r="I74" s="467"/>
      <c r="J74" s="467"/>
      <c r="K74" s="467"/>
    </row>
    <row r="75" spans="1:11" ht="12.75" customHeight="1" thickBot="1" x14ac:dyDescent="0.25">
      <c r="A75" s="1681" t="s">
        <v>548</v>
      </c>
      <c r="B75" s="1682"/>
      <c r="C75" s="1661">
        <f>SUM(C69:C74)</f>
        <v>233093</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47614</v>
      </c>
      <c r="D77" s="1936">
        <v>0</v>
      </c>
      <c r="E77" s="467"/>
      <c r="F77" s="467"/>
      <c r="G77" s="467"/>
      <c r="H77" s="467"/>
      <c r="I77" s="467"/>
      <c r="J77" s="467"/>
      <c r="K77" s="467"/>
    </row>
    <row r="78" spans="1:11" ht="12.75" customHeight="1" x14ac:dyDescent="0.2">
      <c r="A78" s="463" t="s">
        <v>76</v>
      </c>
      <c r="B78" s="469">
        <v>1719</v>
      </c>
      <c r="C78" s="1941">
        <v>0</v>
      </c>
      <c r="D78" s="1936">
        <v>0</v>
      </c>
      <c r="E78" s="467"/>
      <c r="F78" s="467"/>
      <c r="G78" s="467"/>
      <c r="H78" s="467"/>
      <c r="I78" s="467"/>
      <c r="J78" s="467"/>
      <c r="K78" s="467"/>
    </row>
    <row r="79" spans="1:11" ht="12.75" customHeight="1" x14ac:dyDescent="0.2">
      <c r="A79" s="463" t="s">
        <v>550</v>
      </c>
      <c r="B79" s="469">
        <v>1720</v>
      </c>
      <c r="C79" s="1941">
        <v>160184</v>
      </c>
      <c r="D79" s="1936">
        <v>0</v>
      </c>
      <c r="E79" s="467"/>
      <c r="F79" s="467"/>
      <c r="G79" s="467"/>
      <c r="H79" s="467"/>
      <c r="I79" s="467"/>
      <c r="J79" s="467"/>
      <c r="K79" s="467"/>
    </row>
    <row r="80" spans="1:11" ht="12.75" customHeight="1" x14ac:dyDescent="0.2">
      <c r="A80" s="463" t="s">
        <v>551</v>
      </c>
      <c r="B80" s="469">
        <v>1730</v>
      </c>
      <c r="C80" s="1941">
        <v>0</v>
      </c>
      <c r="D80" s="1936">
        <v>0</v>
      </c>
      <c r="E80" s="467"/>
      <c r="F80" s="467"/>
      <c r="G80" s="467"/>
      <c r="H80" s="467"/>
      <c r="I80" s="467"/>
      <c r="J80" s="467"/>
      <c r="K80" s="467"/>
    </row>
    <row r="81" spans="1:11" ht="12.75" customHeight="1" x14ac:dyDescent="0.2">
      <c r="A81" s="463" t="s">
        <v>26</v>
      </c>
      <c r="B81" s="469">
        <v>1790</v>
      </c>
      <c r="C81" s="1941">
        <v>182661</v>
      </c>
      <c r="D81" s="1936">
        <v>0</v>
      </c>
      <c r="E81" s="467"/>
      <c r="F81" s="467"/>
      <c r="G81" s="467"/>
      <c r="H81" s="467"/>
      <c r="I81" s="467"/>
      <c r="J81" s="467"/>
      <c r="K81" s="467"/>
    </row>
    <row r="82" spans="1:11" ht="12.75" customHeight="1" thickBot="1" x14ac:dyDescent="0.25">
      <c r="A82" s="1681" t="s">
        <v>241</v>
      </c>
      <c r="B82" s="1682"/>
      <c r="C82" s="1680">
        <f>SUM(C77:C81)</f>
        <v>390459</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6">
        <v>0</v>
      </c>
      <c r="D84" s="467"/>
      <c r="E84" s="467"/>
      <c r="F84" s="467"/>
      <c r="G84" s="467"/>
      <c r="H84" s="467"/>
      <c r="I84" s="467"/>
      <c r="J84" s="467"/>
      <c r="K84" s="467"/>
    </row>
    <row r="85" spans="1:11" ht="12.75" customHeight="1" x14ac:dyDescent="0.2">
      <c r="A85" s="463" t="s">
        <v>553</v>
      </c>
      <c r="B85" s="469">
        <v>1812</v>
      </c>
      <c r="C85" s="1941">
        <v>0</v>
      </c>
      <c r="D85" s="467"/>
      <c r="E85" s="467"/>
      <c r="F85" s="467"/>
      <c r="G85" s="467"/>
      <c r="H85" s="467"/>
      <c r="I85" s="467"/>
      <c r="J85" s="467"/>
      <c r="K85" s="467"/>
    </row>
    <row r="86" spans="1:11" ht="12.75" customHeight="1" x14ac:dyDescent="0.2">
      <c r="A86" s="463" t="s">
        <v>999</v>
      </c>
      <c r="B86" s="469">
        <v>1813</v>
      </c>
      <c r="C86" s="1941">
        <v>0</v>
      </c>
      <c r="D86" s="467"/>
      <c r="E86" s="467"/>
      <c r="F86" s="467"/>
      <c r="G86" s="467"/>
      <c r="H86" s="467"/>
      <c r="I86" s="467"/>
      <c r="J86" s="467"/>
      <c r="K86" s="467"/>
    </row>
    <row r="87" spans="1:11" ht="12.75" customHeight="1" x14ac:dyDescent="0.2">
      <c r="A87" s="463" t="s">
        <v>77</v>
      </c>
      <c r="B87" s="469">
        <v>1819</v>
      </c>
      <c r="C87" s="1941">
        <v>0</v>
      </c>
      <c r="D87" s="467"/>
      <c r="E87" s="467"/>
      <c r="F87" s="467"/>
      <c r="G87" s="467"/>
      <c r="H87" s="467"/>
      <c r="I87" s="467"/>
      <c r="J87" s="467"/>
      <c r="K87" s="467"/>
    </row>
    <row r="88" spans="1:11" ht="12.75" customHeight="1" x14ac:dyDescent="0.2">
      <c r="A88" s="463" t="s">
        <v>554</v>
      </c>
      <c r="B88" s="469">
        <v>1821</v>
      </c>
      <c r="C88" s="1941">
        <v>0</v>
      </c>
      <c r="D88" s="467"/>
      <c r="E88" s="467"/>
      <c r="F88" s="467"/>
      <c r="G88" s="467"/>
      <c r="H88" s="467"/>
      <c r="I88" s="467"/>
      <c r="J88" s="467"/>
      <c r="K88" s="467"/>
    </row>
    <row r="89" spans="1:11" ht="12.75" customHeight="1" x14ac:dyDescent="0.2">
      <c r="A89" s="463" t="s">
        <v>714</v>
      </c>
      <c r="B89" s="469">
        <v>1822</v>
      </c>
      <c r="C89" s="1941">
        <v>0</v>
      </c>
      <c r="D89" s="467"/>
      <c r="E89" s="467"/>
      <c r="F89" s="467"/>
      <c r="G89" s="467"/>
      <c r="H89" s="467"/>
      <c r="I89" s="467"/>
      <c r="J89" s="467"/>
      <c r="K89" s="467"/>
    </row>
    <row r="90" spans="1:11" ht="12.75" customHeight="1" x14ac:dyDescent="0.2">
      <c r="A90" s="463" t="s">
        <v>139</v>
      </c>
      <c r="B90" s="469">
        <v>1823</v>
      </c>
      <c r="C90" s="1941">
        <v>0</v>
      </c>
      <c r="D90" s="467"/>
      <c r="E90" s="467"/>
      <c r="F90" s="467"/>
      <c r="G90" s="467"/>
      <c r="H90" s="467"/>
      <c r="I90" s="467"/>
      <c r="J90" s="467"/>
      <c r="K90" s="467"/>
    </row>
    <row r="91" spans="1:11" ht="12.75" customHeight="1" x14ac:dyDescent="0.2">
      <c r="A91" s="463" t="s">
        <v>27</v>
      </c>
      <c r="B91" s="469">
        <v>1829</v>
      </c>
      <c r="C91" s="1941">
        <v>0</v>
      </c>
      <c r="D91" s="467"/>
      <c r="E91" s="467"/>
      <c r="F91" s="467"/>
      <c r="G91" s="467"/>
      <c r="H91" s="467"/>
      <c r="I91" s="467"/>
      <c r="J91" s="467"/>
      <c r="K91" s="467"/>
    </row>
    <row r="92" spans="1:11" ht="12.75" customHeight="1" x14ac:dyDescent="0.2">
      <c r="A92" s="463" t="s">
        <v>762</v>
      </c>
      <c r="B92" s="469">
        <v>1890</v>
      </c>
      <c r="C92" s="1941">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6">
        <v>0</v>
      </c>
      <c r="D95" s="1941">
        <v>0</v>
      </c>
      <c r="E95" s="514"/>
      <c r="F95" s="514"/>
      <c r="G95" s="514"/>
      <c r="H95" s="514"/>
      <c r="I95" s="514"/>
      <c r="J95" s="514"/>
      <c r="K95" s="514"/>
    </row>
    <row r="96" spans="1:11" ht="12.75" customHeight="1" x14ac:dyDescent="0.2">
      <c r="A96" s="463" t="s">
        <v>391</v>
      </c>
      <c r="B96" s="469">
        <v>1920</v>
      </c>
      <c r="C96" s="1941">
        <v>0</v>
      </c>
      <c r="D96" s="1941">
        <v>0</v>
      </c>
      <c r="E96" s="1939">
        <v>0</v>
      </c>
      <c r="F96" s="474">
        <v>0</v>
      </c>
      <c r="G96" s="474">
        <v>0</v>
      </c>
      <c r="H96" s="474">
        <v>18856</v>
      </c>
      <c r="I96" s="474">
        <v>0</v>
      </c>
      <c r="J96" s="474">
        <v>0</v>
      </c>
      <c r="K96" s="474">
        <v>0</v>
      </c>
    </row>
    <row r="97" spans="1:12" ht="12.75" customHeight="1" x14ac:dyDescent="0.2">
      <c r="A97" s="1468" t="s">
        <v>244</v>
      </c>
      <c r="B97" s="547">
        <v>1930</v>
      </c>
      <c r="C97" s="1940">
        <v>0</v>
      </c>
      <c r="D97" s="1937">
        <v>0</v>
      </c>
      <c r="E97" s="1938">
        <v>0</v>
      </c>
      <c r="F97" s="1937">
        <v>0</v>
      </c>
      <c r="G97" s="1943">
        <v>0</v>
      </c>
      <c r="H97" s="1943">
        <v>0</v>
      </c>
      <c r="I97" s="1943">
        <v>0</v>
      </c>
      <c r="J97" s="1943">
        <v>0</v>
      </c>
      <c r="K97" s="1943">
        <v>0</v>
      </c>
    </row>
    <row r="98" spans="1:12" ht="12.75" customHeight="1" x14ac:dyDescent="0.2">
      <c r="A98" s="463" t="s">
        <v>189</v>
      </c>
      <c r="B98" s="469">
        <v>1940</v>
      </c>
      <c r="C98" s="1940">
        <v>5925</v>
      </c>
      <c r="D98" s="1936">
        <v>0</v>
      </c>
      <c r="E98" s="505"/>
      <c r="F98" s="1936">
        <v>0</v>
      </c>
      <c r="G98" s="505"/>
      <c r="H98" s="505"/>
      <c r="I98" s="503"/>
      <c r="J98" s="505"/>
      <c r="K98" s="505"/>
    </row>
    <row r="99" spans="1:12" ht="12.75" customHeight="1" x14ac:dyDescent="0.2">
      <c r="A99" s="463" t="s">
        <v>821</v>
      </c>
      <c r="B99" s="469">
        <v>1950</v>
      </c>
      <c r="C99" s="1940">
        <v>0</v>
      </c>
      <c r="D99" s="1936">
        <v>0</v>
      </c>
      <c r="E99" s="1936">
        <v>0</v>
      </c>
      <c r="F99" s="1936">
        <v>0</v>
      </c>
      <c r="G99" s="1942">
        <v>0</v>
      </c>
      <c r="H99" s="1942">
        <v>0</v>
      </c>
      <c r="I99" s="467"/>
      <c r="J99" s="1943">
        <v>0</v>
      </c>
      <c r="K99" s="1942">
        <v>0</v>
      </c>
    </row>
    <row r="100" spans="1:12" ht="12.75" customHeight="1" x14ac:dyDescent="0.2">
      <c r="A100" s="463" t="s">
        <v>245</v>
      </c>
      <c r="B100" s="469">
        <v>1960</v>
      </c>
      <c r="C100" s="1940">
        <v>0</v>
      </c>
      <c r="D100" s="1940">
        <v>0</v>
      </c>
      <c r="E100" s="1940">
        <v>0</v>
      </c>
      <c r="F100" s="1940">
        <v>0</v>
      </c>
      <c r="G100" s="1944">
        <v>0</v>
      </c>
      <c r="H100" s="1944">
        <v>0</v>
      </c>
      <c r="I100" s="1943">
        <v>0</v>
      </c>
      <c r="J100" s="1944">
        <v>0</v>
      </c>
      <c r="K100" s="1943">
        <v>0</v>
      </c>
    </row>
    <row r="101" spans="1:12" ht="12.75" customHeight="1" x14ac:dyDescent="0.2">
      <c r="A101" s="463" t="s">
        <v>246</v>
      </c>
      <c r="B101" s="469">
        <v>1970</v>
      </c>
      <c r="C101" s="1940">
        <v>5850</v>
      </c>
      <c r="D101" s="519"/>
      <c r="E101" s="476"/>
      <c r="F101" s="519"/>
      <c r="G101" s="472"/>
      <c r="H101" s="519"/>
      <c r="I101" s="467"/>
      <c r="J101" s="472"/>
      <c r="K101" s="472"/>
    </row>
    <row r="102" spans="1:12" ht="12.75" customHeight="1" x14ac:dyDescent="0.2">
      <c r="A102" s="463" t="s">
        <v>247</v>
      </c>
      <c r="B102" s="469">
        <v>1980</v>
      </c>
      <c r="C102" s="1940">
        <v>0</v>
      </c>
      <c r="D102" s="1940">
        <v>0</v>
      </c>
      <c r="E102" s="1940">
        <v>0</v>
      </c>
      <c r="F102" s="1944">
        <v>0</v>
      </c>
      <c r="G102" s="1944">
        <v>0</v>
      </c>
      <c r="H102" s="1944">
        <v>0</v>
      </c>
      <c r="I102" s="1943">
        <v>0</v>
      </c>
      <c r="J102" s="1944">
        <v>0</v>
      </c>
      <c r="K102" s="1943">
        <v>0</v>
      </c>
    </row>
    <row r="103" spans="1:12" ht="12.75" customHeight="1" x14ac:dyDescent="0.2">
      <c r="A103" s="463" t="s">
        <v>345</v>
      </c>
      <c r="B103" s="469">
        <v>1983</v>
      </c>
      <c r="C103" s="467"/>
      <c r="D103" s="467"/>
      <c r="E103" s="548">
        <v>0</v>
      </c>
      <c r="F103" s="467"/>
      <c r="G103" s="467"/>
      <c r="H103" s="1944">
        <v>0</v>
      </c>
      <c r="I103" s="467"/>
      <c r="J103" s="503"/>
      <c r="K103" s="503"/>
    </row>
    <row r="104" spans="1:12" ht="12.75" customHeight="1" x14ac:dyDescent="0.2">
      <c r="A104" s="463" t="s">
        <v>830</v>
      </c>
      <c r="B104" s="469">
        <v>1991</v>
      </c>
      <c r="C104" s="1940">
        <v>0</v>
      </c>
      <c r="D104" s="1936">
        <v>0</v>
      </c>
      <c r="E104" s="477">
        <v>0</v>
      </c>
      <c r="F104" s="1943">
        <v>0</v>
      </c>
      <c r="G104" s="1943">
        <v>0</v>
      </c>
      <c r="H104" s="1942">
        <v>0</v>
      </c>
      <c r="I104" s="467"/>
      <c r="J104" s="467"/>
      <c r="K104" s="467"/>
    </row>
    <row r="105" spans="1:12" ht="12.75" customHeight="1" x14ac:dyDescent="0.2">
      <c r="A105" s="463" t="s">
        <v>822</v>
      </c>
      <c r="B105" s="469">
        <v>1992</v>
      </c>
      <c r="C105" s="1936">
        <v>0</v>
      </c>
      <c r="D105" s="549"/>
      <c r="E105" s="467"/>
      <c r="F105" s="467"/>
      <c r="G105" s="467"/>
      <c r="H105" s="503"/>
      <c r="I105" s="467"/>
      <c r="J105" s="467"/>
      <c r="K105" s="467"/>
    </row>
    <row r="106" spans="1:12" ht="12.75" customHeight="1" x14ac:dyDescent="0.2">
      <c r="A106" s="463" t="s">
        <v>1430</v>
      </c>
      <c r="B106" s="469">
        <v>1993</v>
      </c>
      <c r="C106" s="1936">
        <v>0</v>
      </c>
      <c r="D106" s="1940">
        <v>0</v>
      </c>
      <c r="E106" s="1937">
        <v>0</v>
      </c>
      <c r="F106" s="1943">
        <v>0</v>
      </c>
      <c r="G106" s="1943">
        <v>0</v>
      </c>
      <c r="H106" s="1943">
        <v>0</v>
      </c>
      <c r="I106" s="514"/>
      <c r="J106" s="1943">
        <v>0</v>
      </c>
      <c r="K106" s="1943">
        <v>0</v>
      </c>
    </row>
    <row r="107" spans="1:12" ht="12.75" customHeight="1" x14ac:dyDescent="0.2">
      <c r="A107" s="463" t="s">
        <v>78</v>
      </c>
      <c r="B107" s="469">
        <v>1999</v>
      </c>
      <c r="C107" s="1941">
        <v>26076</v>
      </c>
      <c r="D107" s="1936">
        <v>0</v>
      </c>
      <c r="E107" s="1936">
        <v>0</v>
      </c>
      <c r="F107" s="1942">
        <v>37936</v>
      </c>
      <c r="G107" s="1942">
        <v>0</v>
      </c>
      <c r="H107" s="1942">
        <v>0</v>
      </c>
      <c r="I107" s="1942">
        <v>0</v>
      </c>
      <c r="J107" s="1943">
        <v>0</v>
      </c>
      <c r="K107" s="1942">
        <v>0</v>
      </c>
    </row>
    <row r="108" spans="1:12" ht="12.75" customHeight="1" thickBot="1" x14ac:dyDescent="0.25">
      <c r="A108" s="1681" t="s">
        <v>487</v>
      </c>
      <c r="B108" s="1685"/>
      <c r="C108" s="1680">
        <f>SUM(C95:C107)</f>
        <v>37851</v>
      </c>
      <c r="D108" s="1680">
        <f t="shared" ref="D108:K108" si="3">SUM(D95:D107)</f>
        <v>0</v>
      </c>
      <c r="E108" s="1680">
        <f t="shared" si="3"/>
        <v>0</v>
      </c>
      <c r="F108" s="1680">
        <f t="shared" si="3"/>
        <v>37936</v>
      </c>
      <c r="G108" s="1680">
        <f t="shared" si="3"/>
        <v>0</v>
      </c>
      <c r="H108" s="1680">
        <f t="shared" si="3"/>
        <v>18856</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8315366</v>
      </c>
      <c r="D109" s="1688">
        <f t="shared" si="4"/>
        <v>1633450</v>
      </c>
      <c r="E109" s="1688">
        <f t="shared" si="4"/>
        <v>1658688</v>
      </c>
      <c r="F109" s="1688">
        <f t="shared" si="4"/>
        <v>1228557</v>
      </c>
      <c r="G109" s="1688">
        <f t="shared" si="4"/>
        <v>334890</v>
      </c>
      <c r="H109" s="1688">
        <f t="shared" si="4"/>
        <v>26028</v>
      </c>
      <c r="I109" s="1688">
        <f t="shared" si="4"/>
        <v>165996</v>
      </c>
      <c r="J109" s="1688">
        <f t="shared" si="4"/>
        <v>0</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5">
        <v>0</v>
      </c>
      <c r="D112" s="1942">
        <v>0</v>
      </c>
      <c r="E112" s="549"/>
      <c r="F112" s="1942">
        <v>0</v>
      </c>
      <c r="G112" s="1942">
        <v>0</v>
      </c>
      <c r="H112" s="549"/>
      <c r="I112" s="467"/>
      <c r="J112" s="467"/>
      <c r="K112" s="467"/>
      <c r="L112" s="540"/>
    </row>
    <row r="113" spans="1:11" ht="12.75" customHeight="1" x14ac:dyDescent="0.2">
      <c r="A113" s="463" t="s">
        <v>28</v>
      </c>
      <c r="B113" s="469">
        <v>2300</v>
      </c>
      <c r="C113" s="1945">
        <v>0</v>
      </c>
      <c r="D113" s="1942">
        <v>0</v>
      </c>
      <c r="E113" s="549"/>
      <c r="F113" s="1942">
        <v>0</v>
      </c>
      <c r="G113" s="1942">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1415177</v>
      </c>
      <c r="D117" s="477">
        <v>0</v>
      </c>
      <c r="E117" s="1942">
        <v>0</v>
      </c>
      <c r="F117" s="477">
        <v>0</v>
      </c>
      <c r="G117" s="477">
        <v>0</v>
      </c>
      <c r="H117" s="1942">
        <v>0</v>
      </c>
      <c r="I117" s="467"/>
      <c r="J117" s="1943">
        <v>0</v>
      </c>
      <c r="K117" s="1942">
        <v>0</v>
      </c>
    </row>
    <row r="118" spans="1:11" ht="12.75" customHeight="1" x14ac:dyDescent="0.2">
      <c r="A118" s="463" t="s">
        <v>1799</v>
      </c>
      <c r="B118" s="550">
        <v>3002</v>
      </c>
      <c r="C118" s="1945">
        <v>0</v>
      </c>
      <c r="D118" s="1942">
        <v>0</v>
      </c>
      <c r="E118" s="1942">
        <v>0</v>
      </c>
      <c r="F118" s="1942">
        <v>0</v>
      </c>
      <c r="G118" s="1942">
        <v>0</v>
      </c>
      <c r="H118" s="1942">
        <v>0</v>
      </c>
      <c r="I118" s="467"/>
      <c r="J118" s="1943">
        <v>0</v>
      </c>
      <c r="K118" s="1942">
        <v>0</v>
      </c>
    </row>
    <row r="119" spans="1:11" ht="12.75" customHeight="1" x14ac:dyDescent="0.2">
      <c r="A119" s="463" t="s">
        <v>1800</v>
      </c>
      <c r="B119" s="550">
        <v>3005</v>
      </c>
      <c r="C119" s="1945">
        <v>0</v>
      </c>
      <c r="D119" s="1942">
        <v>0</v>
      </c>
      <c r="E119" s="1942">
        <v>0</v>
      </c>
      <c r="F119" s="1942">
        <v>0</v>
      </c>
      <c r="G119" s="1942">
        <v>0</v>
      </c>
      <c r="H119" s="1942">
        <v>0</v>
      </c>
      <c r="I119" s="467"/>
      <c r="J119" s="1943">
        <v>0</v>
      </c>
      <c r="K119" s="1942">
        <v>0</v>
      </c>
    </row>
    <row r="120" spans="1:11" ht="12.75" customHeight="1" x14ac:dyDescent="0.2">
      <c r="A120" s="1904" t="s">
        <v>1936</v>
      </c>
      <c r="B120" s="550">
        <v>3030</v>
      </c>
      <c r="C120" s="1945">
        <v>0</v>
      </c>
      <c r="D120" s="1942">
        <v>0</v>
      </c>
      <c r="E120" s="1942">
        <v>0</v>
      </c>
      <c r="F120" s="1942">
        <v>0</v>
      </c>
      <c r="G120" s="1942">
        <v>0</v>
      </c>
      <c r="H120" s="1942">
        <v>0</v>
      </c>
      <c r="I120" s="467"/>
      <c r="J120" s="466">
        <v>0</v>
      </c>
      <c r="K120" s="465">
        <v>0</v>
      </c>
    </row>
    <row r="121" spans="1:11" x14ac:dyDescent="0.2">
      <c r="A121" s="1469" t="s">
        <v>1801</v>
      </c>
      <c r="B121" s="552">
        <v>3099</v>
      </c>
      <c r="C121" s="1945">
        <v>750</v>
      </c>
      <c r="D121" s="1942">
        <v>0</v>
      </c>
      <c r="E121" s="1942">
        <v>0</v>
      </c>
      <c r="F121" s="1942">
        <v>0</v>
      </c>
      <c r="G121" s="1942">
        <v>0</v>
      </c>
      <c r="H121" s="1942">
        <v>0</v>
      </c>
      <c r="I121" s="467"/>
      <c r="J121" s="1943">
        <v>0</v>
      </c>
      <c r="K121" s="1942">
        <v>0</v>
      </c>
    </row>
    <row r="122" spans="1:11" ht="12.6" customHeight="1" thickBot="1" x14ac:dyDescent="0.25">
      <c r="A122" s="1681" t="s">
        <v>488</v>
      </c>
      <c r="B122" s="1692"/>
      <c r="C122" s="1680">
        <f t="shared" ref="C122:H122" si="5">SUM(C117:C121)</f>
        <v>1415927</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31933</v>
      </c>
      <c r="D125" s="549"/>
      <c r="E125" s="467"/>
      <c r="F125" s="1954">
        <v>0</v>
      </c>
      <c r="G125" s="467"/>
      <c r="H125" s="467"/>
      <c r="I125" s="467"/>
      <c r="J125" s="467"/>
      <c r="K125" s="467"/>
    </row>
    <row r="126" spans="1:11" ht="12.75" customHeight="1" x14ac:dyDescent="0.2">
      <c r="A126" s="463" t="s">
        <v>1446</v>
      </c>
      <c r="B126" s="550">
        <v>3105</v>
      </c>
      <c r="C126" s="1942">
        <v>0</v>
      </c>
      <c r="D126" s="549"/>
      <c r="E126" s="467"/>
      <c r="F126" s="1946">
        <v>0</v>
      </c>
      <c r="G126" s="467"/>
      <c r="H126" s="467"/>
      <c r="I126" s="467"/>
      <c r="J126" s="467"/>
      <c r="K126" s="467"/>
    </row>
    <row r="127" spans="1:11" ht="12.75" customHeight="1" x14ac:dyDescent="0.2">
      <c r="A127" s="463" t="s">
        <v>867</v>
      </c>
      <c r="B127" s="550">
        <v>3110</v>
      </c>
      <c r="C127" s="1945">
        <v>0</v>
      </c>
      <c r="D127" s="1946">
        <v>0</v>
      </c>
      <c r="E127" s="467"/>
      <c r="F127" s="1946">
        <v>0</v>
      </c>
      <c r="G127" s="467"/>
      <c r="H127" s="467"/>
      <c r="I127" s="467"/>
      <c r="J127" s="467"/>
      <c r="K127" s="467"/>
    </row>
    <row r="128" spans="1:11" ht="12.75" customHeight="1" x14ac:dyDescent="0.2">
      <c r="A128" s="463" t="s">
        <v>105</v>
      </c>
      <c r="B128" s="550">
        <v>3120</v>
      </c>
      <c r="C128" s="1942">
        <v>0</v>
      </c>
      <c r="D128" s="549"/>
      <c r="E128" s="467"/>
      <c r="F128" s="1946">
        <v>0</v>
      </c>
      <c r="G128" s="467"/>
      <c r="H128" s="467"/>
      <c r="I128" s="467"/>
      <c r="J128" s="467"/>
      <c r="K128" s="467"/>
    </row>
    <row r="129" spans="1:11" ht="12.75" customHeight="1" x14ac:dyDescent="0.2">
      <c r="A129" s="463" t="s">
        <v>1447</v>
      </c>
      <c r="B129" s="550">
        <v>3130</v>
      </c>
      <c r="C129" s="1942">
        <v>0</v>
      </c>
      <c r="D129" s="549"/>
      <c r="E129" s="467"/>
      <c r="F129" s="1946">
        <v>0</v>
      </c>
      <c r="G129" s="467"/>
      <c r="H129" s="467"/>
      <c r="I129" s="467"/>
      <c r="J129" s="467"/>
      <c r="K129" s="467"/>
    </row>
    <row r="130" spans="1:11" ht="12.75" customHeight="1" x14ac:dyDescent="0.2">
      <c r="A130" s="463" t="s">
        <v>137</v>
      </c>
      <c r="B130" s="550">
        <v>3145</v>
      </c>
      <c r="C130" s="1942">
        <v>0</v>
      </c>
      <c r="D130" s="549"/>
      <c r="E130" s="467"/>
      <c r="F130" s="1946">
        <v>0</v>
      </c>
      <c r="G130" s="467"/>
      <c r="H130" s="467"/>
      <c r="I130" s="467"/>
      <c r="J130" s="467"/>
      <c r="K130" s="467"/>
    </row>
    <row r="131" spans="1:11" ht="12.75" customHeight="1" x14ac:dyDescent="0.2">
      <c r="A131" s="463" t="s">
        <v>66</v>
      </c>
      <c r="B131" s="550">
        <v>3199</v>
      </c>
      <c r="C131" s="1945">
        <v>0</v>
      </c>
      <c r="D131" s="1947">
        <v>0</v>
      </c>
      <c r="E131" s="467"/>
      <c r="F131" s="1946">
        <v>0</v>
      </c>
      <c r="G131" s="467"/>
      <c r="H131" s="467"/>
      <c r="I131" s="467"/>
      <c r="J131" s="467"/>
      <c r="K131" s="467"/>
    </row>
    <row r="132" spans="1:11" ht="12.75" customHeight="1" thickBot="1" x14ac:dyDescent="0.25">
      <c r="A132" s="1681" t="s">
        <v>1032</v>
      </c>
      <c r="B132" s="1693"/>
      <c r="C132" s="1680">
        <f>SUM(C125:C131)</f>
        <v>31933</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5">
        <v>0</v>
      </c>
      <c r="D134" s="1946">
        <v>0</v>
      </c>
      <c r="E134" s="549"/>
      <c r="F134" s="467"/>
      <c r="G134" s="1946">
        <v>0</v>
      </c>
      <c r="H134" s="467"/>
      <c r="I134" s="467"/>
      <c r="J134" s="467"/>
      <c r="K134" s="467"/>
    </row>
    <row r="135" spans="1:11" ht="12.75" customHeight="1" x14ac:dyDescent="0.2">
      <c r="A135" s="463" t="s">
        <v>669</v>
      </c>
      <c r="B135" s="550">
        <v>3220</v>
      </c>
      <c r="C135" s="1955">
        <v>5331</v>
      </c>
      <c r="D135" s="1946">
        <v>0</v>
      </c>
      <c r="E135" s="549"/>
      <c r="F135" s="467"/>
      <c r="G135" s="1947">
        <v>0</v>
      </c>
      <c r="H135" s="467"/>
      <c r="I135" s="467"/>
      <c r="J135" s="467"/>
      <c r="K135" s="467"/>
    </row>
    <row r="136" spans="1:11" ht="12.75" customHeight="1" x14ac:dyDescent="0.2">
      <c r="A136" s="463" t="s">
        <v>249</v>
      </c>
      <c r="B136" s="550">
        <v>3225</v>
      </c>
      <c r="C136" s="1955">
        <v>0</v>
      </c>
      <c r="D136" s="1946">
        <v>0</v>
      </c>
      <c r="E136" s="549"/>
      <c r="F136" s="467"/>
      <c r="G136" s="1947">
        <v>0</v>
      </c>
      <c r="H136" s="467"/>
      <c r="I136" s="467"/>
      <c r="J136" s="467"/>
      <c r="K136" s="467"/>
    </row>
    <row r="137" spans="1:11" ht="12.75" customHeight="1" x14ac:dyDescent="0.2">
      <c r="A137" s="463" t="s">
        <v>600</v>
      </c>
      <c r="B137" s="550">
        <v>3235</v>
      </c>
      <c r="C137" s="1950">
        <v>0</v>
      </c>
      <c r="D137" s="1947">
        <v>0</v>
      </c>
      <c r="E137" s="549"/>
      <c r="F137" s="467"/>
      <c r="G137" s="1947">
        <v>0</v>
      </c>
      <c r="H137" s="467"/>
      <c r="I137" s="467"/>
      <c r="J137" s="467"/>
      <c r="K137" s="467"/>
    </row>
    <row r="138" spans="1:11" ht="12.75" customHeight="1" x14ac:dyDescent="0.2">
      <c r="A138" s="463" t="s">
        <v>601</v>
      </c>
      <c r="B138" s="550">
        <v>3240</v>
      </c>
      <c r="C138" s="1950">
        <v>0</v>
      </c>
      <c r="D138" s="1947">
        <v>0</v>
      </c>
      <c r="E138" s="549"/>
      <c r="F138" s="467"/>
      <c r="G138" s="1947">
        <v>0</v>
      </c>
      <c r="H138" s="467"/>
      <c r="I138" s="467"/>
      <c r="J138" s="467"/>
      <c r="K138" s="467"/>
    </row>
    <row r="139" spans="1:11" ht="12.75" customHeight="1" x14ac:dyDescent="0.2">
      <c r="A139" s="463" t="s">
        <v>602</v>
      </c>
      <c r="B139" s="550">
        <v>3270</v>
      </c>
      <c r="C139" s="1950">
        <v>0</v>
      </c>
      <c r="D139" s="1947">
        <v>0</v>
      </c>
      <c r="E139" s="549"/>
      <c r="F139" s="467"/>
      <c r="G139" s="1947">
        <v>0</v>
      </c>
      <c r="H139" s="467"/>
      <c r="I139" s="467"/>
      <c r="J139" s="467"/>
      <c r="K139" s="467"/>
    </row>
    <row r="140" spans="1:11" ht="12.75" customHeight="1" x14ac:dyDescent="0.2">
      <c r="A140" s="463" t="s">
        <v>67</v>
      </c>
      <c r="B140" s="550">
        <v>3299</v>
      </c>
      <c r="C140" s="1955">
        <v>0</v>
      </c>
      <c r="D140" s="1946">
        <v>0</v>
      </c>
      <c r="E140" s="549"/>
      <c r="F140" s="473"/>
      <c r="G140" s="1947">
        <v>0</v>
      </c>
      <c r="H140" s="467"/>
      <c r="I140" s="467"/>
      <c r="J140" s="467"/>
      <c r="K140" s="467"/>
    </row>
    <row r="141" spans="1:11" ht="12.75" customHeight="1" thickBot="1" x14ac:dyDescent="0.25">
      <c r="A141" s="1681" t="s">
        <v>603</v>
      </c>
      <c r="B141" s="1693"/>
      <c r="C141" s="1680">
        <f>SUM(C134:C140)</f>
        <v>5331</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6">
        <v>0</v>
      </c>
      <c r="D143" s="467"/>
      <c r="E143" s="549"/>
      <c r="F143" s="467"/>
      <c r="G143" s="1946">
        <v>0</v>
      </c>
      <c r="H143" s="467"/>
      <c r="I143" s="467"/>
      <c r="J143" s="467"/>
      <c r="K143" s="467"/>
    </row>
    <row r="144" spans="1:11" ht="12.75" customHeight="1" x14ac:dyDescent="0.2">
      <c r="A144" s="463" t="s">
        <v>347</v>
      </c>
      <c r="B144" s="550">
        <v>3310</v>
      </c>
      <c r="C144" s="1955">
        <v>0</v>
      </c>
      <c r="D144" s="467"/>
      <c r="E144" s="549"/>
      <c r="F144" s="467"/>
      <c r="G144" s="1946">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9">
        <v>0</v>
      </c>
      <c r="D146" s="557"/>
      <c r="E146" s="502"/>
      <c r="F146" s="467"/>
      <c r="G146" s="558"/>
      <c r="H146" s="467"/>
      <c r="I146" s="467"/>
      <c r="J146" s="467"/>
      <c r="K146" s="467"/>
    </row>
    <row r="147" spans="1:11" ht="12.75" customHeight="1" thickBot="1" x14ac:dyDescent="0.25">
      <c r="A147" s="1472" t="s">
        <v>922</v>
      </c>
      <c r="B147" s="559">
        <v>3365</v>
      </c>
      <c r="C147" s="1956">
        <v>0</v>
      </c>
      <c r="D147" s="1953">
        <v>0</v>
      </c>
      <c r="E147" s="549"/>
      <c r="F147" s="467"/>
      <c r="G147" s="1953">
        <v>0</v>
      </c>
      <c r="H147" s="467"/>
      <c r="I147" s="467"/>
      <c r="J147" s="467"/>
      <c r="K147" s="467"/>
    </row>
    <row r="148" spans="1:11" ht="12.75" customHeight="1" thickTop="1" thickBot="1" x14ac:dyDescent="0.25">
      <c r="A148" s="1473" t="s">
        <v>138</v>
      </c>
      <c r="B148" s="560">
        <v>3370</v>
      </c>
      <c r="C148" s="1956">
        <v>22363</v>
      </c>
      <c r="D148" s="1956">
        <v>0</v>
      </c>
      <c r="E148" s="502"/>
      <c r="F148" s="467"/>
      <c r="G148" s="467"/>
      <c r="H148" s="467"/>
      <c r="I148" s="467"/>
      <c r="J148" s="467"/>
      <c r="K148" s="467"/>
    </row>
    <row r="149" spans="1:11" ht="12.75" customHeight="1" thickTop="1" thickBot="1" x14ac:dyDescent="0.25">
      <c r="A149" s="1473" t="s">
        <v>767</v>
      </c>
      <c r="B149" s="560">
        <v>3410</v>
      </c>
      <c r="C149" s="1957">
        <v>0</v>
      </c>
      <c r="D149" s="1958">
        <v>0</v>
      </c>
      <c r="E149" s="1959">
        <v>0</v>
      </c>
      <c r="F149" s="1951">
        <v>0</v>
      </c>
      <c r="G149" s="1951">
        <v>0</v>
      </c>
      <c r="H149" s="1951">
        <v>0</v>
      </c>
      <c r="I149" s="1951">
        <v>0</v>
      </c>
      <c r="J149" s="1951">
        <v>0</v>
      </c>
      <c r="K149" s="1951">
        <v>0</v>
      </c>
    </row>
    <row r="150" spans="1:11" ht="12.75" customHeight="1" thickTop="1" thickBot="1" x14ac:dyDescent="0.25">
      <c r="A150" s="1473" t="s">
        <v>68</v>
      </c>
      <c r="B150" s="560">
        <v>3499</v>
      </c>
      <c r="C150" s="1957">
        <v>0</v>
      </c>
      <c r="D150" s="1958">
        <v>0</v>
      </c>
      <c r="E150" s="1953">
        <v>0</v>
      </c>
      <c r="F150" s="1953">
        <v>0</v>
      </c>
      <c r="G150" s="1953">
        <v>0</v>
      </c>
      <c r="H150" s="1953">
        <v>0</v>
      </c>
      <c r="I150" s="1953">
        <v>0</v>
      </c>
      <c r="J150" s="1953">
        <v>0</v>
      </c>
      <c r="K150" s="1953">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5">
        <v>0</v>
      </c>
      <c r="D152" s="1946">
        <v>0</v>
      </c>
      <c r="E152" s="549"/>
      <c r="F152" s="1946">
        <v>250418</v>
      </c>
      <c r="G152" s="1947">
        <v>0</v>
      </c>
      <c r="H152" s="467"/>
      <c r="I152" s="467"/>
      <c r="J152" s="467"/>
      <c r="K152" s="467"/>
    </row>
    <row r="153" spans="1:11" ht="12.75" customHeight="1" x14ac:dyDescent="0.2">
      <c r="A153" s="463" t="s">
        <v>1057</v>
      </c>
      <c r="B153" s="550">
        <v>3510</v>
      </c>
      <c r="C153" s="1955">
        <v>0</v>
      </c>
      <c r="D153" s="1946">
        <v>0</v>
      </c>
      <c r="E153" s="549"/>
      <c r="F153" s="1946">
        <v>360133</v>
      </c>
      <c r="G153" s="1947">
        <v>0</v>
      </c>
      <c r="H153" s="467"/>
      <c r="I153" s="467"/>
      <c r="J153" s="467"/>
      <c r="K153" s="467"/>
    </row>
    <row r="154" spans="1:11" ht="12.75" customHeight="1" x14ac:dyDescent="0.2">
      <c r="A154" s="463" t="s">
        <v>69</v>
      </c>
      <c r="B154" s="550">
        <v>3599</v>
      </c>
      <c r="C154" s="1955">
        <v>0</v>
      </c>
      <c r="D154" s="1946">
        <v>0</v>
      </c>
      <c r="E154" s="549"/>
      <c r="F154" s="1946">
        <v>0</v>
      </c>
      <c r="G154" s="1947">
        <v>0</v>
      </c>
      <c r="H154" s="467"/>
      <c r="I154" s="467"/>
      <c r="J154" s="467"/>
      <c r="K154" s="467"/>
    </row>
    <row r="155" spans="1:11" ht="12.75" customHeight="1" thickBot="1" x14ac:dyDescent="0.25">
      <c r="A155" s="1681" t="s">
        <v>94</v>
      </c>
      <c r="B155" s="1693"/>
      <c r="C155" s="1680">
        <f>SUM(C152:C154)</f>
        <v>0</v>
      </c>
      <c r="D155" s="1680">
        <f>SUM(D152:D154)</f>
        <v>0</v>
      </c>
      <c r="E155" s="549"/>
      <c r="F155" s="1680">
        <f>SUM(F152:F154)</f>
        <v>610551</v>
      </c>
      <c r="G155" s="1680">
        <f>SUM(G152:G154)</f>
        <v>0</v>
      </c>
      <c r="H155" s="467"/>
      <c r="I155" s="467"/>
      <c r="J155" s="467"/>
      <c r="K155" s="467"/>
    </row>
    <row r="156" spans="1:11" ht="12.75" customHeight="1" thickTop="1" thickBot="1" x14ac:dyDescent="0.25">
      <c r="A156" s="1473" t="s">
        <v>380</v>
      </c>
      <c r="B156" s="560">
        <v>3610</v>
      </c>
      <c r="C156" s="1958">
        <v>0</v>
      </c>
      <c r="D156" s="467"/>
      <c r="E156" s="502"/>
      <c r="F156" s="467"/>
      <c r="G156" s="467"/>
      <c r="H156" s="467"/>
      <c r="I156" s="467"/>
      <c r="J156" s="467"/>
      <c r="K156" s="467"/>
    </row>
    <row r="157" spans="1:11" ht="12.75" customHeight="1" thickTop="1" thickBot="1" x14ac:dyDescent="0.25">
      <c r="A157" s="1473" t="s">
        <v>50</v>
      </c>
      <c r="B157" s="560">
        <v>3660</v>
      </c>
      <c r="C157" s="1956">
        <v>0</v>
      </c>
      <c r="D157" s="1960">
        <v>0</v>
      </c>
      <c r="E157" s="549"/>
      <c r="F157" s="1960">
        <v>0</v>
      </c>
      <c r="G157" s="1960">
        <v>0</v>
      </c>
      <c r="H157" s="467"/>
      <c r="I157" s="467"/>
      <c r="J157" s="467"/>
      <c r="K157" s="467"/>
    </row>
    <row r="158" spans="1:11" ht="12.75" customHeight="1" thickTop="1" thickBot="1" x14ac:dyDescent="0.25">
      <c r="A158" s="1473" t="s">
        <v>1000</v>
      </c>
      <c r="B158" s="560">
        <v>3695</v>
      </c>
      <c r="C158" s="1958">
        <v>0</v>
      </c>
      <c r="D158" s="467"/>
      <c r="E158" s="549"/>
      <c r="F158" s="1958">
        <v>0</v>
      </c>
      <c r="G158" s="1958">
        <v>0</v>
      </c>
      <c r="H158" s="467"/>
      <c r="I158" s="467"/>
      <c r="J158" s="467"/>
      <c r="K158" s="467"/>
    </row>
    <row r="159" spans="1:11" ht="12.75" customHeight="1" thickTop="1" thickBot="1" x14ac:dyDescent="0.25">
      <c r="A159" s="1473" t="s">
        <v>1051</v>
      </c>
      <c r="B159" s="560">
        <v>3705</v>
      </c>
      <c r="C159" s="1958">
        <v>0</v>
      </c>
      <c r="D159" s="1960">
        <v>0</v>
      </c>
      <c r="E159" s="549"/>
      <c r="F159" s="1958">
        <v>0</v>
      </c>
      <c r="G159" s="1958">
        <v>0</v>
      </c>
      <c r="H159" s="467"/>
      <c r="I159" s="467"/>
      <c r="J159" s="467"/>
      <c r="K159" s="467"/>
    </row>
    <row r="160" spans="1:11" ht="12.75" customHeight="1" thickTop="1" thickBot="1" x14ac:dyDescent="0.25">
      <c r="A160" s="1473" t="s">
        <v>39</v>
      </c>
      <c r="B160" s="560">
        <v>3766</v>
      </c>
      <c r="C160" s="1958">
        <v>0</v>
      </c>
      <c r="D160" s="1960">
        <v>0</v>
      </c>
      <c r="E160" s="549"/>
      <c r="F160" s="1958">
        <v>0</v>
      </c>
      <c r="G160" s="1952">
        <v>0</v>
      </c>
      <c r="H160" s="467"/>
      <c r="I160" s="467"/>
      <c r="J160" s="467"/>
      <c r="K160" s="467"/>
    </row>
    <row r="161" spans="1:11" ht="12.75" customHeight="1" thickTop="1" thickBot="1" x14ac:dyDescent="0.25">
      <c r="A161" s="1473" t="s">
        <v>985</v>
      </c>
      <c r="B161" s="560">
        <v>3767</v>
      </c>
      <c r="C161" s="1958">
        <v>0</v>
      </c>
      <c r="D161" s="1952">
        <v>0</v>
      </c>
      <c r="E161" s="549"/>
      <c r="F161" s="1952">
        <v>0</v>
      </c>
      <c r="G161" s="1952">
        <v>0</v>
      </c>
      <c r="H161" s="467"/>
      <c r="I161" s="467"/>
      <c r="J161" s="467"/>
      <c r="K161" s="467"/>
    </row>
    <row r="162" spans="1:11" ht="12.75" customHeight="1" thickTop="1" thickBot="1" x14ac:dyDescent="0.25">
      <c r="A162" s="1473" t="s">
        <v>986</v>
      </c>
      <c r="B162" s="560">
        <v>3775</v>
      </c>
      <c r="C162" s="1958">
        <v>0</v>
      </c>
      <c r="D162" s="1956">
        <v>0</v>
      </c>
      <c r="E162" s="1951">
        <v>0</v>
      </c>
      <c r="F162" s="1956">
        <v>0</v>
      </c>
      <c r="G162" s="1953">
        <v>0</v>
      </c>
      <c r="H162" s="1951">
        <v>0</v>
      </c>
      <c r="I162" s="467"/>
      <c r="J162" s="467"/>
      <c r="K162" s="1951">
        <v>0</v>
      </c>
    </row>
    <row r="163" spans="1:11" ht="12.75" customHeight="1" thickTop="1" thickBot="1" x14ac:dyDescent="0.25">
      <c r="A163" s="1473" t="s">
        <v>1449</v>
      </c>
      <c r="B163" s="560">
        <v>3780</v>
      </c>
      <c r="C163" s="1952">
        <v>0</v>
      </c>
      <c r="D163" s="1951">
        <v>0</v>
      </c>
      <c r="E163" s="1952">
        <v>0</v>
      </c>
      <c r="F163" s="1952">
        <v>0</v>
      </c>
      <c r="G163" s="1952">
        <v>0</v>
      </c>
      <c r="H163" s="1952">
        <v>0</v>
      </c>
      <c r="I163" s="467"/>
      <c r="J163" s="467"/>
      <c r="K163" s="1952">
        <v>0</v>
      </c>
    </row>
    <row r="164" spans="1:11" ht="12.75" customHeight="1" thickTop="1" thickBot="1" x14ac:dyDescent="0.25">
      <c r="A164" s="1473" t="s">
        <v>858</v>
      </c>
      <c r="B164" s="560">
        <v>3815</v>
      </c>
      <c r="C164" s="1958">
        <v>0</v>
      </c>
      <c r="D164" s="467"/>
      <c r="E164" s="549"/>
      <c r="F164" s="1958">
        <v>0</v>
      </c>
      <c r="G164" s="467"/>
      <c r="H164" s="467"/>
      <c r="I164" s="467"/>
      <c r="J164" s="467"/>
      <c r="K164" s="467"/>
    </row>
    <row r="165" spans="1:11" ht="12.75" customHeight="1" thickTop="1" thickBot="1" x14ac:dyDescent="0.25">
      <c r="A165" s="1473" t="s">
        <v>397</v>
      </c>
      <c r="B165" s="560">
        <v>3825</v>
      </c>
      <c r="C165" s="1958">
        <v>0</v>
      </c>
      <c r="D165" s="467"/>
      <c r="E165" s="549"/>
      <c r="F165" s="1958">
        <v>0</v>
      </c>
      <c r="G165" s="467"/>
      <c r="H165" s="467"/>
      <c r="I165" s="467"/>
      <c r="J165" s="467"/>
      <c r="K165" s="467"/>
    </row>
    <row r="166" spans="1:11" ht="12.75" customHeight="1" thickTop="1" thickBot="1" x14ac:dyDescent="0.25">
      <c r="A166" s="1473" t="s">
        <v>348</v>
      </c>
      <c r="B166" s="560">
        <v>3920</v>
      </c>
      <c r="C166" s="554"/>
      <c r="D166" s="1960">
        <v>0</v>
      </c>
      <c r="E166" s="467"/>
      <c r="F166" s="554"/>
      <c r="G166" s="467"/>
      <c r="H166" s="1951">
        <v>0</v>
      </c>
      <c r="I166" s="467"/>
      <c r="J166" s="467"/>
      <c r="K166" s="467"/>
    </row>
    <row r="167" spans="1:11" ht="12.75" customHeight="1" thickTop="1" thickBot="1" x14ac:dyDescent="0.25">
      <c r="A167" s="1473" t="s">
        <v>349</v>
      </c>
      <c r="B167" s="560">
        <v>3925</v>
      </c>
      <c r="C167" s="514"/>
      <c r="D167" s="1958">
        <v>0</v>
      </c>
      <c r="E167" s="514"/>
      <c r="F167" s="514"/>
      <c r="G167" s="467"/>
      <c r="H167" s="1952">
        <v>0</v>
      </c>
      <c r="I167" s="467"/>
      <c r="J167" s="467"/>
      <c r="K167" s="1951">
        <v>0</v>
      </c>
    </row>
    <row r="168" spans="1:11" ht="14.25" thickTop="1" thickBot="1" x14ac:dyDescent="0.25">
      <c r="A168" s="1473" t="s">
        <v>70</v>
      </c>
      <c r="B168" s="560">
        <v>3999</v>
      </c>
      <c r="C168" s="1961">
        <v>3588</v>
      </c>
      <c r="D168" s="1962">
        <v>0</v>
      </c>
      <c r="E168" s="1962">
        <v>0</v>
      </c>
      <c r="F168" s="1962">
        <v>0</v>
      </c>
      <c r="G168" s="1963">
        <v>0</v>
      </c>
      <c r="H168" s="1964">
        <v>0</v>
      </c>
      <c r="I168" s="1963">
        <v>0</v>
      </c>
      <c r="J168" s="1963">
        <v>0</v>
      </c>
      <c r="K168" s="1964">
        <v>0</v>
      </c>
    </row>
    <row r="169" spans="1:11" ht="12.75" customHeight="1" thickTop="1" thickBot="1" x14ac:dyDescent="0.25">
      <c r="A169" s="2211" t="s">
        <v>398</v>
      </c>
      <c r="B169" s="2212"/>
      <c r="C169" s="1695">
        <f t="shared" ref="C169:K169" si="6">SUM(C132,C141,C145,C146:C150,C155,C156:C167,C168)</f>
        <v>63215</v>
      </c>
      <c r="D169" s="1695">
        <f t="shared" si="6"/>
        <v>0</v>
      </c>
      <c r="E169" s="1695">
        <f t="shared" si="6"/>
        <v>0</v>
      </c>
      <c r="F169" s="1695">
        <f t="shared" si="6"/>
        <v>610551</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1479142</v>
      </c>
      <c r="D170" s="1688">
        <f t="shared" si="7"/>
        <v>0</v>
      </c>
      <c r="E170" s="1688">
        <f t="shared" si="7"/>
        <v>0</v>
      </c>
      <c r="F170" s="1688">
        <f t="shared" si="7"/>
        <v>610551</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3" t="s">
        <v>1492</v>
      </c>
      <c r="B172" s="2214"/>
      <c r="C172" s="513"/>
      <c r="D172" s="513"/>
      <c r="E172" s="502"/>
      <c r="F172" s="467"/>
      <c r="G172" s="467"/>
      <c r="H172" s="467"/>
      <c r="I172" s="467"/>
      <c r="J172" s="467"/>
      <c r="K172" s="467"/>
    </row>
    <row r="173" spans="1:11" ht="12.6" customHeight="1" x14ac:dyDescent="0.2">
      <c r="A173" s="486" t="s">
        <v>1044</v>
      </c>
      <c r="B173" s="485">
        <v>4001</v>
      </c>
      <c r="C173" s="509">
        <v>0</v>
      </c>
      <c r="D173" s="477">
        <v>0</v>
      </c>
      <c r="E173" s="1947">
        <v>0</v>
      </c>
      <c r="F173" s="1946">
        <v>0</v>
      </c>
      <c r="G173" s="1946">
        <v>0</v>
      </c>
      <c r="H173" s="1947">
        <v>0</v>
      </c>
      <c r="I173" s="1947">
        <v>0</v>
      </c>
      <c r="J173" s="1947">
        <v>0</v>
      </c>
      <c r="K173" s="1947">
        <v>0</v>
      </c>
    </row>
    <row r="174" spans="1:11" ht="22.5" x14ac:dyDescent="0.2">
      <c r="A174" s="551" t="s">
        <v>805</v>
      </c>
      <c r="B174" s="563">
        <v>4009</v>
      </c>
      <c r="C174" s="1955">
        <v>0</v>
      </c>
      <c r="D174" s="1946">
        <v>0</v>
      </c>
      <c r="E174" s="1947">
        <v>0</v>
      </c>
      <c r="F174" s="1946">
        <v>0</v>
      </c>
      <c r="G174" s="1946">
        <v>0</v>
      </c>
      <c r="H174" s="1947">
        <v>0</v>
      </c>
      <c r="I174" s="1947">
        <v>0</v>
      </c>
      <c r="J174" s="1947">
        <v>0</v>
      </c>
      <c r="K174" s="1947">
        <v>0</v>
      </c>
    </row>
    <row r="175" spans="1:11" ht="13.5" thickBot="1" x14ac:dyDescent="0.25">
      <c r="A175" s="2217" t="s">
        <v>1665</v>
      </c>
      <c r="B175" s="2218"/>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1" t="s">
        <v>1664</v>
      </c>
      <c r="B176" s="2222"/>
      <c r="C176" s="575"/>
      <c r="D176" s="576"/>
      <c r="E176" s="577"/>
      <c r="F176" s="578"/>
      <c r="G176" s="578"/>
      <c r="H176" s="578"/>
      <c r="I176" s="578"/>
      <c r="J176" s="578"/>
      <c r="K176" s="578"/>
    </row>
    <row r="177" spans="1:11" ht="12.75" customHeight="1" x14ac:dyDescent="0.2">
      <c r="A177" s="463" t="s">
        <v>1045</v>
      </c>
      <c r="B177" s="469">
        <v>4045</v>
      </c>
      <c r="C177" s="1955">
        <v>0</v>
      </c>
      <c r="D177" s="467"/>
      <c r="E177" s="549"/>
      <c r="F177" s="467"/>
      <c r="G177" s="467"/>
      <c r="H177" s="467"/>
      <c r="I177" s="467"/>
      <c r="J177" s="467"/>
      <c r="K177" s="467"/>
    </row>
    <row r="178" spans="1:11" ht="12.75" customHeight="1" x14ac:dyDescent="0.2">
      <c r="A178" s="463" t="s">
        <v>1046</v>
      </c>
      <c r="B178" s="469">
        <v>4050</v>
      </c>
      <c r="C178" s="1955">
        <v>0</v>
      </c>
      <c r="D178" s="1947">
        <v>0</v>
      </c>
      <c r="E178" s="549"/>
      <c r="F178" s="467"/>
      <c r="G178" s="467"/>
      <c r="H178" s="1947">
        <v>0</v>
      </c>
      <c r="I178" s="467"/>
      <c r="J178" s="467"/>
      <c r="K178" s="467"/>
    </row>
    <row r="179" spans="1:11" ht="12.75" customHeight="1" x14ac:dyDescent="0.2">
      <c r="A179" s="463" t="s">
        <v>260</v>
      </c>
      <c r="B179" s="469">
        <v>4060</v>
      </c>
      <c r="C179" s="509">
        <v>0</v>
      </c>
      <c r="D179" s="1946">
        <v>0</v>
      </c>
      <c r="E179" s="467"/>
      <c r="F179" s="1946">
        <v>0</v>
      </c>
      <c r="G179" s="1946">
        <v>0</v>
      </c>
      <c r="H179" s="1946">
        <v>0</v>
      </c>
      <c r="I179" s="467"/>
      <c r="J179" s="467"/>
      <c r="K179" s="514"/>
    </row>
    <row r="180" spans="1:11" ht="22.5" x14ac:dyDescent="0.2">
      <c r="A180" s="551" t="s">
        <v>786</v>
      </c>
      <c r="B180" s="563">
        <v>4090</v>
      </c>
      <c r="C180" s="1955">
        <v>0</v>
      </c>
      <c r="D180" s="1946">
        <v>0</v>
      </c>
      <c r="E180" s="467"/>
      <c r="F180" s="1946">
        <v>0</v>
      </c>
      <c r="G180" s="1946">
        <v>0</v>
      </c>
      <c r="H180" s="1946">
        <v>0</v>
      </c>
      <c r="I180" s="467"/>
      <c r="J180" s="467"/>
      <c r="K180" s="1946">
        <v>0</v>
      </c>
    </row>
    <row r="181" spans="1:11" ht="13.5" thickBot="1" x14ac:dyDescent="0.25">
      <c r="A181" s="2219" t="s">
        <v>785</v>
      </c>
      <c r="B181" s="2220"/>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5" t="s">
        <v>1803</v>
      </c>
      <c r="B182" s="2216"/>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5">
        <v>0</v>
      </c>
      <c r="D185" s="1946">
        <v>0</v>
      </c>
      <c r="E185" s="549"/>
      <c r="F185" s="1946">
        <v>0</v>
      </c>
      <c r="G185" s="1946">
        <v>0</v>
      </c>
      <c r="H185" s="467"/>
      <c r="I185" s="467"/>
      <c r="J185" s="467"/>
      <c r="K185" s="467"/>
    </row>
    <row r="186" spans="1:11" ht="12.75" customHeight="1" x14ac:dyDescent="0.2">
      <c r="A186" s="463" t="s">
        <v>1606</v>
      </c>
      <c r="B186" s="469">
        <v>4107</v>
      </c>
      <c r="C186" s="1955">
        <v>0</v>
      </c>
      <c r="D186" s="1946">
        <v>0</v>
      </c>
      <c r="E186" s="549"/>
      <c r="F186" s="1946">
        <v>0</v>
      </c>
      <c r="G186" s="1946">
        <v>0</v>
      </c>
      <c r="H186" s="467"/>
      <c r="I186" s="467"/>
      <c r="J186" s="467"/>
      <c r="K186" s="467"/>
    </row>
    <row r="187" spans="1:11" ht="12.75" customHeight="1" x14ac:dyDescent="0.2">
      <c r="A187" s="463" t="s">
        <v>1605</v>
      </c>
      <c r="B187" s="469">
        <v>4199</v>
      </c>
      <c r="C187" s="1955">
        <v>0</v>
      </c>
      <c r="D187" s="1946">
        <v>0</v>
      </c>
      <c r="E187" s="549"/>
      <c r="F187" s="1946">
        <v>0</v>
      </c>
      <c r="G187" s="1946">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7">
        <v>0</v>
      </c>
      <c r="D190" s="467"/>
      <c r="E190" s="549"/>
      <c r="F190" s="541"/>
      <c r="G190" s="1965">
        <v>0</v>
      </c>
      <c r="H190" s="467"/>
      <c r="I190" s="467"/>
      <c r="J190" s="467"/>
      <c r="K190" s="467"/>
    </row>
    <row r="191" spans="1:11" ht="12.75" customHeight="1" x14ac:dyDescent="0.2">
      <c r="A191" s="463" t="s">
        <v>1058</v>
      </c>
      <c r="B191" s="469">
        <v>4210</v>
      </c>
      <c r="C191" s="1946">
        <v>0</v>
      </c>
      <c r="D191" s="467"/>
      <c r="E191" s="549"/>
      <c r="F191" s="467"/>
      <c r="G191" s="1965">
        <v>0</v>
      </c>
      <c r="H191" s="467"/>
      <c r="I191" s="467"/>
      <c r="J191" s="467"/>
      <c r="K191" s="467"/>
    </row>
    <row r="192" spans="1:11" ht="12.75" customHeight="1" x14ac:dyDescent="0.2">
      <c r="A192" s="463" t="s">
        <v>1047</v>
      </c>
      <c r="B192" s="469">
        <v>4215</v>
      </c>
      <c r="C192" s="1955">
        <v>0</v>
      </c>
      <c r="D192" s="467"/>
      <c r="E192" s="549"/>
      <c r="F192" s="467"/>
      <c r="G192" s="1965">
        <v>0</v>
      </c>
      <c r="H192" s="467"/>
      <c r="I192" s="467"/>
      <c r="J192" s="467"/>
      <c r="K192" s="467"/>
    </row>
    <row r="193" spans="1:11" ht="12.75" customHeight="1" x14ac:dyDescent="0.2">
      <c r="A193" s="463" t="s">
        <v>1059</v>
      </c>
      <c r="B193" s="469">
        <v>4220</v>
      </c>
      <c r="C193" s="1955">
        <v>0</v>
      </c>
      <c r="D193" s="467"/>
      <c r="E193" s="549"/>
      <c r="F193" s="467"/>
      <c r="G193" s="1965">
        <v>0</v>
      </c>
      <c r="H193" s="467"/>
      <c r="I193" s="467"/>
      <c r="J193" s="467"/>
      <c r="K193" s="467"/>
    </row>
    <row r="194" spans="1:11" ht="12.75" customHeight="1" x14ac:dyDescent="0.2">
      <c r="A194" s="463" t="s">
        <v>1451</v>
      </c>
      <c r="B194" s="469">
        <v>4225</v>
      </c>
      <c r="C194" s="1955">
        <v>0</v>
      </c>
      <c r="D194" s="467"/>
      <c r="E194" s="549"/>
      <c r="F194" s="467"/>
      <c r="G194" s="1965">
        <v>0</v>
      </c>
      <c r="H194" s="467"/>
      <c r="I194" s="467"/>
      <c r="J194" s="467"/>
      <c r="K194" s="467"/>
    </row>
    <row r="195" spans="1:11" ht="12.75" customHeight="1" x14ac:dyDescent="0.2">
      <c r="A195" s="463" t="s">
        <v>1452</v>
      </c>
      <c r="B195" s="469">
        <v>4226</v>
      </c>
      <c r="C195" s="1955">
        <v>0</v>
      </c>
      <c r="D195" s="467"/>
      <c r="E195" s="549"/>
      <c r="F195" s="467"/>
      <c r="G195" s="1965">
        <v>0</v>
      </c>
      <c r="H195" s="467"/>
      <c r="I195" s="467"/>
      <c r="J195" s="467"/>
      <c r="K195" s="467"/>
    </row>
    <row r="196" spans="1:11" ht="12.75" customHeight="1" x14ac:dyDescent="0.2">
      <c r="A196" s="463" t="s">
        <v>792</v>
      </c>
      <c r="B196" s="469">
        <v>4240</v>
      </c>
      <c r="C196" s="1950">
        <v>0</v>
      </c>
      <c r="D196" s="467"/>
      <c r="E196" s="549"/>
      <c r="F196" s="467"/>
      <c r="G196" s="566"/>
      <c r="H196" s="467"/>
      <c r="I196" s="467"/>
      <c r="J196" s="467"/>
      <c r="K196" s="467"/>
    </row>
    <row r="197" spans="1:11" ht="12.75" customHeight="1" x14ac:dyDescent="0.2">
      <c r="A197" s="463" t="s">
        <v>71</v>
      </c>
      <c r="B197" s="469">
        <v>4299</v>
      </c>
      <c r="C197" s="1955">
        <v>0</v>
      </c>
      <c r="D197" s="467"/>
      <c r="E197" s="549"/>
      <c r="F197" s="467"/>
      <c r="G197" s="1965">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6">
        <v>0</v>
      </c>
      <c r="D200" s="1946">
        <v>0</v>
      </c>
      <c r="E200" s="467"/>
      <c r="F200" s="1946">
        <v>0</v>
      </c>
      <c r="G200" s="1946">
        <v>0</v>
      </c>
      <c r="H200" s="467"/>
      <c r="I200" s="467"/>
      <c r="J200" s="467"/>
      <c r="K200" s="467"/>
    </row>
    <row r="201" spans="1:11" ht="12.75" customHeight="1" x14ac:dyDescent="0.2">
      <c r="A201" s="463" t="s">
        <v>919</v>
      </c>
      <c r="B201" s="469">
        <v>4305</v>
      </c>
      <c r="C201" s="1955">
        <v>0</v>
      </c>
      <c r="D201" s="1946">
        <v>0</v>
      </c>
      <c r="E201" s="467"/>
      <c r="F201" s="1946">
        <v>0</v>
      </c>
      <c r="G201" s="1946">
        <v>0</v>
      </c>
      <c r="H201" s="467"/>
      <c r="I201" s="467"/>
      <c r="J201" s="467"/>
      <c r="K201" s="467"/>
    </row>
    <row r="202" spans="1:11" ht="12.75" customHeight="1" x14ac:dyDescent="0.2">
      <c r="A202" s="463" t="s">
        <v>1031</v>
      </c>
      <c r="B202" s="469">
        <v>4340</v>
      </c>
      <c r="C202" s="1955">
        <v>0</v>
      </c>
      <c r="D202" s="1946">
        <v>0</v>
      </c>
      <c r="E202" s="467"/>
      <c r="F202" s="1946">
        <v>0</v>
      </c>
      <c r="G202" s="1946">
        <v>0</v>
      </c>
      <c r="H202" s="467"/>
      <c r="I202" s="467"/>
      <c r="J202" s="467"/>
      <c r="K202" s="467"/>
    </row>
    <row r="203" spans="1:11" ht="12.75" customHeight="1" x14ac:dyDescent="0.2">
      <c r="A203" s="463" t="s">
        <v>72</v>
      </c>
      <c r="B203" s="469">
        <v>4399</v>
      </c>
      <c r="C203" s="1955">
        <v>0</v>
      </c>
      <c r="D203" s="1946">
        <v>0</v>
      </c>
      <c r="E203" s="467"/>
      <c r="F203" s="1946">
        <v>0</v>
      </c>
      <c r="G203" s="1946">
        <v>0</v>
      </c>
      <c r="H203" s="467"/>
      <c r="I203" s="467"/>
      <c r="J203" s="467"/>
      <c r="K203" s="467"/>
    </row>
    <row r="204" spans="1:11" ht="12.75" customHeight="1" thickBot="1" x14ac:dyDescent="0.25">
      <c r="A204" s="1681" t="s">
        <v>400</v>
      </c>
      <c r="B204" s="1682"/>
      <c r="C204" s="1680">
        <f>SUM(C200:C203)</f>
        <v>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5">
        <v>0</v>
      </c>
      <c r="D206" s="1946">
        <v>0</v>
      </c>
      <c r="E206" s="467"/>
      <c r="F206" s="1946">
        <v>0</v>
      </c>
      <c r="G206" s="1946">
        <v>0</v>
      </c>
      <c r="H206" s="467"/>
      <c r="I206" s="467"/>
      <c r="J206" s="467"/>
      <c r="K206" s="467"/>
    </row>
    <row r="207" spans="1:11" ht="12.75" customHeight="1" x14ac:dyDescent="0.2">
      <c r="A207" s="463" t="s">
        <v>1453</v>
      </c>
      <c r="B207" s="469">
        <v>4421</v>
      </c>
      <c r="C207" s="1955">
        <v>0</v>
      </c>
      <c r="D207" s="1946">
        <v>0</v>
      </c>
      <c r="E207" s="467"/>
      <c r="F207" s="1946">
        <v>0</v>
      </c>
      <c r="G207" s="1946">
        <v>0</v>
      </c>
      <c r="H207" s="467"/>
      <c r="I207" s="467"/>
      <c r="J207" s="467"/>
      <c r="K207" s="467"/>
    </row>
    <row r="208" spans="1:11" ht="12.75" customHeight="1" x14ac:dyDescent="0.2">
      <c r="A208" s="463" t="s">
        <v>73</v>
      </c>
      <c r="B208" s="469">
        <v>4499</v>
      </c>
      <c r="C208" s="1955">
        <v>0</v>
      </c>
      <c r="D208" s="1946">
        <v>0</v>
      </c>
      <c r="E208" s="467"/>
      <c r="F208" s="1946">
        <v>0</v>
      </c>
      <c r="G208" s="1946">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5">
        <v>0</v>
      </c>
      <c r="D211" s="1946">
        <v>0</v>
      </c>
      <c r="E211" s="467"/>
      <c r="F211" s="1946">
        <v>0</v>
      </c>
      <c r="G211" s="1946">
        <v>0</v>
      </c>
      <c r="H211" s="467"/>
      <c r="I211" s="467"/>
      <c r="J211" s="467"/>
      <c r="K211" s="467"/>
    </row>
    <row r="212" spans="1:11" ht="12.75" customHeight="1" x14ac:dyDescent="0.2">
      <c r="A212" s="463" t="s">
        <v>1053</v>
      </c>
      <c r="B212" s="469">
        <v>4605</v>
      </c>
      <c r="C212" s="1955">
        <v>0</v>
      </c>
      <c r="D212" s="1946">
        <v>0</v>
      </c>
      <c r="E212" s="467"/>
      <c r="F212" s="1946">
        <v>0</v>
      </c>
      <c r="G212" s="1946">
        <v>0</v>
      </c>
      <c r="H212" s="467"/>
      <c r="I212" s="467"/>
      <c r="J212" s="467"/>
      <c r="K212" s="467"/>
    </row>
    <row r="213" spans="1:11" ht="12.75" customHeight="1" x14ac:dyDescent="0.2">
      <c r="A213" s="463" t="s">
        <v>1454</v>
      </c>
      <c r="B213" s="545">
        <v>4620</v>
      </c>
      <c r="C213" s="1955">
        <v>121462</v>
      </c>
      <c r="D213" s="1946">
        <v>0</v>
      </c>
      <c r="E213" s="467"/>
      <c r="F213" s="1946">
        <v>0</v>
      </c>
      <c r="G213" s="1946">
        <v>0</v>
      </c>
      <c r="H213" s="467"/>
      <c r="I213" s="467"/>
      <c r="J213" s="467"/>
      <c r="K213" s="467"/>
    </row>
    <row r="214" spans="1:11" ht="12.75" customHeight="1" x14ac:dyDescent="0.2">
      <c r="A214" s="463" t="s">
        <v>1054</v>
      </c>
      <c r="B214" s="469">
        <v>4625</v>
      </c>
      <c r="C214" s="1955">
        <v>0</v>
      </c>
      <c r="D214" s="1946">
        <v>0</v>
      </c>
      <c r="E214" s="467"/>
      <c r="F214" s="1946">
        <v>0</v>
      </c>
      <c r="G214" s="1946">
        <v>0</v>
      </c>
      <c r="H214" s="467"/>
      <c r="I214" s="467"/>
      <c r="J214" s="467"/>
      <c r="K214" s="467"/>
    </row>
    <row r="215" spans="1:11" ht="12.75" customHeight="1" x14ac:dyDescent="0.2">
      <c r="A215" s="463" t="s">
        <v>1055</v>
      </c>
      <c r="B215" s="469">
        <v>4630</v>
      </c>
      <c r="C215" s="1955">
        <v>0</v>
      </c>
      <c r="D215" s="1946">
        <v>0</v>
      </c>
      <c r="E215" s="467"/>
      <c r="F215" s="1946">
        <v>0</v>
      </c>
      <c r="G215" s="1946">
        <v>0</v>
      </c>
      <c r="H215" s="467"/>
      <c r="I215" s="467"/>
      <c r="J215" s="467"/>
      <c r="K215" s="467"/>
    </row>
    <row r="216" spans="1:11" ht="12.75" customHeight="1" x14ac:dyDescent="0.2">
      <c r="A216" s="1474" t="s">
        <v>74</v>
      </c>
      <c r="B216" s="545">
        <v>4699</v>
      </c>
      <c r="C216" s="1955">
        <v>0</v>
      </c>
      <c r="D216" s="1946">
        <v>0</v>
      </c>
      <c r="E216" s="467"/>
      <c r="F216" s="1946">
        <v>0</v>
      </c>
      <c r="G216" s="1946">
        <v>0</v>
      </c>
      <c r="H216" s="467"/>
      <c r="I216" s="467"/>
      <c r="J216" s="467"/>
      <c r="K216" s="467"/>
    </row>
    <row r="217" spans="1:11" ht="12.75" customHeight="1" thickBot="1" x14ac:dyDescent="0.25">
      <c r="A217" s="1681" t="s">
        <v>447</v>
      </c>
      <c r="B217" s="1682"/>
      <c r="C217" s="1680">
        <f>SUM(C211:C216)</f>
        <v>121462</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5">
        <v>12589</v>
      </c>
      <c r="D219" s="1946">
        <v>0</v>
      </c>
      <c r="E219" s="467"/>
      <c r="F219" s="467"/>
      <c r="G219" s="1946">
        <v>0</v>
      </c>
      <c r="H219" s="467"/>
      <c r="I219" s="467"/>
      <c r="J219" s="467"/>
      <c r="K219" s="467"/>
    </row>
    <row r="220" spans="1:11" ht="12.75" customHeight="1" x14ac:dyDescent="0.2">
      <c r="A220" s="463" t="s">
        <v>67</v>
      </c>
      <c r="B220" s="469">
        <v>4799</v>
      </c>
      <c r="C220" s="1955">
        <v>0</v>
      </c>
      <c r="D220" s="1946">
        <v>0</v>
      </c>
      <c r="E220" s="467"/>
      <c r="F220" s="467"/>
      <c r="G220" s="1946">
        <v>0</v>
      </c>
      <c r="H220" s="467"/>
      <c r="I220" s="467"/>
      <c r="J220" s="467"/>
      <c r="K220" s="467"/>
    </row>
    <row r="221" spans="1:11" ht="12.75" customHeight="1" thickBot="1" x14ac:dyDescent="0.25">
      <c r="A221" s="1696" t="s">
        <v>1085</v>
      </c>
      <c r="B221" s="1697"/>
      <c r="C221" s="1680">
        <f>SUM(C219:C220)</f>
        <v>12589</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7">
        <v>0</v>
      </c>
      <c r="D222" s="1958">
        <v>0</v>
      </c>
      <c r="E222" s="467"/>
      <c r="F222" s="467"/>
      <c r="G222" s="561">
        <v>0</v>
      </c>
      <c r="H222" s="467"/>
      <c r="I222" s="467"/>
      <c r="J222" s="467"/>
      <c r="K222" s="467"/>
    </row>
    <row r="223" spans="1:11" ht="12.75" customHeight="1" thickTop="1" x14ac:dyDescent="0.2">
      <c r="A223" s="486" t="s">
        <v>350</v>
      </c>
      <c r="B223" s="485">
        <v>4850</v>
      </c>
      <c r="C223" s="1950">
        <v>0</v>
      </c>
      <c r="D223" s="1947">
        <v>0</v>
      </c>
      <c r="E223" s="1947">
        <v>0</v>
      </c>
      <c r="F223" s="1947">
        <v>0</v>
      </c>
      <c r="G223" s="1947">
        <v>0</v>
      </c>
      <c r="H223" s="1947">
        <v>0</v>
      </c>
      <c r="I223" s="467"/>
      <c r="J223" s="1947">
        <v>0</v>
      </c>
      <c r="K223" s="1947">
        <v>0</v>
      </c>
    </row>
    <row r="224" spans="1:11" ht="12.75" customHeight="1" x14ac:dyDescent="0.2">
      <c r="A224" s="486" t="s">
        <v>351</v>
      </c>
      <c r="B224" s="485">
        <v>4851</v>
      </c>
      <c r="C224" s="1950">
        <v>0</v>
      </c>
      <c r="D224" s="1947">
        <v>0</v>
      </c>
      <c r="E224" s="467"/>
      <c r="F224" s="1948">
        <v>0</v>
      </c>
      <c r="G224" s="1947">
        <v>0</v>
      </c>
      <c r="H224" s="467"/>
      <c r="I224" s="467"/>
      <c r="J224" s="467"/>
      <c r="K224" s="467"/>
    </row>
    <row r="225" spans="1:11" ht="12.75" customHeight="1" x14ac:dyDescent="0.2">
      <c r="A225" s="486" t="s">
        <v>352</v>
      </c>
      <c r="B225" s="485">
        <v>4852</v>
      </c>
      <c r="C225" s="1950">
        <v>0</v>
      </c>
      <c r="D225" s="1947">
        <v>0</v>
      </c>
      <c r="E225" s="1947">
        <v>0</v>
      </c>
      <c r="F225" s="1947">
        <v>0</v>
      </c>
      <c r="G225" s="1947">
        <v>0</v>
      </c>
      <c r="H225" s="1947">
        <v>0</v>
      </c>
      <c r="I225" s="467"/>
      <c r="J225" s="1947">
        <v>0</v>
      </c>
      <c r="K225" s="1947">
        <v>0</v>
      </c>
    </row>
    <row r="226" spans="1:11" ht="12.75" customHeight="1" x14ac:dyDescent="0.2">
      <c r="A226" s="486" t="s">
        <v>353</v>
      </c>
      <c r="B226" s="485">
        <v>4853</v>
      </c>
      <c r="C226" s="1950">
        <v>0</v>
      </c>
      <c r="D226" s="1947">
        <v>0</v>
      </c>
      <c r="E226" s="1947">
        <v>0</v>
      </c>
      <c r="F226" s="1947">
        <v>0</v>
      </c>
      <c r="G226" s="1947">
        <v>0</v>
      </c>
      <c r="H226" s="1947">
        <v>0</v>
      </c>
      <c r="I226" s="467"/>
      <c r="J226" s="1947">
        <v>0</v>
      </c>
      <c r="K226" s="1947">
        <v>0</v>
      </c>
    </row>
    <row r="227" spans="1:11" ht="12.75" customHeight="1" x14ac:dyDescent="0.2">
      <c r="A227" s="486" t="s">
        <v>354</v>
      </c>
      <c r="B227" s="485">
        <v>4854</v>
      </c>
      <c r="C227" s="1950">
        <v>0</v>
      </c>
      <c r="D227" s="1947">
        <v>0</v>
      </c>
      <c r="E227" s="1947">
        <v>0</v>
      </c>
      <c r="F227" s="1947">
        <v>0</v>
      </c>
      <c r="G227" s="1947">
        <v>0</v>
      </c>
      <c r="H227" s="1947">
        <v>0</v>
      </c>
      <c r="I227" s="467"/>
      <c r="J227" s="1947">
        <v>0</v>
      </c>
      <c r="K227" s="1947">
        <v>0</v>
      </c>
    </row>
    <row r="228" spans="1:11" ht="12.75" customHeight="1" x14ac:dyDescent="0.2">
      <c r="A228" s="486" t="s">
        <v>464</v>
      </c>
      <c r="B228" s="485">
        <v>4855</v>
      </c>
      <c r="C228" s="1950">
        <v>0</v>
      </c>
      <c r="D228" s="1947">
        <v>0</v>
      </c>
      <c r="E228" s="1947">
        <v>0</v>
      </c>
      <c r="F228" s="1947">
        <v>0</v>
      </c>
      <c r="G228" s="1947">
        <v>0</v>
      </c>
      <c r="H228" s="1947">
        <v>0</v>
      </c>
      <c r="I228" s="467"/>
      <c r="J228" s="1947">
        <v>0</v>
      </c>
      <c r="K228" s="1947">
        <v>0</v>
      </c>
    </row>
    <row r="229" spans="1:11" ht="12.75" customHeight="1" x14ac:dyDescent="0.2">
      <c r="A229" s="486" t="s">
        <v>355</v>
      </c>
      <c r="B229" s="485">
        <v>4856</v>
      </c>
      <c r="C229" s="1950">
        <v>0</v>
      </c>
      <c r="D229" s="1947">
        <v>0</v>
      </c>
      <c r="E229" s="1947">
        <v>0</v>
      </c>
      <c r="F229" s="1947">
        <v>0</v>
      </c>
      <c r="G229" s="1947">
        <v>0</v>
      </c>
      <c r="H229" s="1947">
        <v>0</v>
      </c>
      <c r="I229" s="467"/>
      <c r="J229" s="1947">
        <v>0</v>
      </c>
      <c r="K229" s="1947">
        <v>0</v>
      </c>
    </row>
    <row r="230" spans="1:11" ht="12.75" customHeight="1" x14ac:dyDescent="0.2">
      <c r="A230" s="486" t="s">
        <v>356</v>
      </c>
      <c r="B230" s="485">
        <v>4857</v>
      </c>
      <c r="C230" s="1950">
        <v>0</v>
      </c>
      <c r="D230" s="1947">
        <v>0</v>
      </c>
      <c r="E230" s="1947">
        <v>0</v>
      </c>
      <c r="F230" s="1947">
        <v>0</v>
      </c>
      <c r="G230" s="1947">
        <v>0</v>
      </c>
      <c r="H230" s="1947">
        <v>0</v>
      </c>
      <c r="I230" s="467"/>
      <c r="J230" s="1947">
        <v>0</v>
      </c>
      <c r="K230" s="1947">
        <v>0</v>
      </c>
    </row>
    <row r="231" spans="1:11" ht="12.75" customHeight="1" x14ac:dyDescent="0.2">
      <c r="A231" s="486" t="s">
        <v>357</v>
      </c>
      <c r="B231" s="485">
        <v>4860</v>
      </c>
      <c r="C231" s="1950">
        <v>0</v>
      </c>
      <c r="D231" s="1947">
        <v>0</v>
      </c>
      <c r="E231" s="1947">
        <v>0</v>
      </c>
      <c r="F231" s="1947">
        <v>0</v>
      </c>
      <c r="G231" s="1947">
        <v>0</v>
      </c>
      <c r="H231" s="1947">
        <v>0</v>
      </c>
      <c r="I231" s="467"/>
      <c r="J231" s="1947">
        <v>0</v>
      </c>
      <c r="K231" s="1947">
        <v>0</v>
      </c>
    </row>
    <row r="232" spans="1:11" ht="12.75" customHeight="1" x14ac:dyDescent="0.2">
      <c r="A232" s="486" t="s">
        <v>358</v>
      </c>
      <c r="B232" s="485">
        <v>4861</v>
      </c>
      <c r="C232" s="1950">
        <v>0</v>
      </c>
      <c r="D232" s="1947">
        <v>0</v>
      </c>
      <c r="E232" s="1947">
        <v>0</v>
      </c>
      <c r="F232" s="1947">
        <v>0</v>
      </c>
      <c r="G232" s="1947">
        <v>0</v>
      </c>
      <c r="H232" s="1947">
        <v>0</v>
      </c>
      <c r="I232" s="467"/>
      <c r="J232" s="1947">
        <v>0</v>
      </c>
      <c r="K232" s="1947">
        <v>0</v>
      </c>
    </row>
    <row r="233" spans="1:11" ht="12.75" customHeight="1" x14ac:dyDescent="0.2">
      <c r="A233" s="486" t="s">
        <v>359</v>
      </c>
      <c r="B233" s="485">
        <v>4862</v>
      </c>
      <c r="C233" s="1950">
        <v>0</v>
      </c>
      <c r="D233" s="1947">
        <v>0</v>
      </c>
      <c r="E233" s="472"/>
      <c r="F233" s="1947">
        <v>0</v>
      </c>
      <c r="G233" s="1947">
        <v>0</v>
      </c>
      <c r="H233" s="472"/>
      <c r="I233" s="467"/>
      <c r="J233" s="472"/>
      <c r="K233" s="472"/>
    </row>
    <row r="234" spans="1:11" ht="12.75" customHeight="1" x14ac:dyDescent="0.2">
      <c r="A234" s="486" t="s">
        <v>360</v>
      </c>
      <c r="B234" s="485">
        <v>4863</v>
      </c>
      <c r="C234" s="1950">
        <v>0</v>
      </c>
      <c r="D234" s="1947">
        <v>0</v>
      </c>
      <c r="E234" s="467"/>
      <c r="F234" s="472"/>
      <c r="G234" s="519"/>
      <c r="H234" s="467"/>
      <c r="I234" s="467"/>
      <c r="J234" s="467"/>
      <c r="K234" s="467"/>
    </row>
    <row r="235" spans="1:11" ht="12.75" customHeight="1" x14ac:dyDescent="0.2">
      <c r="A235" s="486" t="s">
        <v>469</v>
      </c>
      <c r="B235" s="485">
        <v>4864</v>
      </c>
      <c r="C235" s="1950">
        <v>0</v>
      </c>
      <c r="D235" s="1947">
        <v>0</v>
      </c>
      <c r="E235" s="1947">
        <v>0</v>
      </c>
      <c r="F235" s="1947">
        <v>0</v>
      </c>
      <c r="G235" s="1947">
        <v>0</v>
      </c>
      <c r="H235" s="1947">
        <v>0</v>
      </c>
      <c r="I235" s="467"/>
      <c r="J235" s="1947">
        <v>0</v>
      </c>
      <c r="K235" s="1947">
        <v>0</v>
      </c>
    </row>
    <row r="236" spans="1:11" ht="12.75" customHeight="1" x14ac:dyDescent="0.2">
      <c r="A236" s="486" t="s">
        <v>470</v>
      </c>
      <c r="B236" s="485">
        <v>4865</v>
      </c>
      <c r="C236" s="1950">
        <v>0</v>
      </c>
      <c r="D236" s="1947">
        <v>0</v>
      </c>
      <c r="E236" s="1947">
        <v>0</v>
      </c>
      <c r="F236" s="1947">
        <v>0</v>
      </c>
      <c r="G236" s="1947">
        <v>0</v>
      </c>
      <c r="H236" s="1947">
        <v>0</v>
      </c>
      <c r="I236" s="467"/>
      <c r="J236" s="1947">
        <v>0</v>
      </c>
      <c r="K236" s="1947">
        <v>0</v>
      </c>
    </row>
    <row r="237" spans="1:11" ht="12.75" customHeight="1" x14ac:dyDescent="0.2">
      <c r="A237" s="486" t="s">
        <v>468</v>
      </c>
      <c r="B237" s="485">
        <v>4866</v>
      </c>
      <c r="C237" s="1950">
        <v>0</v>
      </c>
      <c r="D237" s="1947">
        <v>0</v>
      </c>
      <c r="E237" s="1947">
        <v>0</v>
      </c>
      <c r="F237" s="1947">
        <v>0</v>
      </c>
      <c r="G237" s="1947">
        <v>0</v>
      </c>
      <c r="H237" s="1947">
        <v>0</v>
      </c>
      <c r="I237" s="467"/>
      <c r="J237" s="1947">
        <v>0</v>
      </c>
      <c r="K237" s="1947">
        <v>0</v>
      </c>
    </row>
    <row r="238" spans="1:11" ht="12.75" customHeight="1" x14ac:dyDescent="0.2">
      <c r="A238" s="486" t="s">
        <v>467</v>
      </c>
      <c r="B238" s="485">
        <v>4867</v>
      </c>
      <c r="C238" s="1950">
        <v>0</v>
      </c>
      <c r="D238" s="1947">
        <v>0</v>
      </c>
      <c r="E238" s="1947">
        <v>0</v>
      </c>
      <c r="F238" s="1947">
        <v>0</v>
      </c>
      <c r="G238" s="1947">
        <v>0</v>
      </c>
      <c r="H238" s="1947">
        <v>0</v>
      </c>
      <c r="I238" s="467"/>
      <c r="J238" s="1947">
        <v>0</v>
      </c>
      <c r="K238" s="1947">
        <v>0</v>
      </c>
    </row>
    <row r="239" spans="1:11" ht="12.75" customHeight="1" x14ac:dyDescent="0.2">
      <c r="A239" s="486" t="s">
        <v>466</v>
      </c>
      <c r="B239" s="485">
        <v>4868</v>
      </c>
      <c r="C239" s="1950">
        <v>0</v>
      </c>
      <c r="D239" s="1947">
        <v>0</v>
      </c>
      <c r="E239" s="1947">
        <v>0</v>
      </c>
      <c r="F239" s="1947">
        <v>0</v>
      </c>
      <c r="G239" s="1947">
        <v>0</v>
      </c>
      <c r="H239" s="1947">
        <v>0</v>
      </c>
      <c r="I239" s="467"/>
      <c r="J239" s="1947">
        <v>0</v>
      </c>
      <c r="K239" s="1947">
        <v>0</v>
      </c>
    </row>
    <row r="240" spans="1:11" ht="12.75" customHeight="1" x14ac:dyDescent="0.2">
      <c r="A240" s="486" t="s">
        <v>465</v>
      </c>
      <c r="B240" s="485">
        <v>4869</v>
      </c>
      <c r="C240" s="1950">
        <v>0</v>
      </c>
      <c r="D240" s="1947">
        <v>0</v>
      </c>
      <c r="E240" s="1947">
        <v>0</v>
      </c>
      <c r="F240" s="1947">
        <v>0</v>
      </c>
      <c r="G240" s="1947">
        <v>0</v>
      </c>
      <c r="H240" s="1947">
        <v>0</v>
      </c>
      <c r="I240" s="467"/>
      <c r="J240" s="1947">
        <v>0</v>
      </c>
      <c r="K240" s="1947">
        <v>0</v>
      </c>
    </row>
    <row r="241" spans="1:11" ht="12.75" customHeight="1" x14ac:dyDescent="0.2">
      <c r="A241" s="486" t="s">
        <v>1128</v>
      </c>
      <c r="B241" s="485">
        <v>4870</v>
      </c>
      <c r="C241" s="1950">
        <v>0</v>
      </c>
      <c r="D241" s="1947">
        <v>0</v>
      </c>
      <c r="E241" s="1947">
        <v>0</v>
      </c>
      <c r="F241" s="1947">
        <v>0</v>
      </c>
      <c r="G241" s="1947">
        <v>0</v>
      </c>
      <c r="H241" s="1947">
        <v>0</v>
      </c>
      <c r="I241" s="467"/>
      <c r="J241" s="1947">
        <v>0</v>
      </c>
      <c r="K241" s="1947">
        <v>0</v>
      </c>
    </row>
    <row r="242" spans="1:11" ht="12.75" customHeight="1" x14ac:dyDescent="0.2">
      <c r="A242" s="486" t="s">
        <v>788</v>
      </c>
      <c r="B242" s="485">
        <v>4871</v>
      </c>
      <c r="C242" s="1950">
        <v>0</v>
      </c>
      <c r="D242" s="1947">
        <v>0</v>
      </c>
      <c r="E242" s="1947">
        <v>0</v>
      </c>
      <c r="F242" s="1947">
        <v>0</v>
      </c>
      <c r="G242" s="1947">
        <v>0</v>
      </c>
      <c r="H242" s="1947">
        <v>0</v>
      </c>
      <c r="I242" s="467"/>
      <c r="J242" s="1947">
        <v>0</v>
      </c>
      <c r="K242" s="1947">
        <v>0</v>
      </c>
    </row>
    <row r="243" spans="1:11" ht="12.75" customHeight="1" x14ac:dyDescent="0.2">
      <c r="A243" s="486" t="s">
        <v>789</v>
      </c>
      <c r="B243" s="485">
        <v>4872</v>
      </c>
      <c r="C243" s="1950">
        <v>0</v>
      </c>
      <c r="D243" s="1947">
        <v>0</v>
      </c>
      <c r="E243" s="1947">
        <v>0</v>
      </c>
      <c r="F243" s="1947">
        <v>0</v>
      </c>
      <c r="G243" s="1947">
        <v>0</v>
      </c>
      <c r="H243" s="1947">
        <v>0</v>
      </c>
      <c r="I243" s="467"/>
      <c r="J243" s="1947">
        <v>0</v>
      </c>
      <c r="K243" s="1947">
        <v>0</v>
      </c>
    </row>
    <row r="244" spans="1:11" ht="12.75" customHeight="1" x14ac:dyDescent="0.2">
      <c r="A244" s="486" t="s">
        <v>790</v>
      </c>
      <c r="B244" s="485">
        <v>4873</v>
      </c>
      <c r="C244" s="1950">
        <v>0</v>
      </c>
      <c r="D244" s="1947">
        <v>0</v>
      </c>
      <c r="E244" s="1947">
        <v>0</v>
      </c>
      <c r="F244" s="1947">
        <v>0</v>
      </c>
      <c r="G244" s="1947">
        <v>0</v>
      </c>
      <c r="H244" s="1947">
        <v>0</v>
      </c>
      <c r="I244" s="467"/>
      <c r="J244" s="1947">
        <v>0</v>
      </c>
      <c r="K244" s="1947">
        <v>0</v>
      </c>
    </row>
    <row r="245" spans="1:11" ht="12.75" customHeight="1" x14ac:dyDescent="0.2">
      <c r="A245" s="486" t="s">
        <v>791</v>
      </c>
      <c r="B245" s="485">
        <v>4874</v>
      </c>
      <c r="C245" s="1950">
        <v>0</v>
      </c>
      <c r="D245" s="1947">
        <v>0</v>
      </c>
      <c r="E245" s="1947">
        <v>0</v>
      </c>
      <c r="F245" s="1947">
        <v>0</v>
      </c>
      <c r="G245" s="1947">
        <v>0</v>
      </c>
      <c r="H245" s="1947">
        <v>0</v>
      </c>
      <c r="I245" s="467"/>
      <c r="J245" s="1947">
        <v>0</v>
      </c>
      <c r="K245" s="1947">
        <v>0</v>
      </c>
    </row>
    <row r="246" spans="1:11" ht="12.75" customHeight="1" x14ac:dyDescent="0.2">
      <c r="A246" s="486" t="s">
        <v>471</v>
      </c>
      <c r="B246" s="485">
        <v>4875</v>
      </c>
      <c r="C246" s="1950">
        <v>0</v>
      </c>
      <c r="D246" s="1947">
        <v>0</v>
      </c>
      <c r="E246" s="1947">
        <v>0</v>
      </c>
      <c r="F246" s="1947">
        <v>0</v>
      </c>
      <c r="G246" s="1947">
        <v>0</v>
      </c>
      <c r="H246" s="1947">
        <v>0</v>
      </c>
      <c r="I246" s="467"/>
      <c r="J246" s="1947">
        <v>0</v>
      </c>
      <c r="K246" s="1947">
        <v>0</v>
      </c>
    </row>
    <row r="247" spans="1:11" ht="12.75" customHeight="1" x14ac:dyDescent="0.2">
      <c r="A247" s="486" t="s">
        <v>770</v>
      </c>
      <c r="B247" s="485">
        <v>4876</v>
      </c>
      <c r="C247" s="1950">
        <v>0</v>
      </c>
      <c r="D247" s="1947">
        <v>0</v>
      </c>
      <c r="E247" s="1947">
        <v>0</v>
      </c>
      <c r="F247" s="1947">
        <v>0</v>
      </c>
      <c r="G247" s="1947">
        <v>0</v>
      </c>
      <c r="H247" s="1947">
        <v>0</v>
      </c>
      <c r="I247" s="467"/>
      <c r="J247" s="1947">
        <v>0</v>
      </c>
      <c r="K247" s="1947">
        <v>0</v>
      </c>
    </row>
    <row r="248" spans="1:11" ht="12.75" customHeight="1" x14ac:dyDescent="0.2">
      <c r="A248" s="486" t="s">
        <v>771</v>
      </c>
      <c r="B248" s="485">
        <v>4877</v>
      </c>
      <c r="C248" s="1950">
        <v>0</v>
      </c>
      <c r="D248" s="1947">
        <v>0</v>
      </c>
      <c r="E248" s="1947">
        <v>0</v>
      </c>
      <c r="F248" s="1947">
        <v>0</v>
      </c>
      <c r="G248" s="1947">
        <v>0</v>
      </c>
      <c r="H248" s="1947">
        <v>0</v>
      </c>
      <c r="I248" s="467"/>
      <c r="J248" s="1947">
        <v>0</v>
      </c>
      <c r="K248" s="1947">
        <v>0</v>
      </c>
    </row>
    <row r="249" spans="1:11" ht="12.75" customHeight="1" x14ac:dyDescent="0.2">
      <c r="A249" s="486" t="s">
        <v>772</v>
      </c>
      <c r="B249" s="485">
        <v>4878</v>
      </c>
      <c r="C249" s="1950">
        <v>0</v>
      </c>
      <c r="D249" s="1947">
        <v>0</v>
      </c>
      <c r="E249" s="1947">
        <v>0</v>
      </c>
      <c r="F249" s="1947">
        <v>0</v>
      </c>
      <c r="G249" s="1947">
        <v>0</v>
      </c>
      <c r="H249" s="1947">
        <v>0</v>
      </c>
      <c r="I249" s="467"/>
      <c r="J249" s="1947">
        <v>0</v>
      </c>
      <c r="K249" s="1947">
        <v>0</v>
      </c>
    </row>
    <row r="250" spans="1:11" ht="12.75" customHeight="1" x14ac:dyDescent="0.2">
      <c r="A250" s="486" t="s">
        <v>773</v>
      </c>
      <c r="B250" s="485">
        <v>4879</v>
      </c>
      <c r="C250" s="1950">
        <v>0</v>
      </c>
      <c r="D250" s="1947">
        <v>0</v>
      </c>
      <c r="E250" s="1947">
        <v>0</v>
      </c>
      <c r="F250" s="1947">
        <v>0</v>
      </c>
      <c r="G250" s="1947">
        <v>0</v>
      </c>
      <c r="H250" s="1947">
        <v>0</v>
      </c>
      <c r="I250" s="467"/>
      <c r="J250" s="1947">
        <v>0</v>
      </c>
      <c r="K250" s="1947">
        <v>0</v>
      </c>
    </row>
    <row r="251" spans="1:11" ht="12.75" customHeight="1" x14ac:dyDescent="0.2">
      <c r="A251" s="225" t="s">
        <v>1455</v>
      </c>
      <c r="B251" s="567">
        <v>4880</v>
      </c>
      <c r="C251" s="1950">
        <v>0</v>
      </c>
      <c r="D251" s="1947">
        <v>0</v>
      </c>
      <c r="E251" s="1947">
        <v>0</v>
      </c>
      <c r="F251" s="1947">
        <v>0</v>
      </c>
      <c r="G251" s="1947">
        <v>0</v>
      </c>
      <c r="H251" s="1947">
        <v>0</v>
      </c>
      <c r="I251" s="467"/>
      <c r="J251" s="1947">
        <v>0</v>
      </c>
      <c r="K251" s="1947">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6">
        <v>0</v>
      </c>
      <c r="D253" s="468"/>
      <c r="E253" s="467"/>
      <c r="F253" s="467"/>
      <c r="G253" s="467"/>
      <c r="H253" s="467"/>
      <c r="I253" s="467"/>
      <c r="J253" s="467"/>
      <c r="K253" s="467"/>
    </row>
    <row r="254" spans="1:11" ht="12.75" customHeight="1" thickTop="1" thickBot="1" x14ac:dyDescent="0.25">
      <c r="A254" s="1476" t="s">
        <v>1463</v>
      </c>
      <c r="B254" s="569">
        <v>4902</v>
      </c>
      <c r="C254" s="1967">
        <v>0</v>
      </c>
      <c r="D254" s="1983">
        <v>0</v>
      </c>
      <c r="E254" s="468"/>
      <c r="F254" s="1983">
        <v>0</v>
      </c>
      <c r="G254" s="1983">
        <v>0</v>
      </c>
      <c r="H254" s="468"/>
      <c r="I254" s="467"/>
      <c r="J254" s="468"/>
      <c r="K254" s="468"/>
    </row>
    <row r="255" spans="1:11" ht="12.75" customHeight="1" thickTop="1" thickBot="1" x14ac:dyDescent="0.25">
      <c r="A255" s="463" t="s">
        <v>1456</v>
      </c>
      <c r="B255" s="469">
        <v>4905</v>
      </c>
      <c r="C255" s="1956">
        <v>0</v>
      </c>
      <c r="D255" s="467"/>
      <c r="E255" s="467"/>
      <c r="F255" s="1982">
        <v>0</v>
      </c>
      <c r="G255" s="1979">
        <v>0</v>
      </c>
      <c r="H255" s="467"/>
      <c r="I255" s="467"/>
      <c r="J255" s="467"/>
      <c r="K255" s="467"/>
    </row>
    <row r="256" spans="1:11" ht="12.75" customHeight="1" thickTop="1" thickBot="1" x14ac:dyDescent="0.25">
      <c r="A256" s="463" t="s">
        <v>1457</v>
      </c>
      <c r="B256" s="469">
        <v>4909</v>
      </c>
      <c r="C256" s="1958">
        <v>0</v>
      </c>
      <c r="D256" s="467"/>
      <c r="E256" s="467"/>
      <c r="F256" s="1981">
        <v>0</v>
      </c>
      <c r="G256" s="1981">
        <v>0</v>
      </c>
      <c r="H256" s="467"/>
      <c r="I256" s="467"/>
      <c r="J256" s="467"/>
      <c r="K256" s="467"/>
    </row>
    <row r="257" spans="1:11" ht="12.75" customHeight="1" thickTop="1" thickBot="1" x14ac:dyDescent="0.25">
      <c r="A257" s="463" t="s">
        <v>193</v>
      </c>
      <c r="B257" s="469">
        <v>4920</v>
      </c>
      <c r="C257" s="1958">
        <v>0</v>
      </c>
      <c r="D257" s="1982">
        <v>0</v>
      </c>
      <c r="E257" s="467"/>
      <c r="F257" s="1979">
        <v>0</v>
      </c>
      <c r="G257" s="1979">
        <v>0</v>
      </c>
      <c r="H257" s="467"/>
      <c r="I257" s="467"/>
      <c r="J257" s="467"/>
      <c r="K257" s="467"/>
    </row>
    <row r="258" spans="1:11" ht="12.75" customHeight="1" thickTop="1" thickBot="1" x14ac:dyDescent="0.25">
      <c r="A258" s="463" t="s">
        <v>421</v>
      </c>
      <c r="B258" s="469">
        <v>4930</v>
      </c>
      <c r="C258" s="1958">
        <v>0</v>
      </c>
      <c r="D258" s="1981">
        <v>0</v>
      </c>
      <c r="E258" s="467"/>
      <c r="F258" s="1981">
        <v>0</v>
      </c>
      <c r="G258" s="1981">
        <v>0</v>
      </c>
      <c r="H258" s="467"/>
      <c r="I258" s="467"/>
      <c r="J258" s="467"/>
      <c r="K258" s="467"/>
    </row>
    <row r="259" spans="1:11" ht="12.75" customHeight="1" thickTop="1" thickBot="1" x14ac:dyDescent="0.25">
      <c r="A259" s="463" t="s">
        <v>758</v>
      </c>
      <c r="B259" s="469">
        <v>4932</v>
      </c>
      <c r="C259" s="1958">
        <v>5480</v>
      </c>
      <c r="D259" s="1981">
        <v>0</v>
      </c>
      <c r="E259" s="467"/>
      <c r="F259" s="1981">
        <v>0</v>
      </c>
      <c r="G259" s="1981">
        <v>0</v>
      </c>
      <c r="H259" s="467"/>
      <c r="I259" s="467"/>
      <c r="J259" s="467"/>
      <c r="K259" s="467"/>
    </row>
    <row r="260" spans="1:11" ht="12.75" customHeight="1" thickTop="1" thickBot="1" x14ac:dyDescent="0.25">
      <c r="A260" s="463" t="s">
        <v>890</v>
      </c>
      <c r="B260" s="469">
        <v>4960</v>
      </c>
      <c r="C260" s="1957">
        <v>0</v>
      </c>
      <c r="D260" s="1981">
        <v>0</v>
      </c>
      <c r="E260" s="467"/>
      <c r="F260" s="1981">
        <v>0</v>
      </c>
      <c r="G260" s="1981">
        <v>0</v>
      </c>
      <c r="H260" s="467"/>
      <c r="I260" s="467"/>
      <c r="J260" s="467"/>
      <c r="K260" s="467"/>
    </row>
    <row r="261" spans="1:11" ht="12.75" customHeight="1" thickTop="1" thickBot="1" x14ac:dyDescent="0.25">
      <c r="A261" s="1904" t="s">
        <v>1937</v>
      </c>
      <c r="B261" s="469">
        <v>4981</v>
      </c>
      <c r="C261" s="1987">
        <v>0</v>
      </c>
      <c r="D261" s="1988">
        <v>0</v>
      </c>
      <c r="E261" s="467"/>
      <c r="F261" s="1988">
        <v>0</v>
      </c>
      <c r="G261" s="1988">
        <v>0</v>
      </c>
      <c r="H261" s="467"/>
      <c r="I261" s="467"/>
      <c r="J261" s="467"/>
      <c r="K261" s="467"/>
    </row>
    <row r="262" spans="1:11" ht="12.75" customHeight="1" thickTop="1" thickBot="1" x14ac:dyDescent="0.25">
      <c r="A262" s="1905" t="s">
        <v>1938</v>
      </c>
      <c r="B262" s="469">
        <v>4982</v>
      </c>
      <c r="C262" s="1987">
        <v>0</v>
      </c>
      <c r="D262" s="1988">
        <v>0</v>
      </c>
      <c r="E262" s="467"/>
      <c r="F262" s="1988">
        <v>0</v>
      </c>
      <c r="G262" s="1988">
        <v>0</v>
      </c>
      <c r="H262" s="467"/>
      <c r="I262" s="467"/>
      <c r="J262" s="467"/>
      <c r="K262" s="467"/>
    </row>
    <row r="263" spans="1:11" ht="12.75" customHeight="1" thickTop="1" thickBot="1" x14ac:dyDescent="0.25">
      <c r="A263" s="463" t="s">
        <v>568</v>
      </c>
      <c r="B263" s="469">
        <v>4991</v>
      </c>
      <c r="C263" s="1980">
        <v>4113</v>
      </c>
      <c r="D263" s="1981">
        <v>0</v>
      </c>
      <c r="E263" s="467"/>
      <c r="F263" s="1981">
        <v>0</v>
      </c>
      <c r="G263" s="1981">
        <v>0</v>
      </c>
      <c r="H263" s="467"/>
      <c r="I263" s="467"/>
      <c r="J263" s="467"/>
      <c r="K263" s="467"/>
    </row>
    <row r="264" spans="1:11" ht="12.75" customHeight="1" thickTop="1" thickBot="1" x14ac:dyDescent="0.25">
      <c r="A264" s="463" t="s">
        <v>377</v>
      </c>
      <c r="B264" s="469">
        <v>4992</v>
      </c>
      <c r="C264" s="1980">
        <v>0</v>
      </c>
      <c r="D264" s="1981">
        <v>0</v>
      </c>
      <c r="E264" s="467"/>
      <c r="F264" s="1981">
        <v>0</v>
      </c>
      <c r="G264" s="1981">
        <v>0</v>
      </c>
      <c r="H264" s="467"/>
      <c r="I264" s="467"/>
      <c r="J264" s="467"/>
      <c r="K264" s="467"/>
    </row>
    <row r="265" spans="1:11" s="570" customFormat="1" ht="12.75" customHeight="1" thickTop="1" thickBot="1" x14ac:dyDescent="0.25">
      <c r="A265" s="551" t="s">
        <v>75</v>
      </c>
      <c r="B265" s="545">
        <v>4999</v>
      </c>
      <c r="C265" s="1980">
        <v>0</v>
      </c>
      <c r="D265" s="1981">
        <v>0</v>
      </c>
      <c r="E265" s="467"/>
      <c r="F265" s="1981">
        <v>0</v>
      </c>
      <c r="G265" s="1981">
        <v>0</v>
      </c>
      <c r="H265" s="1975">
        <v>0</v>
      </c>
      <c r="I265" s="467"/>
      <c r="J265" s="467"/>
      <c r="K265" s="1975">
        <v>0</v>
      </c>
    </row>
    <row r="266" spans="1:11" ht="14.25" thickTop="1" thickBot="1" x14ac:dyDescent="0.25">
      <c r="A266" s="1681" t="s">
        <v>1666</v>
      </c>
      <c r="B266" s="1700"/>
      <c r="C266" s="1688">
        <f t="shared" ref="C266:H266" si="10">SUM(C188,C198,C204,C209,C217,C221,C222,C252:C265)</f>
        <v>143644</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143644</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9938152</v>
      </c>
      <c r="D268" s="1688">
        <f t="shared" si="12"/>
        <v>1633450</v>
      </c>
      <c r="E268" s="1688">
        <f t="shared" si="12"/>
        <v>1658688</v>
      </c>
      <c r="F268" s="1688">
        <f t="shared" si="12"/>
        <v>1839108</v>
      </c>
      <c r="G268" s="1688">
        <f t="shared" si="12"/>
        <v>334890</v>
      </c>
      <c r="H268" s="1688">
        <f t="shared" si="12"/>
        <v>26028</v>
      </c>
      <c r="I268" s="1688">
        <f t="shared" si="12"/>
        <v>165996</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Normal="100" workbookViewId="0">
      <pane ySplit="2" topLeftCell="A342" activePane="bottomLeft" state="frozen"/>
      <selection activeCell="AF22" sqref="AF22"/>
      <selection pane="bottomLeft"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1"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3"/>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29" t="s">
        <v>297</v>
      </c>
      <c r="B3" s="2230"/>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8">
        <v>2842158</v>
      </c>
      <c r="D5" s="1968">
        <v>424095</v>
      </c>
      <c r="E5" s="1968">
        <v>111975</v>
      </c>
      <c r="F5" s="1968">
        <v>222389</v>
      </c>
      <c r="G5" s="1968">
        <v>10014</v>
      </c>
      <c r="H5" s="1968">
        <v>14925</v>
      </c>
      <c r="I5" s="1969">
        <v>0</v>
      </c>
      <c r="J5" s="1969">
        <v>0</v>
      </c>
      <c r="K5" s="1644">
        <f>SUM(C5:J5)</f>
        <v>3625556</v>
      </c>
      <c r="L5" s="1990">
        <v>4038262</v>
      </c>
    </row>
    <row r="6" spans="1:14" x14ac:dyDescent="0.2">
      <c r="A6" s="1477" t="s">
        <v>1433</v>
      </c>
      <c r="B6" s="591" t="s">
        <v>1431</v>
      </c>
      <c r="C6" s="473"/>
      <c r="D6" s="473"/>
      <c r="E6" s="1968">
        <v>0</v>
      </c>
      <c r="F6" s="473"/>
      <c r="G6" s="473"/>
      <c r="H6" s="473"/>
      <c r="I6" s="473"/>
      <c r="J6" s="473"/>
      <c r="K6" s="1644">
        <f>SUM(C6,E6)</f>
        <v>0</v>
      </c>
      <c r="L6" s="1990">
        <v>0</v>
      </c>
    </row>
    <row r="7" spans="1:14" x14ac:dyDescent="0.2">
      <c r="A7" s="1477" t="s">
        <v>163</v>
      </c>
      <c r="B7" s="591" t="s">
        <v>967</v>
      </c>
      <c r="C7" s="1969">
        <v>0</v>
      </c>
      <c r="D7" s="1969">
        <v>0</v>
      </c>
      <c r="E7" s="1969">
        <v>0</v>
      </c>
      <c r="F7" s="1969">
        <v>0</v>
      </c>
      <c r="G7" s="1969">
        <v>0</v>
      </c>
      <c r="H7" s="1969">
        <v>0</v>
      </c>
      <c r="I7" s="1969">
        <v>0</v>
      </c>
      <c r="J7" s="1969">
        <v>0</v>
      </c>
      <c r="K7" s="1644">
        <f t="shared" ref="K7:K32" si="0">SUM(C7:J7)</f>
        <v>0</v>
      </c>
      <c r="L7" s="1990">
        <v>0</v>
      </c>
    </row>
    <row r="8" spans="1:14" x14ac:dyDescent="0.2">
      <c r="A8" s="1477" t="s">
        <v>164</v>
      </c>
      <c r="B8" s="591">
        <v>1200</v>
      </c>
      <c r="C8" s="1968">
        <v>635944</v>
      </c>
      <c r="D8" s="1968">
        <v>134103</v>
      </c>
      <c r="E8" s="1968">
        <v>85205</v>
      </c>
      <c r="F8" s="1968">
        <v>11533</v>
      </c>
      <c r="G8" s="1968">
        <v>0</v>
      </c>
      <c r="H8" s="1968">
        <v>4323</v>
      </c>
      <c r="I8" s="1969">
        <v>0</v>
      </c>
      <c r="J8" s="1969">
        <v>0</v>
      </c>
      <c r="K8" s="1644">
        <f t="shared" si="0"/>
        <v>871108</v>
      </c>
      <c r="L8" s="1990">
        <v>924500</v>
      </c>
    </row>
    <row r="9" spans="1:14" x14ac:dyDescent="0.2">
      <c r="A9" s="1477" t="s">
        <v>721</v>
      </c>
      <c r="B9" s="591" t="s">
        <v>968</v>
      </c>
      <c r="C9" s="1969">
        <v>0</v>
      </c>
      <c r="D9" s="1969">
        <v>0</v>
      </c>
      <c r="E9" s="1969">
        <v>0</v>
      </c>
      <c r="F9" s="1969">
        <v>0</v>
      </c>
      <c r="G9" s="1991">
        <v>0</v>
      </c>
      <c r="H9" s="1969">
        <v>0</v>
      </c>
      <c r="I9" s="1969">
        <v>0</v>
      </c>
      <c r="J9" s="1969">
        <v>0</v>
      </c>
      <c r="K9" s="1644">
        <f t="shared" si="0"/>
        <v>0</v>
      </c>
      <c r="L9" s="1990">
        <v>0</v>
      </c>
    </row>
    <row r="10" spans="1:14" x14ac:dyDescent="0.2">
      <c r="A10" s="1477" t="s">
        <v>722</v>
      </c>
      <c r="B10" s="591">
        <v>1250</v>
      </c>
      <c r="C10" s="1968">
        <v>0</v>
      </c>
      <c r="D10" s="1968">
        <v>0</v>
      </c>
      <c r="E10" s="1968">
        <v>0</v>
      </c>
      <c r="F10" s="1968">
        <v>0</v>
      </c>
      <c r="G10" s="1968">
        <v>0</v>
      </c>
      <c r="H10" s="1968">
        <v>0</v>
      </c>
      <c r="I10" s="1969">
        <v>0</v>
      </c>
      <c r="J10" s="1969">
        <v>0</v>
      </c>
      <c r="K10" s="1644">
        <f t="shared" si="0"/>
        <v>0</v>
      </c>
      <c r="L10" s="1990">
        <v>0</v>
      </c>
    </row>
    <row r="11" spans="1:14" x14ac:dyDescent="0.2">
      <c r="A11" s="1477" t="s">
        <v>1130</v>
      </c>
      <c r="B11" s="591" t="s">
        <v>161</v>
      </c>
      <c r="C11" s="1969">
        <v>0</v>
      </c>
      <c r="D11" s="1969">
        <v>0</v>
      </c>
      <c r="E11" s="1969">
        <v>0</v>
      </c>
      <c r="F11" s="1969">
        <v>0</v>
      </c>
      <c r="G11" s="1969">
        <v>0</v>
      </c>
      <c r="H11" s="1969">
        <v>0</v>
      </c>
      <c r="I11" s="1969">
        <v>0</v>
      </c>
      <c r="J11" s="1969">
        <v>0</v>
      </c>
      <c r="K11" s="1644">
        <f t="shared" si="0"/>
        <v>0</v>
      </c>
      <c r="L11" s="1990">
        <v>0</v>
      </c>
    </row>
    <row r="12" spans="1:14" x14ac:dyDescent="0.2">
      <c r="A12" s="1477" t="s">
        <v>962</v>
      </c>
      <c r="B12" s="591">
        <v>1300</v>
      </c>
      <c r="C12" s="1968">
        <v>0</v>
      </c>
      <c r="D12" s="1968">
        <v>0</v>
      </c>
      <c r="E12" s="1968">
        <v>0</v>
      </c>
      <c r="F12" s="1968">
        <v>0</v>
      </c>
      <c r="G12" s="1968">
        <v>0</v>
      </c>
      <c r="H12" s="1968">
        <v>0</v>
      </c>
      <c r="I12" s="1969">
        <v>0</v>
      </c>
      <c r="J12" s="1969">
        <v>0</v>
      </c>
      <c r="K12" s="1644">
        <f t="shared" si="0"/>
        <v>0</v>
      </c>
      <c r="L12" s="1990">
        <v>0</v>
      </c>
    </row>
    <row r="13" spans="1:14" x14ac:dyDescent="0.2">
      <c r="A13" s="1477" t="s">
        <v>723</v>
      </c>
      <c r="B13" s="591">
        <v>1400</v>
      </c>
      <c r="C13" s="1968">
        <v>0</v>
      </c>
      <c r="D13" s="1968">
        <v>0</v>
      </c>
      <c r="E13" s="1968">
        <v>0</v>
      </c>
      <c r="F13" s="1968">
        <v>0</v>
      </c>
      <c r="G13" s="1968">
        <v>0</v>
      </c>
      <c r="H13" s="1968">
        <v>0</v>
      </c>
      <c r="I13" s="1969">
        <v>0</v>
      </c>
      <c r="J13" s="1969">
        <v>0</v>
      </c>
      <c r="K13" s="1644">
        <f t="shared" si="0"/>
        <v>0</v>
      </c>
      <c r="L13" s="1990">
        <v>0</v>
      </c>
    </row>
    <row r="14" spans="1:14" x14ac:dyDescent="0.2">
      <c r="A14" s="1477" t="s">
        <v>963</v>
      </c>
      <c r="B14" s="591">
        <v>1500</v>
      </c>
      <c r="C14" s="1968">
        <v>610405</v>
      </c>
      <c r="D14" s="1968">
        <v>42720</v>
      </c>
      <c r="E14" s="1968">
        <v>79511</v>
      </c>
      <c r="F14" s="1968">
        <v>87191</v>
      </c>
      <c r="G14" s="1968">
        <v>4599</v>
      </c>
      <c r="H14" s="1968">
        <v>16799</v>
      </c>
      <c r="I14" s="1969">
        <v>0</v>
      </c>
      <c r="J14" s="1969">
        <v>0</v>
      </c>
      <c r="K14" s="1644">
        <f t="shared" si="0"/>
        <v>841225</v>
      </c>
      <c r="L14" s="1990">
        <v>852555</v>
      </c>
    </row>
    <row r="15" spans="1:14" x14ac:dyDescent="0.2">
      <c r="A15" s="1477" t="s">
        <v>964</v>
      </c>
      <c r="B15" s="591">
        <v>1600</v>
      </c>
      <c r="C15" s="1968">
        <v>0</v>
      </c>
      <c r="D15" s="1968">
        <v>0</v>
      </c>
      <c r="E15" s="1968">
        <v>0</v>
      </c>
      <c r="F15" s="1968">
        <v>0</v>
      </c>
      <c r="G15" s="1968">
        <v>0</v>
      </c>
      <c r="H15" s="1968">
        <v>0</v>
      </c>
      <c r="I15" s="1969">
        <v>0</v>
      </c>
      <c r="J15" s="1969">
        <v>0</v>
      </c>
      <c r="K15" s="1644">
        <f t="shared" si="0"/>
        <v>0</v>
      </c>
      <c r="L15" s="1990">
        <v>0</v>
      </c>
    </row>
    <row r="16" spans="1:14" x14ac:dyDescent="0.2">
      <c r="A16" s="1477" t="s">
        <v>987</v>
      </c>
      <c r="B16" s="591" t="s">
        <v>424</v>
      </c>
      <c r="C16" s="1968">
        <v>0</v>
      </c>
      <c r="D16" s="1968">
        <v>0</v>
      </c>
      <c r="E16" s="1968">
        <v>0</v>
      </c>
      <c r="F16" s="1968">
        <v>0</v>
      </c>
      <c r="G16" s="1968">
        <v>0</v>
      </c>
      <c r="H16" s="1968">
        <v>0</v>
      </c>
      <c r="I16" s="1969">
        <v>0</v>
      </c>
      <c r="J16" s="1969">
        <v>0</v>
      </c>
      <c r="K16" s="1644">
        <f t="shared" si="0"/>
        <v>0</v>
      </c>
      <c r="L16" s="1990">
        <v>0</v>
      </c>
    </row>
    <row r="17" spans="1:12" x14ac:dyDescent="0.2">
      <c r="A17" s="1477" t="s">
        <v>724</v>
      </c>
      <c r="B17" s="591" t="s">
        <v>162</v>
      </c>
      <c r="C17" s="1969">
        <v>89705</v>
      </c>
      <c r="D17" s="1969">
        <v>8179</v>
      </c>
      <c r="E17" s="1969">
        <v>250</v>
      </c>
      <c r="F17" s="1969">
        <v>0</v>
      </c>
      <c r="G17" s="1969">
        <v>0</v>
      </c>
      <c r="H17" s="1969">
        <v>0</v>
      </c>
      <c r="I17" s="1969">
        <v>0</v>
      </c>
      <c r="J17" s="1969">
        <v>0</v>
      </c>
      <c r="K17" s="1644">
        <f t="shared" si="0"/>
        <v>98134</v>
      </c>
      <c r="L17" s="1990">
        <v>139000</v>
      </c>
    </row>
    <row r="18" spans="1:12" x14ac:dyDescent="0.2">
      <c r="A18" s="1477" t="s">
        <v>1087</v>
      </c>
      <c r="B18" s="591">
        <v>1800</v>
      </c>
      <c r="C18" s="1968">
        <v>0</v>
      </c>
      <c r="D18" s="1968">
        <v>0</v>
      </c>
      <c r="E18" s="1968">
        <v>0</v>
      </c>
      <c r="F18" s="1968">
        <v>0</v>
      </c>
      <c r="G18" s="1968">
        <v>0</v>
      </c>
      <c r="H18" s="1968">
        <v>0</v>
      </c>
      <c r="I18" s="1969">
        <v>0</v>
      </c>
      <c r="J18" s="1969">
        <v>0</v>
      </c>
      <c r="K18" s="1644">
        <f t="shared" si="0"/>
        <v>0</v>
      </c>
      <c r="L18" s="1990">
        <v>0</v>
      </c>
    </row>
    <row r="19" spans="1:12" x14ac:dyDescent="0.2">
      <c r="A19" s="1477" t="s">
        <v>134</v>
      </c>
      <c r="B19" s="591">
        <v>1900</v>
      </c>
      <c r="C19" s="1968">
        <v>0</v>
      </c>
      <c r="D19" s="1968">
        <v>0</v>
      </c>
      <c r="E19" s="1968">
        <v>0</v>
      </c>
      <c r="F19" s="1968">
        <v>0</v>
      </c>
      <c r="G19" s="1968">
        <v>0</v>
      </c>
      <c r="H19" s="1968">
        <v>0</v>
      </c>
      <c r="I19" s="1969">
        <v>0</v>
      </c>
      <c r="J19" s="1969">
        <v>0</v>
      </c>
      <c r="K19" s="1644">
        <f t="shared" si="0"/>
        <v>0</v>
      </c>
      <c r="L19" s="1990">
        <v>0</v>
      </c>
    </row>
    <row r="20" spans="1:12" x14ac:dyDescent="0.2">
      <c r="A20" s="1478" t="s">
        <v>738</v>
      </c>
      <c r="B20" s="579" t="s">
        <v>725</v>
      </c>
      <c r="C20" s="473"/>
      <c r="D20" s="473"/>
      <c r="E20" s="473"/>
      <c r="F20" s="473"/>
      <c r="G20" s="473"/>
      <c r="H20" s="1971">
        <v>0</v>
      </c>
      <c r="I20" s="593"/>
      <c r="J20" s="472"/>
      <c r="K20" s="1644">
        <f t="shared" si="0"/>
        <v>0</v>
      </c>
      <c r="L20" s="1992">
        <v>0</v>
      </c>
    </row>
    <row r="21" spans="1:12" x14ac:dyDescent="0.2">
      <c r="A21" s="1478" t="s">
        <v>739</v>
      </c>
      <c r="B21" s="579" t="s">
        <v>726</v>
      </c>
      <c r="C21" s="473"/>
      <c r="D21" s="473"/>
      <c r="E21" s="473"/>
      <c r="F21" s="473"/>
      <c r="G21" s="473"/>
      <c r="H21" s="1971">
        <v>720</v>
      </c>
      <c r="I21" s="593"/>
      <c r="J21" s="473"/>
      <c r="K21" s="1644">
        <f t="shared" si="0"/>
        <v>720</v>
      </c>
      <c r="L21" s="1992">
        <v>0</v>
      </c>
    </row>
    <row r="22" spans="1:12" x14ac:dyDescent="0.2">
      <c r="A22" s="1478" t="s">
        <v>740</v>
      </c>
      <c r="B22" s="579" t="s">
        <v>727</v>
      </c>
      <c r="C22" s="473"/>
      <c r="D22" s="473"/>
      <c r="E22" s="473"/>
      <c r="F22" s="473"/>
      <c r="G22" s="473"/>
      <c r="H22" s="1971">
        <v>163453</v>
      </c>
      <c r="I22" s="593"/>
      <c r="J22" s="473"/>
      <c r="K22" s="1644">
        <f t="shared" si="0"/>
        <v>163453</v>
      </c>
      <c r="L22" s="1992">
        <v>400000</v>
      </c>
    </row>
    <row r="23" spans="1:12" x14ac:dyDescent="0.2">
      <c r="A23" s="1478" t="s">
        <v>741</v>
      </c>
      <c r="B23" s="579" t="s">
        <v>728</v>
      </c>
      <c r="C23" s="473"/>
      <c r="D23" s="473"/>
      <c r="E23" s="473"/>
      <c r="F23" s="473"/>
      <c r="G23" s="473"/>
      <c r="H23" s="1971">
        <v>0</v>
      </c>
      <c r="I23" s="593"/>
      <c r="J23" s="473"/>
      <c r="K23" s="1644">
        <f t="shared" si="0"/>
        <v>0</v>
      </c>
      <c r="L23" s="1992">
        <v>0</v>
      </c>
    </row>
    <row r="24" spans="1:12" ht="12.75" customHeight="1" x14ac:dyDescent="0.2">
      <c r="A24" s="1478" t="s">
        <v>742</v>
      </c>
      <c r="B24" s="579" t="s">
        <v>729</v>
      </c>
      <c r="C24" s="473"/>
      <c r="D24" s="473"/>
      <c r="E24" s="473"/>
      <c r="F24" s="473"/>
      <c r="G24" s="473"/>
      <c r="H24" s="1971">
        <v>0</v>
      </c>
      <c r="I24" s="593"/>
      <c r="J24" s="473"/>
      <c r="K24" s="1644">
        <f t="shared" si="0"/>
        <v>0</v>
      </c>
      <c r="L24" s="1992">
        <v>0</v>
      </c>
    </row>
    <row r="25" spans="1:12" ht="12.75" customHeight="1" x14ac:dyDescent="0.2">
      <c r="A25" s="1478" t="s">
        <v>802</v>
      </c>
      <c r="B25" s="579" t="s">
        <v>730</v>
      </c>
      <c r="C25" s="473"/>
      <c r="D25" s="473"/>
      <c r="E25" s="473"/>
      <c r="F25" s="473"/>
      <c r="G25" s="473"/>
      <c r="H25" s="1971">
        <v>0</v>
      </c>
      <c r="I25" s="593"/>
      <c r="J25" s="473"/>
      <c r="K25" s="1644">
        <f t="shared" si="0"/>
        <v>0</v>
      </c>
      <c r="L25" s="1992">
        <v>0</v>
      </c>
    </row>
    <row r="26" spans="1:12" x14ac:dyDescent="0.2">
      <c r="A26" s="1478" t="s">
        <v>622</v>
      </c>
      <c r="B26" s="579" t="s">
        <v>731</v>
      </c>
      <c r="C26" s="473"/>
      <c r="D26" s="473"/>
      <c r="E26" s="473"/>
      <c r="F26" s="473"/>
      <c r="G26" s="473"/>
      <c r="H26" s="1971">
        <v>0</v>
      </c>
      <c r="I26" s="593"/>
      <c r="J26" s="473"/>
      <c r="K26" s="1644">
        <f t="shared" si="0"/>
        <v>0</v>
      </c>
      <c r="L26" s="1992">
        <v>0</v>
      </c>
    </row>
    <row r="27" spans="1:12" x14ac:dyDescent="0.2">
      <c r="A27" s="1478" t="s">
        <v>623</v>
      </c>
      <c r="B27" s="579" t="s">
        <v>732</v>
      </c>
      <c r="C27" s="473"/>
      <c r="D27" s="473"/>
      <c r="E27" s="473"/>
      <c r="F27" s="473"/>
      <c r="G27" s="473"/>
      <c r="H27" s="1971">
        <v>0</v>
      </c>
      <c r="I27" s="593"/>
      <c r="J27" s="473"/>
      <c r="K27" s="1644">
        <f t="shared" si="0"/>
        <v>0</v>
      </c>
      <c r="L27" s="1992">
        <v>0</v>
      </c>
    </row>
    <row r="28" spans="1:12" x14ac:dyDescent="0.2">
      <c r="A28" s="1478" t="s">
        <v>150</v>
      </c>
      <c r="B28" s="579" t="s">
        <v>733</v>
      </c>
      <c r="C28" s="473"/>
      <c r="D28" s="473"/>
      <c r="E28" s="473"/>
      <c r="F28" s="473"/>
      <c r="G28" s="473"/>
      <c r="H28" s="1971">
        <v>0</v>
      </c>
      <c r="I28" s="593"/>
      <c r="J28" s="473"/>
      <c r="K28" s="1644">
        <f t="shared" si="0"/>
        <v>0</v>
      </c>
      <c r="L28" s="1992">
        <v>0</v>
      </c>
    </row>
    <row r="29" spans="1:12" x14ac:dyDescent="0.2">
      <c r="A29" s="1478" t="s">
        <v>151</v>
      </c>
      <c r="B29" s="579" t="s">
        <v>734</v>
      </c>
      <c r="C29" s="473"/>
      <c r="D29" s="473"/>
      <c r="E29" s="473"/>
      <c r="F29" s="473"/>
      <c r="G29" s="473"/>
      <c r="H29" s="1971">
        <v>0</v>
      </c>
      <c r="I29" s="593"/>
      <c r="J29" s="473"/>
      <c r="K29" s="1644">
        <f t="shared" si="0"/>
        <v>0</v>
      </c>
      <c r="L29" s="1992">
        <v>0</v>
      </c>
    </row>
    <row r="30" spans="1:12" x14ac:dyDescent="0.2">
      <c r="A30" s="1478" t="s">
        <v>152</v>
      </c>
      <c r="B30" s="579" t="s">
        <v>735</v>
      </c>
      <c r="C30" s="473"/>
      <c r="D30" s="473"/>
      <c r="E30" s="473"/>
      <c r="F30" s="473"/>
      <c r="G30" s="473"/>
      <c r="H30" s="1971">
        <v>0</v>
      </c>
      <c r="I30" s="593"/>
      <c r="J30" s="473"/>
      <c r="K30" s="1644">
        <f t="shared" si="0"/>
        <v>0</v>
      </c>
      <c r="L30" s="1992">
        <v>0</v>
      </c>
    </row>
    <row r="31" spans="1:12" x14ac:dyDescent="0.2">
      <c r="A31" s="1478" t="s">
        <v>153</v>
      </c>
      <c r="B31" s="579" t="s">
        <v>736</v>
      </c>
      <c r="C31" s="473"/>
      <c r="D31" s="473"/>
      <c r="E31" s="473"/>
      <c r="F31" s="473"/>
      <c r="G31" s="473"/>
      <c r="H31" s="1971">
        <v>0</v>
      </c>
      <c r="I31" s="593"/>
      <c r="J31" s="473"/>
      <c r="K31" s="1644">
        <f t="shared" si="0"/>
        <v>0</v>
      </c>
      <c r="L31" s="1992">
        <v>0</v>
      </c>
    </row>
    <row r="32" spans="1:12" x14ac:dyDescent="0.2">
      <c r="A32" s="1479" t="s">
        <v>1129</v>
      </c>
      <c r="B32" s="591" t="s">
        <v>737</v>
      </c>
      <c r="C32" s="473"/>
      <c r="D32" s="473"/>
      <c r="E32" s="473"/>
      <c r="F32" s="473"/>
      <c r="G32" s="473"/>
      <c r="H32" s="1971">
        <v>0</v>
      </c>
      <c r="I32" s="593"/>
      <c r="J32" s="476"/>
      <c r="K32" s="1644">
        <f t="shared" si="0"/>
        <v>0</v>
      </c>
      <c r="L32" s="1992">
        <v>0</v>
      </c>
    </row>
    <row r="33" spans="1:14" ht="12.75" customHeight="1" thickBot="1" x14ac:dyDescent="0.25">
      <c r="A33" s="1641" t="s">
        <v>1668</v>
      </c>
      <c r="B33" s="1642" t="s">
        <v>570</v>
      </c>
      <c r="C33" s="1643">
        <f>SUM(C5:C32)</f>
        <v>4178212</v>
      </c>
      <c r="D33" s="1643">
        <f t="shared" ref="D33:L33" si="1">SUM(D5:D32)</f>
        <v>609097</v>
      </c>
      <c r="E33" s="1643">
        <f t="shared" si="1"/>
        <v>276941</v>
      </c>
      <c r="F33" s="1643">
        <f t="shared" si="1"/>
        <v>321113</v>
      </c>
      <c r="G33" s="1643">
        <f t="shared" si="1"/>
        <v>14613</v>
      </c>
      <c r="H33" s="1643">
        <f t="shared" si="1"/>
        <v>200220</v>
      </c>
      <c r="I33" s="1643">
        <f t="shared" si="1"/>
        <v>0</v>
      </c>
      <c r="J33" s="1643">
        <f t="shared" si="1"/>
        <v>0</v>
      </c>
      <c r="K33" s="1643">
        <f t="shared" si="1"/>
        <v>5600196</v>
      </c>
      <c r="L33" s="1643">
        <f t="shared" si="1"/>
        <v>6354317</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120586</v>
      </c>
      <c r="D36" s="477">
        <v>16089</v>
      </c>
      <c r="E36" s="477">
        <v>3876</v>
      </c>
      <c r="F36" s="477">
        <v>465</v>
      </c>
      <c r="G36" s="477">
        <v>0</v>
      </c>
      <c r="H36" s="477">
        <v>0</v>
      </c>
      <c r="I36" s="1969">
        <v>0</v>
      </c>
      <c r="J36" s="1969">
        <v>0</v>
      </c>
      <c r="K36" s="1644">
        <f t="shared" ref="K36:K41" si="2">SUM(C36:J36)</f>
        <v>141016</v>
      </c>
      <c r="L36" s="1990">
        <v>155950</v>
      </c>
    </row>
    <row r="37" spans="1:14" x14ac:dyDescent="0.2">
      <c r="A37" s="1477" t="s">
        <v>1090</v>
      </c>
      <c r="B37" s="591">
        <v>2120</v>
      </c>
      <c r="C37" s="1968">
        <v>193514</v>
      </c>
      <c r="D37" s="1968">
        <v>17790</v>
      </c>
      <c r="E37" s="1968">
        <v>3255</v>
      </c>
      <c r="F37" s="1968">
        <v>37941</v>
      </c>
      <c r="G37" s="1968">
        <v>0</v>
      </c>
      <c r="H37" s="1968">
        <v>2044</v>
      </c>
      <c r="I37" s="1969">
        <v>0</v>
      </c>
      <c r="J37" s="1969">
        <v>0</v>
      </c>
      <c r="K37" s="1644">
        <f t="shared" si="2"/>
        <v>254544</v>
      </c>
      <c r="L37" s="1990">
        <v>273300</v>
      </c>
    </row>
    <row r="38" spans="1:14" x14ac:dyDescent="0.2">
      <c r="A38" s="1477" t="s">
        <v>198</v>
      </c>
      <c r="B38" s="591">
        <v>2130</v>
      </c>
      <c r="C38" s="1968">
        <v>28343</v>
      </c>
      <c r="D38" s="1968">
        <v>3049</v>
      </c>
      <c r="E38" s="1968">
        <v>511</v>
      </c>
      <c r="F38" s="1968">
        <v>1630</v>
      </c>
      <c r="G38" s="1968">
        <v>0</v>
      </c>
      <c r="H38" s="1968">
        <v>0</v>
      </c>
      <c r="I38" s="1969">
        <v>0</v>
      </c>
      <c r="J38" s="1969">
        <v>0</v>
      </c>
      <c r="K38" s="1644">
        <f t="shared" si="2"/>
        <v>33533</v>
      </c>
      <c r="L38" s="1990">
        <v>61550</v>
      </c>
    </row>
    <row r="39" spans="1:14" x14ac:dyDescent="0.2">
      <c r="A39" s="1477" t="s">
        <v>199</v>
      </c>
      <c r="B39" s="591">
        <v>2140</v>
      </c>
      <c r="C39" s="1968">
        <v>67383</v>
      </c>
      <c r="D39" s="1968">
        <v>7269</v>
      </c>
      <c r="E39" s="1968">
        <v>39367</v>
      </c>
      <c r="F39" s="1968">
        <v>0</v>
      </c>
      <c r="G39" s="1968">
        <v>0</v>
      </c>
      <c r="H39" s="1968">
        <v>0</v>
      </c>
      <c r="I39" s="1969">
        <v>0</v>
      </c>
      <c r="J39" s="1969">
        <v>0</v>
      </c>
      <c r="K39" s="1644">
        <f t="shared" si="2"/>
        <v>114019</v>
      </c>
      <c r="L39" s="1990">
        <v>310000</v>
      </c>
    </row>
    <row r="40" spans="1:14" x14ac:dyDescent="0.2">
      <c r="A40" s="1477" t="s">
        <v>200</v>
      </c>
      <c r="B40" s="591">
        <v>2150</v>
      </c>
      <c r="C40" s="1968">
        <v>0</v>
      </c>
      <c r="D40" s="1968">
        <v>0</v>
      </c>
      <c r="E40" s="1968">
        <v>0</v>
      </c>
      <c r="F40" s="1968">
        <v>0</v>
      </c>
      <c r="G40" s="1968">
        <v>0</v>
      </c>
      <c r="H40" s="1968">
        <v>0</v>
      </c>
      <c r="I40" s="1969">
        <v>0</v>
      </c>
      <c r="J40" s="1969">
        <v>0</v>
      </c>
      <c r="K40" s="1644">
        <f t="shared" si="2"/>
        <v>0</v>
      </c>
      <c r="L40" s="1990">
        <v>0</v>
      </c>
    </row>
    <row r="41" spans="1:14" x14ac:dyDescent="0.2">
      <c r="A41" s="1477" t="s">
        <v>1669</v>
      </c>
      <c r="B41" s="591">
        <v>2190</v>
      </c>
      <c r="C41" s="1968">
        <v>0</v>
      </c>
      <c r="D41" s="1968">
        <v>0</v>
      </c>
      <c r="E41" s="1968">
        <v>0</v>
      </c>
      <c r="F41" s="1968">
        <v>0</v>
      </c>
      <c r="G41" s="1968">
        <v>0</v>
      </c>
      <c r="H41" s="1968">
        <v>0</v>
      </c>
      <c r="I41" s="1969">
        <v>0</v>
      </c>
      <c r="J41" s="1969">
        <v>0</v>
      </c>
      <c r="K41" s="1644">
        <f t="shared" si="2"/>
        <v>0</v>
      </c>
      <c r="L41" s="1990">
        <v>0</v>
      </c>
    </row>
    <row r="42" spans="1:14" ht="12.75" customHeight="1" thickBot="1" x14ac:dyDescent="0.25">
      <c r="A42" s="1641" t="s">
        <v>560</v>
      </c>
      <c r="B42" s="1642" t="s">
        <v>716</v>
      </c>
      <c r="C42" s="1643">
        <f>SUM(C36:C41)</f>
        <v>409826</v>
      </c>
      <c r="D42" s="1643">
        <f t="shared" ref="D42:L42" si="3">SUM(D36:D41)</f>
        <v>44197</v>
      </c>
      <c r="E42" s="1643">
        <f t="shared" si="3"/>
        <v>47009</v>
      </c>
      <c r="F42" s="1643">
        <f t="shared" si="3"/>
        <v>40036</v>
      </c>
      <c r="G42" s="1643">
        <f t="shared" si="3"/>
        <v>0</v>
      </c>
      <c r="H42" s="1643">
        <f t="shared" si="3"/>
        <v>2044</v>
      </c>
      <c r="I42" s="1643">
        <f t="shared" si="3"/>
        <v>0</v>
      </c>
      <c r="J42" s="1643">
        <f t="shared" si="3"/>
        <v>0</v>
      </c>
      <c r="K42" s="1643">
        <f t="shared" si="3"/>
        <v>543112</v>
      </c>
      <c r="L42" s="1643">
        <f t="shared" si="3"/>
        <v>800800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20598</v>
      </c>
      <c r="D44" s="477">
        <v>10421</v>
      </c>
      <c r="E44" s="477">
        <v>46906</v>
      </c>
      <c r="F44" s="477">
        <v>0</v>
      </c>
      <c r="G44" s="477">
        <v>0</v>
      </c>
      <c r="H44" s="477">
        <v>29315</v>
      </c>
      <c r="I44" s="1969">
        <v>0</v>
      </c>
      <c r="J44" s="1969">
        <v>0</v>
      </c>
      <c r="K44" s="1645">
        <f>SUM(C44:J44)</f>
        <v>107240</v>
      </c>
      <c r="L44" s="477">
        <v>125150</v>
      </c>
    </row>
    <row r="45" spans="1:14" x14ac:dyDescent="0.2">
      <c r="A45" s="1477" t="s">
        <v>815</v>
      </c>
      <c r="B45" s="591">
        <v>2220</v>
      </c>
      <c r="C45" s="1968">
        <v>102048</v>
      </c>
      <c r="D45" s="1968">
        <v>18520</v>
      </c>
      <c r="E45" s="1968">
        <v>15978</v>
      </c>
      <c r="F45" s="1968">
        <v>19931</v>
      </c>
      <c r="G45" s="1968">
        <v>1440</v>
      </c>
      <c r="H45" s="1968">
        <v>2650</v>
      </c>
      <c r="I45" s="1969">
        <v>0</v>
      </c>
      <c r="J45" s="1969">
        <v>0</v>
      </c>
      <c r="K45" s="1645">
        <f>SUM(C45:J45)</f>
        <v>160567</v>
      </c>
      <c r="L45" s="1990">
        <v>176090</v>
      </c>
    </row>
    <row r="46" spans="1:14" x14ac:dyDescent="0.2">
      <c r="A46" s="1477" t="s">
        <v>816</v>
      </c>
      <c r="B46" s="591">
        <v>2230</v>
      </c>
      <c r="C46" s="1968">
        <v>0</v>
      </c>
      <c r="D46" s="1968">
        <v>0</v>
      </c>
      <c r="E46" s="1968">
        <v>0</v>
      </c>
      <c r="F46" s="1968">
        <v>0</v>
      </c>
      <c r="G46" s="1968">
        <v>0</v>
      </c>
      <c r="H46" s="1968">
        <v>0</v>
      </c>
      <c r="I46" s="1969">
        <v>0</v>
      </c>
      <c r="J46" s="1969">
        <v>0</v>
      </c>
      <c r="K46" s="1645">
        <f>SUM(C46:J46)</f>
        <v>0</v>
      </c>
      <c r="L46" s="1990">
        <v>0</v>
      </c>
    </row>
    <row r="47" spans="1:14" ht="12.75" customHeight="1" thickBot="1" x14ac:dyDescent="0.25">
      <c r="A47" s="1641" t="s">
        <v>561</v>
      </c>
      <c r="B47" s="1642" t="s">
        <v>32</v>
      </c>
      <c r="C47" s="1643">
        <f>SUM(C44:C46)</f>
        <v>122646</v>
      </c>
      <c r="D47" s="1643">
        <f t="shared" ref="D47:K47" si="4">SUM(D44:D46)</f>
        <v>28941</v>
      </c>
      <c r="E47" s="1643">
        <f t="shared" si="4"/>
        <v>62884</v>
      </c>
      <c r="F47" s="1643">
        <f t="shared" si="4"/>
        <v>19931</v>
      </c>
      <c r="G47" s="1643">
        <f t="shared" si="4"/>
        <v>1440</v>
      </c>
      <c r="H47" s="1643">
        <f t="shared" si="4"/>
        <v>31965</v>
      </c>
      <c r="I47" s="1643">
        <f t="shared" si="4"/>
        <v>0</v>
      </c>
      <c r="J47" s="1643">
        <f t="shared" si="4"/>
        <v>0</v>
      </c>
      <c r="K47" s="1643">
        <f t="shared" si="4"/>
        <v>267807</v>
      </c>
      <c r="L47" s="1643">
        <f>SUM(L44:L46)</f>
        <v>301240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345413</v>
      </c>
      <c r="F49" s="477">
        <v>23881</v>
      </c>
      <c r="G49" s="477">
        <v>0</v>
      </c>
      <c r="H49" s="477">
        <v>48294</v>
      </c>
      <c r="I49" s="1969">
        <v>0</v>
      </c>
      <c r="J49" s="1969">
        <v>0</v>
      </c>
      <c r="K49" s="1645">
        <f>SUM(C49:J49)</f>
        <v>417588</v>
      </c>
      <c r="L49" s="477">
        <v>496000</v>
      </c>
    </row>
    <row r="50" spans="1:14" x14ac:dyDescent="0.2">
      <c r="A50" s="1477" t="s">
        <v>818</v>
      </c>
      <c r="B50" s="591">
        <v>2320</v>
      </c>
      <c r="C50" s="1968">
        <v>71736</v>
      </c>
      <c r="D50" s="1968">
        <v>20637</v>
      </c>
      <c r="E50" s="1968">
        <v>28440</v>
      </c>
      <c r="F50" s="1968">
        <v>4240</v>
      </c>
      <c r="G50" s="1968">
        <v>0</v>
      </c>
      <c r="H50" s="1968">
        <v>1773</v>
      </c>
      <c r="I50" s="1969">
        <v>0</v>
      </c>
      <c r="J50" s="1969">
        <v>0</v>
      </c>
      <c r="K50" s="1645">
        <f>SUM(C50:J50)</f>
        <v>126826</v>
      </c>
      <c r="L50" s="1990">
        <v>130500</v>
      </c>
    </row>
    <row r="51" spans="1:14" x14ac:dyDescent="0.2">
      <c r="A51" s="1477" t="s">
        <v>42</v>
      </c>
      <c r="B51" s="591">
        <v>2330</v>
      </c>
      <c r="C51" s="1968">
        <v>0</v>
      </c>
      <c r="D51" s="1968">
        <v>0</v>
      </c>
      <c r="E51" s="1968">
        <v>0</v>
      </c>
      <c r="F51" s="1968">
        <v>0</v>
      </c>
      <c r="G51" s="1968">
        <v>0</v>
      </c>
      <c r="H51" s="1968">
        <v>0</v>
      </c>
      <c r="I51" s="1969">
        <v>0</v>
      </c>
      <c r="J51" s="1969">
        <v>0</v>
      </c>
      <c r="K51" s="1645">
        <f>SUM(C51:J51)</f>
        <v>0</v>
      </c>
      <c r="L51" s="1990">
        <v>0</v>
      </c>
    </row>
    <row r="52" spans="1:14" ht="22.5" x14ac:dyDescent="0.2">
      <c r="A52" s="1478" t="s">
        <v>298</v>
      </c>
      <c r="B52" s="604" t="s">
        <v>366</v>
      </c>
      <c r="C52" s="1971">
        <v>0</v>
      </c>
      <c r="D52" s="1971">
        <v>0</v>
      </c>
      <c r="E52" s="1971">
        <v>579</v>
      </c>
      <c r="F52" s="1971">
        <v>0</v>
      </c>
      <c r="G52" s="1971">
        <v>0</v>
      </c>
      <c r="H52" s="1971">
        <v>0</v>
      </c>
      <c r="I52" s="1971">
        <v>0</v>
      </c>
      <c r="J52" s="1971">
        <v>0</v>
      </c>
      <c r="K52" s="1645">
        <f>SUM(C52:J52)</f>
        <v>579</v>
      </c>
      <c r="L52" s="1993">
        <v>0</v>
      </c>
    </row>
    <row r="53" spans="1:14" ht="12.75" customHeight="1" thickBot="1" x14ac:dyDescent="0.25">
      <c r="A53" s="1641" t="s">
        <v>717</v>
      </c>
      <c r="B53" s="1642" t="s">
        <v>33</v>
      </c>
      <c r="C53" s="1643">
        <f>SUM(C49:C52)</f>
        <v>71736</v>
      </c>
      <c r="D53" s="1643">
        <f t="shared" ref="D53:L53" si="5">SUM(D49:D52)</f>
        <v>20637</v>
      </c>
      <c r="E53" s="1643">
        <f t="shared" si="5"/>
        <v>374432</v>
      </c>
      <c r="F53" s="1643">
        <f t="shared" si="5"/>
        <v>28121</v>
      </c>
      <c r="G53" s="1643">
        <f t="shared" si="5"/>
        <v>0</v>
      </c>
      <c r="H53" s="1643">
        <f t="shared" si="5"/>
        <v>50067</v>
      </c>
      <c r="I53" s="1643">
        <f t="shared" si="5"/>
        <v>0</v>
      </c>
      <c r="J53" s="1643">
        <f t="shared" si="5"/>
        <v>0</v>
      </c>
      <c r="K53" s="1643">
        <f t="shared" si="5"/>
        <v>544993</v>
      </c>
      <c r="L53" s="1643">
        <f t="shared" si="5"/>
        <v>626500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419971</v>
      </c>
      <c r="D55" s="477">
        <v>84614</v>
      </c>
      <c r="E55" s="477">
        <v>32404</v>
      </c>
      <c r="F55" s="477">
        <v>53633</v>
      </c>
      <c r="G55" s="477">
        <v>0</v>
      </c>
      <c r="H55" s="477">
        <v>3740</v>
      </c>
      <c r="I55" s="1969">
        <v>0</v>
      </c>
      <c r="J55" s="1969">
        <v>0</v>
      </c>
      <c r="K55" s="1645">
        <f>SUM(C55:J55)</f>
        <v>594362</v>
      </c>
      <c r="L55" s="477">
        <v>544000</v>
      </c>
    </row>
    <row r="56" spans="1:14" ht="12.75" customHeight="1" x14ac:dyDescent="0.2">
      <c r="A56" s="1481" t="s">
        <v>376</v>
      </c>
      <c r="B56" s="605">
        <v>2490</v>
      </c>
      <c r="C56" s="1968">
        <v>0</v>
      </c>
      <c r="D56" s="1968">
        <v>0</v>
      </c>
      <c r="E56" s="1968">
        <v>0</v>
      </c>
      <c r="F56" s="1968">
        <v>0</v>
      </c>
      <c r="G56" s="1968">
        <v>0</v>
      </c>
      <c r="H56" s="1968">
        <v>0</v>
      </c>
      <c r="I56" s="1969">
        <v>0</v>
      </c>
      <c r="J56" s="1969">
        <v>0</v>
      </c>
      <c r="K56" s="1645">
        <f>SUM(C56:J56)</f>
        <v>0</v>
      </c>
      <c r="L56" s="1990">
        <v>0</v>
      </c>
    </row>
    <row r="57" spans="1:14" s="343" customFormat="1" ht="12.75" customHeight="1" thickBot="1" x14ac:dyDescent="0.25">
      <c r="A57" s="1641" t="s">
        <v>263</v>
      </c>
      <c r="B57" s="1646" t="s">
        <v>34</v>
      </c>
      <c r="C57" s="1647">
        <f>SUM(C55:C56)</f>
        <v>419971</v>
      </c>
      <c r="D57" s="1647">
        <f t="shared" ref="D57:K57" si="6">SUM(D55:D56)</f>
        <v>84614</v>
      </c>
      <c r="E57" s="1647">
        <f t="shared" si="6"/>
        <v>32404</v>
      </c>
      <c r="F57" s="1647">
        <f t="shared" si="6"/>
        <v>53633</v>
      </c>
      <c r="G57" s="1647">
        <f t="shared" si="6"/>
        <v>0</v>
      </c>
      <c r="H57" s="1647">
        <f t="shared" si="6"/>
        <v>3740</v>
      </c>
      <c r="I57" s="1647">
        <f t="shared" si="6"/>
        <v>0</v>
      </c>
      <c r="J57" s="1647">
        <f t="shared" si="6"/>
        <v>0</v>
      </c>
      <c r="K57" s="1647">
        <f t="shared" si="6"/>
        <v>594362</v>
      </c>
      <c r="L57" s="1643">
        <f>SUM(L55:L56)</f>
        <v>544000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57547</v>
      </c>
      <c r="D59" s="477">
        <v>1824</v>
      </c>
      <c r="E59" s="477">
        <v>0</v>
      </c>
      <c r="F59" s="477">
        <v>0</v>
      </c>
      <c r="G59" s="477">
        <v>0</v>
      </c>
      <c r="H59" s="477">
        <v>1519</v>
      </c>
      <c r="I59" s="1969">
        <v>0</v>
      </c>
      <c r="J59" s="1969">
        <v>0</v>
      </c>
      <c r="K59" s="1645">
        <f t="shared" ref="K59:K64" si="7">SUM(C59:J59)</f>
        <v>60890</v>
      </c>
      <c r="L59" s="477">
        <v>112000</v>
      </c>
      <c r="M59" s="586"/>
      <c r="N59" s="586"/>
    </row>
    <row r="60" spans="1:14" s="343" customFormat="1" x14ac:dyDescent="0.2">
      <c r="A60" s="1477" t="s">
        <v>463</v>
      </c>
      <c r="B60" s="591">
        <v>2520</v>
      </c>
      <c r="C60" s="1968">
        <v>17890</v>
      </c>
      <c r="D60" s="1968">
        <v>2008</v>
      </c>
      <c r="E60" s="1968">
        <v>61791</v>
      </c>
      <c r="F60" s="1968">
        <v>2066</v>
      </c>
      <c r="G60" s="1968">
        <v>2393</v>
      </c>
      <c r="H60" s="1968">
        <v>4386</v>
      </c>
      <c r="I60" s="1969">
        <v>0</v>
      </c>
      <c r="J60" s="1969">
        <v>0</v>
      </c>
      <c r="K60" s="1645">
        <f t="shared" si="7"/>
        <v>90534</v>
      </c>
      <c r="L60" s="1990">
        <v>99500</v>
      </c>
      <c r="M60" s="586"/>
      <c r="N60" s="586"/>
    </row>
    <row r="61" spans="1:14" s="343" customFormat="1" x14ac:dyDescent="0.2">
      <c r="A61" s="1477" t="s">
        <v>197</v>
      </c>
      <c r="B61" s="591">
        <v>2540</v>
      </c>
      <c r="C61" s="1968">
        <v>0</v>
      </c>
      <c r="D61" s="1968">
        <v>0</v>
      </c>
      <c r="E61" s="1968">
        <v>49025</v>
      </c>
      <c r="F61" s="1968">
        <v>0</v>
      </c>
      <c r="G61" s="1968">
        <v>0</v>
      </c>
      <c r="H61" s="1968">
        <v>0</v>
      </c>
      <c r="I61" s="1969">
        <v>0</v>
      </c>
      <c r="J61" s="1969">
        <v>0</v>
      </c>
      <c r="K61" s="1645">
        <f t="shared" si="7"/>
        <v>49025</v>
      </c>
      <c r="L61" s="1990">
        <v>55000</v>
      </c>
      <c r="M61" s="586"/>
      <c r="N61" s="586"/>
    </row>
    <row r="62" spans="1:14" s="343" customFormat="1" x14ac:dyDescent="0.2">
      <c r="A62" s="1477" t="s">
        <v>953</v>
      </c>
      <c r="B62" s="591">
        <v>2550</v>
      </c>
      <c r="C62" s="1968">
        <v>0</v>
      </c>
      <c r="D62" s="1968">
        <v>0</v>
      </c>
      <c r="E62" s="1968">
        <v>0</v>
      </c>
      <c r="F62" s="1968">
        <v>0</v>
      </c>
      <c r="G62" s="1968">
        <v>0</v>
      </c>
      <c r="H62" s="1968">
        <v>0</v>
      </c>
      <c r="I62" s="1969">
        <v>0</v>
      </c>
      <c r="J62" s="1969">
        <v>0</v>
      </c>
      <c r="K62" s="1645">
        <f t="shared" si="7"/>
        <v>0</v>
      </c>
      <c r="L62" s="1990">
        <v>0</v>
      </c>
      <c r="M62" s="586"/>
      <c r="N62" s="586"/>
    </row>
    <row r="63" spans="1:14" s="586" customFormat="1" x14ac:dyDescent="0.2">
      <c r="A63" s="1477" t="s">
        <v>100</v>
      </c>
      <c r="B63" s="591">
        <v>2560</v>
      </c>
      <c r="C63" s="1968">
        <v>18147</v>
      </c>
      <c r="D63" s="1968">
        <v>8931</v>
      </c>
      <c r="E63" s="1968">
        <v>204642</v>
      </c>
      <c r="F63" s="1968">
        <v>1120</v>
      </c>
      <c r="G63" s="1968">
        <v>0</v>
      </c>
      <c r="H63" s="1968">
        <v>0</v>
      </c>
      <c r="I63" s="1969">
        <v>0</v>
      </c>
      <c r="J63" s="1969">
        <v>0</v>
      </c>
      <c r="K63" s="1645">
        <f t="shared" si="7"/>
        <v>232840</v>
      </c>
      <c r="L63" s="1990">
        <v>287000</v>
      </c>
    </row>
    <row r="64" spans="1:14" s="586" customFormat="1" x14ac:dyDescent="0.2">
      <c r="A64" s="1482" t="s">
        <v>101</v>
      </c>
      <c r="B64" s="607">
        <v>2570</v>
      </c>
      <c r="C64" s="477">
        <v>0</v>
      </c>
      <c r="D64" s="477">
        <v>0</v>
      </c>
      <c r="E64" s="477">
        <v>0</v>
      </c>
      <c r="F64" s="477">
        <v>0</v>
      </c>
      <c r="G64" s="477">
        <v>0</v>
      </c>
      <c r="H64" s="477">
        <v>0</v>
      </c>
      <c r="I64" s="1969">
        <v>0</v>
      </c>
      <c r="J64" s="1969">
        <v>0</v>
      </c>
      <c r="K64" s="1645">
        <f t="shared" si="7"/>
        <v>0</v>
      </c>
      <c r="L64" s="477">
        <v>0</v>
      </c>
    </row>
    <row r="65" spans="1:14" s="343" customFormat="1" ht="12.75" customHeight="1" thickBot="1" x14ac:dyDescent="0.25">
      <c r="A65" s="1641" t="s">
        <v>719</v>
      </c>
      <c r="B65" s="1642" t="s">
        <v>35</v>
      </c>
      <c r="C65" s="1643">
        <f>SUM(C59:C64)</f>
        <v>93584</v>
      </c>
      <c r="D65" s="1643">
        <f t="shared" ref="D65:L65" si="8">SUM(D59:D64)</f>
        <v>12763</v>
      </c>
      <c r="E65" s="1643">
        <f t="shared" si="8"/>
        <v>315458</v>
      </c>
      <c r="F65" s="1643">
        <f t="shared" si="8"/>
        <v>3186</v>
      </c>
      <c r="G65" s="1643">
        <f t="shared" si="8"/>
        <v>2393</v>
      </c>
      <c r="H65" s="1643">
        <f t="shared" si="8"/>
        <v>5905</v>
      </c>
      <c r="I65" s="1643">
        <f t="shared" si="8"/>
        <v>0</v>
      </c>
      <c r="J65" s="1643">
        <f t="shared" si="8"/>
        <v>0</v>
      </c>
      <c r="K65" s="1643">
        <f t="shared" si="8"/>
        <v>433289</v>
      </c>
      <c r="L65" s="1643">
        <f t="shared" si="8"/>
        <v>553500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8">
        <v>0</v>
      </c>
      <c r="D67" s="1968">
        <v>0</v>
      </c>
      <c r="E67" s="1968">
        <v>0</v>
      </c>
      <c r="F67" s="1968">
        <v>0</v>
      </c>
      <c r="G67" s="1968">
        <v>0</v>
      </c>
      <c r="H67" s="1968">
        <v>0</v>
      </c>
      <c r="I67" s="1969">
        <v>0</v>
      </c>
      <c r="J67" s="1969">
        <v>0</v>
      </c>
      <c r="K67" s="1645">
        <f>SUM(C67:J67)</f>
        <v>0</v>
      </c>
      <c r="L67" s="477">
        <v>0</v>
      </c>
      <c r="M67" s="586"/>
      <c r="N67" s="586"/>
    </row>
    <row r="68" spans="1:14" s="343" customFormat="1" x14ac:dyDescent="0.2">
      <c r="A68" s="1477" t="s">
        <v>607</v>
      </c>
      <c r="B68" s="591">
        <v>2620</v>
      </c>
      <c r="C68" s="1968">
        <v>0</v>
      </c>
      <c r="D68" s="1968">
        <v>0</v>
      </c>
      <c r="E68" s="1968">
        <v>0</v>
      </c>
      <c r="F68" s="1968">
        <v>0</v>
      </c>
      <c r="G68" s="1968">
        <v>0</v>
      </c>
      <c r="H68" s="1968">
        <v>0</v>
      </c>
      <c r="I68" s="1969">
        <v>0</v>
      </c>
      <c r="J68" s="1969">
        <v>0</v>
      </c>
      <c r="K68" s="1645">
        <f>SUM(C68:J68)</f>
        <v>0</v>
      </c>
      <c r="L68" s="1990">
        <v>0</v>
      </c>
      <c r="M68" s="586"/>
      <c r="N68" s="586"/>
    </row>
    <row r="69" spans="1:14" s="343" customFormat="1" x14ac:dyDescent="0.2">
      <c r="A69" s="1477" t="s">
        <v>1061</v>
      </c>
      <c r="B69" s="591">
        <v>2630</v>
      </c>
      <c r="C69" s="1968">
        <v>0</v>
      </c>
      <c r="D69" s="1968">
        <v>0</v>
      </c>
      <c r="E69" s="1968">
        <v>0</v>
      </c>
      <c r="F69" s="1968">
        <v>0</v>
      </c>
      <c r="G69" s="1968">
        <v>0</v>
      </c>
      <c r="H69" s="1968">
        <v>0</v>
      </c>
      <c r="I69" s="1969">
        <v>0</v>
      </c>
      <c r="J69" s="1969">
        <v>0</v>
      </c>
      <c r="K69" s="1645">
        <f>SUM(C69:J69)</f>
        <v>0</v>
      </c>
      <c r="L69" s="1990">
        <v>0</v>
      </c>
      <c r="M69" s="586"/>
      <c r="N69" s="586"/>
    </row>
    <row r="70" spans="1:14" s="343" customFormat="1" x14ac:dyDescent="0.2">
      <c r="A70" s="1477" t="s">
        <v>403</v>
      </c>
      <c r="B70" s="591">
        <v>2640</v>
      </c>
      <c r="C70" s="1968">
        <v>0</v>
      </c>
      <c r="D70" s="1968">
        <v>0</v>
      </c>
      <c r="E70" s="1968">
        <v>0</v>
      </c>
      <c r="F70" s="1968">
        <v>0</v>
      </c>
      <c r="G70" s="1968">
        <v>0</v>
      </c>
      <c r="H70" s="1968">
        <v>0</v>
      </c>
      <c r="I70" s="1969">
        <v>0</v>
      </c>
      <c r="J70" s="1969">
        <v>0</v>
      </c>
      <c r="K70" s="1645">
        <f>SUM(C70:J70)</f>
        <v>0</v>
      </c>
      <c r="L70" s="1990">
        <v>0</v>
      </c>
      <c r="M70" s="586"/>
      <c r="N70" s="586"/>
    </row>
    <row r="71" spans="1:14" s="343" customFormat="1" x14ac:dyDescent="0.2">
      <c r="A71" s="1477" t="s">
        <v>404</v>
      </c>
      <c r="B71" s="591">
        <v>2660</v>
      </c>
      <c r="C71" s="1968">
        <v>78254</v>
      </c>
      <c r="D71" s="1968">
        <v>25660</v>
      </c>
      <c r="E71" s="1968">
        <v>91335</v>
      </c>
      <c r="F71" s="1968">
        <v>67825</v>
      </c>
      <c r="G71" s="1968">
        <v>12638</v>
      </c>
      <c r="H71" s="1968">
        <v>33184</v>
      </c>
      <c r="I71" s="1969">
        <v>0</v>
      </c>
      <c r="J71" s="1969">
        <v>0</v>
      </c>
      <c r="K71" s="1645">
        <f>SUM(C71:J71)</f>
        <v>308896</v>
      </c>
      <c r="L71" s="1990">
        <v>528000</v>
      </c>
      <c r="M71" s="586"/>
      <c r="N71" s="586"/>
    </row>
    <row r="72" spans="1:14" s="343" customFormat="1" ht="12.75" customHeight="1" thickBot="1" x14ac:dyDescent="0.25">
      <c r="A72" s="1641" t="s">
        <v>37</v>
      </c>
      <c r="B72" s="1648" t="s">
        <v>36</v>
      </c>
      <c r="C72" s="1643">
        <f>SUM(C67:C71)</f>
        <v>78254</v>
      </c>
      <c r="D72" s="1643">
        <f t="shared" ref="D72:K72" si="9">SUM(D67:D71)</f>
        <v>25660</v>
      </c>
      <c r="E72" s="1643">
        <f t="shared" si="9"/>
        <v>91335</v>
      </c>
      <c r="F72" s="1643">
        <f t="shared" si="9"/>
        <v>67825</v>
      </c>
      <c r="G72" s="1643">
        <f t="shared" si="9"/>
        <v>12638</v>
      </c>
      <c r="H72" s="1643">
        <f t="shared" si="9"/>
        <v>33184</v>
      </c>
      <c r="I72" s="1643">
        <f t="shared" si="9"/>
        <v>0</v>
      </c>
      <c r="J72" s="1643">
        <f t="shared" si="9"/>
        <v>0</v>
      </c>
      <c r="K72" s="1643">
        <f t="shared" si="9"/>
        <v>308896</v>
      </c>
      <c r="L72" s="1643">
        <f>SUM(L67:L71)</f>
        <v>528000</v>
      </c>
      <c r="M72" s="586"/>
      <c r="N72" s="586"/>
    </row>
    <row r="73" spans="1:14" s="343" customFormat="1" ht="14.25" thickTop="1" thickBot="1" x14ac:dyDescent="0.25">
      <c r="A73" s="1483" t="s">
        <v>980</v>
      </c>
      <c r="B73" s="609" t="s">
        <v>574</v>
      </c>
      <c r="C73" s="1979">
        <v>0</v>
      </c>
      <c r="D73" s="1979">
        <v>0</v>
      </c>
      <c r="E73" s="1979">
        <v>0</v>
      </c>
      <c r="F73" s="1979">
        <v>0</v>
      </c>
      <c r="G73" s="1979">
        <v>0</v>
      </c>
      <c r="H73" s="1979">
        <v>0</v>
      </c>
      <c r="I73" s="1976">
        <v>0</v>
      </c>
      <c r="J73" s="1976">
        <v>0</v>
      </c>
      <c r="K73" s="1643">
        <f>SUM(C73:J73)</f>
        <v>0</v>
      </c>
      <c r="L73" s="2003">
        <v>0</v>
      </c>
      <c r="M73" s="586"/>
      <c r="N73" s="586"/>
    </row>
    <row r="74" spans="1:14" ht="12.75" customHeight="1" thickTop="1" thickBot="1" x14ac:dyDescent="0.25">
      <c r="A74" s="1641" t="s">
        <v>811</v>
      </c>
      <c r="B74" s="1649">
        <v>2000</v>
      </c>
      <c r="C74" s="1650">
        <f>SUM(C42,C47,C53,C57,C65,C72,C73)</f>
        <v>1196017</v>
      </c>
      <c r="D74" s="1650">
        <f t="shared" ref="D74:K74" si="10">SUM(D42,D47,D53,D57,D65,D72,D73)</f>
        <v>216812</v>
      </c>
      <c r="E74" s="1650">
        <f t="shared" si="10"/>
        <v>923522</v>
      </c>
      <c r="F74" s="1650">
        <f t="shared" si="10"/>
        <v>212732</v>
      </c>
      <c r="G74" s="1650">
        <f t="shared" si="10"/>
        <v>16471</v>
      </c>
      <c r="H74" s="1650">
        <f t="shared" si="10"/>
        <v>126905</v>
      </c>
      <c r="I74" s="1650">
        <f t="shared" si="10"/>
        <v>0</v>
      </c>
      <c r="J74" s="1650">
        <f t="shared" si="10"/>
        <v>0</v>
      </c>
      <c r="K74" s="1650">
        <f t="shared" si="10"/>
        <v>2692459</v>
      </c>
      <c r="L74" s="1650">
        <f>SUM(L42,L47,L53,L57,L65,L72,L73)</f>
        <v>3354040</v>
      </c>
    </row>
    <row r="75" spans="1:14" s="259" customFormat="1" ht="15.75" customHeight="1" thickTop="1" thickBot="1" x14ac:dyDescent="0.25">
      <c r="A75" s="1583" t="s">
        <v>47</v>
      </c>
      <c r="B75" s="1584" t="s">
        <v>575</v>
      </c>
      <c r="C75" s="1979">
        <v>0</v>
      </c>
      <c r="D75" s="1979">
        <v>0</v>
      </c>
      <c r="E75" s="1979">
        <v>0</v>
      </c>
      <c r="F75" s="1979">
        <v>0</v>
      </c>
      <c r="G75" s="1979">
        <v>0</v>
      </c>
      <c r="H75" s="1979">
        <v>0</v>
      </c>
      <c r="I75" s="1976">
        <v>0</v>
      </c>
      <c r="J75" s="1976">
        <v>0</v>
      </c>
      <c r="K75" s="1643">
        <f>SUM(C75:J75)</f>
        <v>0</v>
      </c>
      <c r="L75" s="2003">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200000</v>
      </c>
    </row>
    <row r="79" spans="1:14" x14ac:dyDescent="0.2">
      <c r="A79" s="1477" t="s">
        <v>304</v>
      </c>
      <c r="B79" s="591">
        <v>4120</v>
      </c>
      <c r="C79" s="593"/>
      <c r="D79" s="593"/>
      <c r="E79" s="1968">
        <v>0</v>
      </c>
      <c r="F79" s="593"/>
      <c r="G79" s="593"/>
      <c r="H79" s="1968">
        <v>0</v>
      </c>
      <c r="I79" s="473"/>
      <c r="J79" s="473"/>
      <c r="K79" s="1644">
        <f t="shared" si="11"/>
        <v>0</v>
      </c>
      <c r="L79" s="1990">
        <v>56500</v>
      </c>
    </row>
    <row r="80" spans="1:14" x14ac:dyDescent="0.2">
      <c r="A80" s="1477" t="s">
        <v>305</v>
      </c>
      <c r="B80" s="591">
        <v>4130</v>
      </c>
      <c r="C80" s="593"/>
      <c r="D80" s="593"/>
      <c r="E80" s="1968">
        <v>0</v>
      </c>
      <c r="F80" s="593"/>
      <c r="G80" s="593"/>
      <c r="H80" s="1968">
        <v>0</v>
      </c>
      <c r="I80" s="473"/>
      <c r="J80" s="473"/>
      <c r="K80" s="1644">
        <f t="shared" si="11"/>
        <v>0</v>
      </c>
      <c r="L80" s="1990">
        <v>0</v>
      </c>
    </row>
    <row r="81" spans="1:12" x14ac:dyDescent="0.2">
      <c r="A81" s="1477" t="s">
        <v>697</v>
      </c>
      <c r="B81" s="591">
        <v>4140</v>
      </c>
      <c r="C81" s="593"/>
      <c r="D81" s="593"/>
      <c r="E81" s="1968">
        <v>0</v>
      </c>
      <c r="F81" s="593"/>
      <c r="G81" s="593"/>
      <c r="H81" s="1968">
        <v>1246</v>
      </c>
      <c r="I81" s="473"/>
      <c r="J81" s="473"/>
      <c r="K81" s="1644">
        <f t="shared" si="11"/>
        <v>1246</v>
      </c>
      <c r="L81" s="1990">
        <v>0</v>
      </c>
    </row>
    <row r="82" spans="1:12" x14ac:dyDescent="0.2">
      <c r="A82" s="1477" t="s">
        <v>86</v>
      </c>
      <c r="B82" s="591">
        <v>4170</v>
      </c>
      <c r="C82" s="593"/>
      <c r="D82" s="593"/>
      <c r="E82" s="1968">
        <v>0</v>
      </c>
      <c r="F82" s="593"/>
      <c r="G82" s="593"/>
      <c r="H82" s="1968">
        <v>0</v>
      </c>
      <c r="I82" s="473"/>
      <c r="J82" s="473"/>
      <c r="K82" s="1644">
        <f t="shared" si="11"/>
        <v>0</v>
      </c>
      <c r="L82" s="1990">
        <v>0</v>
      </c>
    </row>
    <row r="83" spans="1:12" x14ac:dyDescent="0.2">
      <c r="A83" s="1481" t="s">
        <v>698</v>
      </c>
      <c r="B83" s="605">
        <v>4190</v>
      </c>
      <c r="C83" s="593"/>
      <c r="D83" s="593"/>
      <c r="E83" s="1968">
        <v>0</v>
      </c>
      <c r="F83" s="593"/>
      <c r="G83" s="593"/>
      <c r="H83" s="1968">
        <v>0</v>
      </c>
      <c r="I83" s="473"/>
      <c r="J83" s="473"/>
      <c r="K83" s="1644">
        <f t="shared" si="11"/>
        <v>0</v>
      </c>
      <c r="L83" s="1990">
        <v>0</v>
      </c>
    </row>
    <row r="84" spans="1:12" ht="13.5" thickBot="1" x14ac:dyDescent="0.25">
      <c r="A84" s="1641" t="s">
        <v>1485</v>
      </c>
      <c r="B84" s="1651">
        <v>4100</v>
      </c>
      <c r="C84" s="593"/>
      <c r="D84" s="593"/>
      <c r="E84" s="1643">
        <f>SUM(E78:E83)</f>
        <v>0</v>
      </c>
      <c r="F84" s="593"/>
      <c r="G84" s="593"/>
      <c r="H84" s="1643">
        <f>SUM(H78:H83)</f>
        <v>1246</v>
      </c>
      <c r="I84" s="473"/>
      <c r="J84" s="473"/>
      <c r="K84" s="1643">
        <f>SUM(K78:K83)</f>
        <v>1246</v>
      </c>
      <c r="L84" s="1643">
        <f>SUM(L78:L83)</f>
        <v>256500</v>
      </c>
    </row>
    <row r="85" spans="1:12" ht="12.75" customHeight="1" thickTop="1" thickBot="1" x14ac:dyDescent="0.25">
      <c r="A85" s="1484" t="s">
        <v>255</v>
      </c>
      <c r="B85" s="612">
        <v>4210</v>
      </c>
      <c r="C85" s="593"/>
      <c r="D85" s="593"/>
      <c r="E85" s="613"/>
      <c r="F85" s="593"/>
      <c r="G85" s="593"/>
      <c r="H85" s="1978">
        <v>0</v>
      </c>
      <c r="I85" s="473"/>
      <c r="J85" s="473"/>
      <c r="K85" s="1650">
        <f>H85</f>
        <v>0</v>
      </c>
      <c r="L85" s="1998">
        <v>0</v>
      </c>
    </row>
    <row r="86" spans="1:12" ht="12.75" customHeight="1" thickTop="1" thickBot="1" x14ac:dyDescent="0.25">
      <c r="A86" s="1485" t="s">
        <v>699</v>
      </c>
      <c r="B86" s="614">
        <v>4220</v>
      </c>
      <c r="C86" s="593"/>
      <c r="D86" s="593"/>
      <c r="E86" s="615"/>
      <c r="F86" s="593"/>
      <c r="G86" s="593"/>
      <c r="H86" s="1969">
        <v>82507</v>
      </c>
      <c r="I86" s="473"/>
      <c r="J86" s="473"/>
      <c r="K86" s="1650">
        <f t="shared" ref="K86:K98" si="12">H86</f>
        <v>82507</v>
      </c>
      <c r="L86" s="1998">
        <v>100000</v>
      </c>
    </row>
    <row r="87" spans="1:12" ht="14.25" thickTop="1" thickBot="1" x14ac:dyDescent="0.25">
      <c r="A87" s="1486" t="s">
        <v>700</v>
      </c>
      <c r="B87" s="616">
        <v>4230</v>
      </c>
      <c r="C87" s="593"/>
      <c r="D87" s="593"/>
      <c r="E87" s="615"/>
      <c r="F87" s="593"/>
      <c r="G87" s="593"/>
      <c r="H87" s="1969">
        <v>0</v>
      </c>
      <c r="I87" s="473"/>
      <c r="J87" s="473"/>
      <c r="K87" s="1650">
        <f t="shared" si="12"/>
        <v>0</v>
      </c>
      <c r="L87" s="1998">
        <v>0</v>
      </c>
    </row>
    <row r="88" spans="1:12" ht="12.75" customHeight="1" thickTop="1" thickBot="1" x14ac:dyDescent="0.25">
      <c r="A88" s="1486" t="s">
        <v>765</v>
      </c>
      <c r="B88" s="616">
        <v>4240</v>
      </c>
      <c r="C88" s="593"/>
      <c r="D88" s="593"/>
      <c r="E88" s="615"/>
      <c r="F88" s="593"/>
      <c r="G88" s="593"/>
      <c r="H88" s="1969">
        <v>136641</v>
      </c>
      <c r="I88" s="473"/>
      <c r="J88" s="473"/>
      <c r="K88" s="1650">
        <f t="shared" si="12"/>
        <v>136641</v>
      </c>
      <c r="L88" s="1998">
        <v>0</v>
      </c>
    </row>
    <row r="89" spans="1:12" ht="12.75" customHeight="1" thickTop="1" thickBot="1" x14ac:dyDescent="0.25">
      <c r="A89" s="1486" t="s">
        <v>701</v>
      </c>
      <c r="B89" s="616">
        <v>4270</v>
      </c>
      <c r="C89" s="593"/>
      <c r="D89" s="593"/>
      <c r="E89" s="615"/>
      <c r="F89" s="593"/>
      <c r="G89" s="593"/>
      <c r="H89" s="1969">
        <v>0</v>
      </c>
      <c r="I89" s="473"/>
      <c r="J89" s="473"/>
      <c r="K89" s="1650">
        <f t="shared" si="12"/>
        <v>0</v>
      </c>
      <c r="L89" s="1998">
        <v>0</v>
      </c>
    </row>
    <row r="90" spans="1:12" ht="12.75" customHeight="1" thickTop="1" thickBot="1" x14ac:dyDescent="0.25">
      <c r="A90" s="1486" t="s">
        <v>686</v>
      </c>
      <c r="B90" s="616">
        <v>4280</v>
      </c>
      <c r="C90" s="593"/>
      <c r="D90" s="593"/>
      <c r="E90" s="615"/>
      <c r="F90" s="593"/>
      <c r="G90" s="593"/>
      <c r="H90" s="1969">
        <v>0</v>
      </c>
      <c r="I90" s="473"/>
      <c r="J90" s="473"/>
      <c r="K90" s="1650">
        <f t="shared" si="12"/>
        <v>0</v>
      </c>
      <c r="L90" s="1998">
        <v>0</v>
      </c>
    </row>
    <row r="91" spans="1:12" ht="12.75" customHeight="1" thickTop="1" thickBot="1" x14ac:dyDescent="0.25">
      <c r="A91" s="1486" t="s">
        <v>687</v>
      </c>
      <c r="B91" s="616">
        <v>4290</v>
      </c>
      <c r="C91" s="593"/>
      <c r="D91" s="593"/>
      <c r="E91" s="615"/>
      <c r="F91" s="593"/>
      <c r="G91" s="593"/>
      <c r="H91" s="1969">
        <v>0</v>
      </c>
      <c r="I91" s="473"/>
      <c r="J91" s="473"/>
      <c r="K91" s="1650">
        <f t="shared" si="12"/>
        <v>0</v>
      </c>
      <c r="L91" s="1998">
        <v>0</v>
      </c>
    </row>
    <row r="92" spans="1:12" ht="14.25" thickTop="1" thickBot="1" x14ac:dyDescent="0.25">
      <c r="A92" s="1653" t="s">
        <v>1560</v>
      </c>
      <c r="B92" s="1651">
        <v>4200</v>
      </c>
      <c r="C92" s="593"/>
      <c r="D92" s="593"/>
      <c r="E92" s="615"/>
      <c r="F92" s="593"/>
      <c r="G92" s="593"/>
      <c r="H92" s="1643">
        <f>SUM(H85:H91)</f>
        <v>219148</v>
      </c>
      <c r="I92" s="473"/>
      <c r="J92" s="473"/>
      <c r="K92" s="1650">
        <f t="shared" si="12"/>
        <v>219148</v>
      </c>
      <c r="L92" s="1643">
        <f>SUM(L85:L91)</f>
        <v>100000</v>
      </c>
    </row>
    <row r="93" spans="1:12" ht="14.25" thickTop="1" thickBot="1" x14ac:dyDescent="0.25">
      <c r="A93" s="1485" t="s">
        <v>688</v>
      </c>
      <c r="B93" s="617">
        <v>4310</v>
      </c>
      <c r="C93" s="593"/>
      <c r="D93" s="593"/>
      <c r="E93" s="615"/>
      <c r="F93" s="593"/>
      <c r="G93" s="593"/>
      <c r="H93" s="1972">
        <v>0</v>
      </c>
      <c r="I93" s="473"/>
      <c r="J93" s="473"/>
      <c r="K93" s="1650">
        <f t="shared" si="12"/>
        <v>0</v>
      </c>
      <c r="L93" s="2000">
        <v>0</v>
      </c>
    </row>
    <row r="94" spans="1:12" ht="12.75" customHeight="1" thickTop="1" thickBot="1" x14ac:dyDescent="0.25">
      <c r="A94" s="1486" t="s">
        <v>689</v>
      </c>
      <c r="B94" s="616">
        <v>4320</v>
      </c>
      <c r="C94" s="593"/>
      <c r="D94" s="593"/>
      <c r="E94" s="615"/>
      <c r="F94" s="593"/>
      <c r="G94" s="593"/>
      <c r="H94" s="1969">
        <v>0</v>
      </c>
      <c r="I94" s="473"/>
      <c r="J94" s="473"/>
      <c r="K94" s="1650">
        <f t="shared" si="12"/>
        <v>0</v>
      </c>
      <c r="L94" s="1998">
        <v>0</v>
      </c>
    </row>
    <row r="95" spans="1:12" ht="15" customHeight="1" thickTop="1" thickBot="1" x14ac:dyDescent="0.25">
      <c r="A95" s="1486" t="s">
        <v>1488</v>
      </c>
      <c r="B95" s="616">
        <v>4330</v>
      </c>
      <c r="C95" s="593"/>
      <c r="D95" s="593"/>
      <c r="E95" s="615"/>
      <c r="F95" s="593"/>
      <c r="G95" s="593"/>
      <c r="H95" s="1969">
        <v>0</v>
      </c>
      <c r="I95" s="473"/>
      <c r="J95" s="473"/>
      <c r="K95" s="1650">
        <f t="shared" si="12"/>
        <v>0</v>
      </c>
      <c r="L95" s="1998">
        <v>0</v>
      </c>
    </row>
    <row r="96" spans="1:12" ht="14.25" thickTop="1" thickBot="1" x14ac:dyDescent="0.25">
      <c r="A96" s="1486" t="s">
        <v>690</v>
      </c>
      <c r="B96" s="616">
        <v>4340</v>
      </c>
      <c r="C96" s="593"/>
      <c r="D96" s="593"/>
      <c r="E96" s="615"/>
      <c r="F96" s="593"/>
      <c r="G96" s="593"/>
      <c r="H96" s="1969">
        <v>0</v>
      </c>
      <c r="I96" s="473"/>
      <c r="J96" s="473"/>
      <c r="K96" s="1650">
        <f t="shared" si="12"/>
        <v>0</v>
      </c>
      <c r="L96" s="1998">
        <v>0</v>
      </c>
    </row>
    <row r="97" spans="1:14" ht="12.75" customHeight="1" thickTop="1" thickBot="1" x14ac:dyDescent="0.25">
      <c r="A97" s="1486" t="s">
        <v>763</v>
      </c>
      <c r="B97" s="616">
        <v>4370</v>
      </c>
      <c r="C97" s="593"/>
      <c r="D97" s="593"/>
      <c r="E97" s="615"/>
      <c r="F97" s="593"/>
      <c r="G97" s="593"/>
      <c r="H97" s="1969">
        <v>0</v>
      </c>
      <c r="I97" s="473"/>
      <c r="J97" s="473"/>
      <c r="K97" s="1650">
        <f t="shared" si="12"/>
        <v>0</v>
      </c>
      <c r="L97" s="1998">
        <v>0</v>
      </c>
    </row>
    <row r="98" spans="1:14" ht="14.25" thickTop="1" thickBot="1" x14ac:dyDescent="0.25">
      <c r="A98" s="1486" t="s">
        <v>764</v>
      </c>
      <c r="B98" s="616">
        <v>4380</v>
      </c>
      <c r="C98" s="593"/>
      <c r="D98" s="593"/>
      <c r="E98" s="618"/>
      <c r="F98" s="593"/>
      <c r="G98" s="593"/>
      <c r="H98" s="1969">
        <v>0</v>
      </c>
      <c r="I98" s="473"/>
      <c r="J98" s="473"/>
      <c r="K98" s="1650">
        <f t="shared" si="12"/>
        <v>0</v>
      </c>
      <c r="L98" s="1998">
        <v>0</v>
      </c>
    </row>
    <row r="99" spans="1:14" ht="14.25" thickTop="1" thickBot="1" x14ac:dyDescent="0.25">
      <c r="A99" s="1486" t="s">
        <v>367</v>
      </c>
      <c r="B99" s="616">
        <v>4390</v>
      </c>
      <c r="C99" s="593"/>
      <c r="D99" s="593"/>
      <c r="E99" s="1977">
        <v>0</v>
      </c>
      <c r="F99" s="593"/>
      <c r="G99" s="593"/>
      <c r="H99" s="1969">
        <v>0</v>
      </c>
      <c r="I99" s="473"/>
      <c r="J99" s="473"/>
      <c r="K99" s="1650">
        <f>SUM(E99,H99)</f>
        <v>0</v>
      </c>
      <c r="L99" s="1998">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6">
        <v>0</v>
      </c>
      <c r="F101" s="593"/>
      <c r="G101" s="593"/>
      <c r="H101" s="1976">
        <v>0</v>
      </c>
      <c r="I101" s="473"/>
      <c r="J101" s="473"/>
      <c r="K101" s="1652">
        <f>SUM(C101:J101)</f>
        <v>0</v>
      </c>
      <c r="L101" s="1998">
        <v>0</v>
      </c>
    </row>
    <row r="102" spans="1:14" ht="12.75" customHeight="1" thickTop="1" thickBot="1" x14ac:dyDescent="0.25">
      <c r="A102" s="1641" t="s">
        <v>1487</v>
      </c>
      <c r="B102" s="1651">
        <v>4000</v>
      </c>
      <c r="C102" s="593"/>
      <c r="D102" s="593"/>
      <c r="E102" s="1650">
        <f>SUM(E84,E92,E100,E101)</f>
        <v>0</v>
      </c>
      <c r="F102" s="593"/>
      <c r="G102" s="593"/>
      <c r="H102" s="1650">
        <f>SUM(H84,H92,H100,H101)</f>
        <v>220394</v>
      </c>
      <c r="I102" s="473"/>
      <c r="J102" s="473"/>
      <c r="K102" s="1650">
        <f>SUM(K84,K92,K100,K101)</f>
        <v>220394</v>
      </c>
      <c r="L102" s="1650">
        <f>SUM(L84,L92,L100,L101)</f>
        <v>356500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8">
        <v>0</v>
      </c>
      <c r="I106" s="467"/>
      <c r="J106" s="467"/>
      <c r="K106" s="1644">
        <f>H106</f>
        <v>0</v>
      </c>
      <c r="L106" s="1990">
        <v>0</v>
      </c>
      <c r="M106" s="210"/>
      <c r="N106" s="210"/>
    </row>
    <row r="107" spans="1:14" s="574" customFormat="1" ht="12.75" customHeight="1" x14ac:dyDescent="0.2">
      <c r="A107" s="1477" t="s">
        <v>1170</v>
      </c>
      <c r="B107" s="591">
        <v>5130</v>
      </c>
      <c r="C107" s="593"/>
      <c r="D107" s="593"/>
      <c r="E107" s="593"/>
      <c r="F107" s="593"/>
      <c r="G107" s="593"/>
      <c r="H107" s="1968">
        <v>0</v>
      </c>
      <c r="I107" s="467"/>
      <c r="J107" s="467"/>
      <c r="K107" s="1644">
        <f>H107</f>
        <v>0</v>
      </c>
      <c r="L107" s="1990">
        <v>0</v>
      </c>
      <c r="M107" s="210"/>
      <c r="N107" s="210"/>
    </row>
    <row r="108" spans="1:14" s="574" customFormat="1" x14ac:dyDescent="0.2">
      <c r="A108" s="1477" t="s">
        <v>89</v>
      </c>
      <c r="B108" s="591" t="s">
        <v>589</v>
      </c>
      <c r="C108" s="593"/>
      <c r="D108" s="593"/>
      <c r="E108" s="593"/>
      <c r="F108" s="593"/>
      <c r="G108" s="593"/>
      <c r="H108" s="1968">
        <v>0</v>
      </c>
      <c r="I108" s="467"/>
      <c r="J108" s="467"/>
      <c r="K108" s="1644">
        <f>H108</f>
        <v>0</v>
      </c>
      <c r="L108" s="1990">
        <v>0</v>
      </c>
      <c r="M108" s="210"/>
      <c r="N108" s="210"/>
    </row>
    <row r="109" spans="1:14" s="574" customFormat="1" x14ac:dyDescent="0.2">
      <c r="A109" s="1477" t="s">
        <v>254</v>
      </c>
      <c r="B109" s="605">
        <v>5150</v>
      </c>
      <c r="C109" s="593"/>
      <c r="D109" s="593"/>
      <c r="E109" s="593"/>
      <c r="F109" s="593"/>
      <c r="G109" s="593"/>
      <c r="H109" s="1968">
        <v>0</v>
      </c>
      <c r="I109" s="467"/>
      <c r="J109" s="467"/>
      <c r="K109" s="1644">
        <f>H109</f>
        <v>0</v>
      </c>
      <c r="L109" s="1990">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8">
        <v>0</v>
      </c>
      <c r="I111" s="467"/>
      <c r="J111" s="467"/>
      <c r="K111" s="1656">
        <f>H111</f>
        <v>0</v>
      </c>
      <c r="L111" s="2000">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9">
        <v>0</v>
      </c>
      <c r="M113" s="590"/>
      <c r="N113" s="590"/>
    </row>
    <row r="114" spans="1:14" ht="12.75" customHeight="1" thickTop="1" thickBot="1" x14ac:dyDescent="0.25">
      <c r="A114" s="1641" t="s">
        <v>48</v>
      </c>
      <c r="B114" s="1655"/>
      <c r="C114" s="1643">
        <f>SUM(C33,C74,C75,C102,C112,C113)</f>
        <v>5374229</v>
      </c>
      <c r="D114" s="1643">
        <f t="shared" ref="D114:K114" si="13">SUM(D33,D74,D75,D102,D112,D113)</f>
        <v>825909</v>
      </c>
      <c r="E114" s="1643">
        <f t="shared" si="13"/>
        <v>1200463</v>
      </c>
      <c r="F114" s="1643">
        <f t="shared" si="13"/>
        <v>533845</v>
      </c>
      <c r="G114" s="1643">
        <f t="shared" si="13"/>
        <v>31084</v>
      </c>
      <c r="H114" s="1643">
        <f>SUM(H33,H74,H75,H102,H112,H113)</f>
        <v>547519</v>
      </c>
      <c r="I114" s="1643">
        <f t="shared" si="13"/>
        <v>0</v>
      </c>
      <c r="J114" s="1643">
        <f t="shared" si="13"/>
        <v>0</v>
      </c>
      <c r="K114" s="1643">
        <f t="shared" si="13"/>
        <v>8513049</v>
      </c>
      <c r="L114" s="1643">
        <f>SUM(L33,L74,L75,L102,L112,L113)</f>
        <v>10064857</v>
      </c>
    </row>
    <row r="115" spans="1:14" ht="13.5" thickTop="1" x14ac:dyDescent="0.2">
      <c r="A115" s="2248" t="s">
        <v>996</v>
      </c>
      <c r="B115" s="2249"/>
      <c r="C115" s="595"/>
      <c r="D115" s="595"/>
      <c r="E115" s="595"/>
      <c r="F115" s="595"/>
      <c r="G115" s="595"/>
      <c r="H115" s="595"/>
      <c r="I115" s="595"/>
      <c r="J115" s="595"/>
      <c r="K115" s="1657">
        <f>'Revenues 9-14'!C268-'Expenditures 15-22'!K114</f>
        <v>1425103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6" t="s">
        <v>296</v>
      </c>
      <c r="B117" s="2227"/>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90">
        <v>0</v>
      </c>
      <c r="F120" s="1990">
        <v>0</v>
      </c>
      <c r="G120" s="1990">
        <v>0</v>
      </c>
      <c r="H120" s="1990">
        <v>0</v>
      </c>
      <c r="I120" s="1990">
        <v>0</v>
      </c>
      <c r="J120" s="1990">
        <v>0</v>
      </c>
      <c r="K120" s="1644">
        <f>SUM(C120:J120)</f>
        <v>0</v>
      </c>
      <c r="L120" s="1990">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8">
        <v>0</v>
      </c>
      <c r="D122" s="1968">
        <v>0</v>
      </c>
      <c r="E122" s="1968">
        <v>0</v>
      </c>
      <c r="F122" s="1968">
        <v>0</v>
      </c>
      <c r="G122" s="1968">
        <v>0</v>
      </c>
      <c r="H122" s="1968">
        <v>0</v>
      </c>
      <c r="I122" s="1969">
        <v>0</v>
      </c>
      <c r="J122" s="1969">
        <v>0</v>
      </c>
      <c r="K122" s="1643">
        <f>SUM(C122:J122)</f>
        <v>0</v>
      </c>
      <c r="L122" s="1990">
        <v>0</v>
      </c>
    </row>
    <row r="123" spans="1:14" ht="14.25" thickTop="1" thickBot="1" x14ac:dyDescent="0.25">
      <c r="A123" s="1477" t="s">
        <v>4</v>
      </c>
      <c r="B123" s="591">
        <v>2530</v>
      </c>
      <c r="C123" s="1968">
        <v>0</v>
      </c>
      <c r="D123" s="1968">
        <v>0</v>
      </c>
      <c r="E123" s="1968">
        <v>0</v>
      </c>
      <c r="F123" s="1968">
        <v>0</v>
      </c>
      <c r="G123" s="1968">
        <v>0</v>
      </c>
      <c r="H123" s="1968">
        <v>0</v>
      </c>
      <c r="I123" s="1969">
        <v>0</v>
      </c>
      <c r="J123" s="1969">
        <v>0</v>
      </c>
      <c r="K123" s="1643">
        <f>SUM(C123:J123)</f>
        <v>0</v>
      </c>
      <c r="L123" s="1990">
        <v>0</v>
      </c>
    </row>
    <row r="124" spans="1:14" ht="14.25" thickTop="1" thickBot="1" x14ac:dyDescent="0.25">
      <c r="A124" s="1477" t="s">
        <v>197</v>
      </c>
      <c r="B124" s="591">
        <v>2540</v>
      </c>
      <c r="C124" s="1968">
        <v>197317</v>
      </c>
      <c r="D124" s="1968">
        <v>18667</v>
      </c>
      <c r="E124" s="1968">
        <v>457558</v>
      </c>
      <c r="F124" s="1968">
        <v>438008</v>
      </c>
      <c r="G124" s="1968">
        <v>107823</v>
      </c>
      <c r="H124" s="1968">
        <v>75</v>
      </c>
      <c r="I124" s="1969">
        <v>0</v>
      </c>
      <c r="J124" s="1969">
        <v>0</v>
      </c>
      <c r="K124" s="1643">
        <f>SUM(C124:J124)</f>
        <v>1219448</v>
      </c>
      <c r="L124" s="1990">
        <v>1407500</v>
      </c>
    </row>
    <row r="125" spans="1:14" ht="14.25" thickTop="1" thickBot="1" x14ac:dyDescent="0.25">
      <c r="A125" s="1477" t="s">
        <v>953</v>
      </c>
      <c r="B125" s="591">
        <v>2550</v>
      </c>
      <c r="C125" s="1968">
        <v>0</v>
      </c>
      <c r="D125" s="1968">
        <v>0</v>
      </c>
      <c r="E125" s="1968">
        <v>0</v>
      </c>
      <c r="F125" s="1968">
        <v>0</v>
      </c>
      <c r="G125" s="1968">
        <v>0</v>
      </c>
      <c r="H125" s="1968">
        <v>0</v>
      </c>
      <c r="I125" s="1969">
        <v>0</v>
      </c>
      <c r="J125" s="1969">
        <v>0</v>
      </c>
      <c r="K125" s="1643">
        <f>SUM(C125:J125)</f>
        <v>0</v>
      </c>
      <c r="L125" s="1990">
        <v>0</v>
      </c>
    </row>
    <row r="126" spans="1:14" ht="14.25" thickTop="1" thickBot="1" x14ac:dyDescent="0.25">
      <c r="A126" s="1477" t="s">
        <v>100</v>
      </c>
      <c r="B126" s="591">
        <v>2560</v>
      </c>
      <c r="C126" s="630"/>
      <c r="D126" s="630"/>
      <c r="E126" s="630"/>
      <c r="F126" s="630"/>
      <c r="G126" s="1968">
        <v>0</v>
      </c>
      <c r="H126" s="630"/>
      <c r="I126" s="1971">
        <v>0</v>
      </c>
      <c r="J126" s="593"/>
      <c r="K126" s="1643">
        <f>SUM(C126:J126)</f>
        <v>0</v>
      </c>
      <c r="L126" s="1990">
        <v>0</v>
      </c>
    </row>
    <row r="127" spans="1:14" ht="12.75" customHeight="1" thickTop="1" thickBot="1" x14ac:dyDescent="0.25">
      <c r="A127" s="1641" t="s">
        <v>719</v>
      </c>
      <c r="B127" s="1642" t="s">
        <v>35</v>
      </c>
      <c r="C127" s="1643">
        <f>SUM(C122:C126)</f>
        <v>197317</v>
      </c>
      <c r="D127" s="1643">
        <f t="shared" ref="D127:L127" si="14">SUM(D122:D126)</f>
        <v>18667</v>
      </c>
      <c r="E127" s="1643">
        <f t="shared" si="14"/>
        <v>457558</v>
      </c>
      <c r="F127" s="1643">
        <f t="shared" si="14"/>
        <v>438008</v>
      </c>
      <c r="G127" s="1643">
        <f t="shared" si="14"/>
        <v>107823</v>
      </c>
      <c r="H127" s="1643">
        <f t="shared" si="14"/>
        <v>75</v>
      </c>
      <c r="I127" s="1643">
        <f t="shared" si="14"/>
        <v>0</v>
      </c>
      <c r="J127" s="1643">
        <f t="shared" si="14"/>
        <v>0</v>
      </c>
      <c r="K127" s="1643">
        <f t="shared" si="14"/>
        <v>1219448</v>
      </c>
      <c r="L127" s="1643">
        <f t="shared" si="14"/>
        <v>1407500</v>
      </c>
    </row>
    <row r="128" spans="1:14" ht="12.75" customHeight="1" thickTop="1" x14ac:dyDescent="0.2">
      <c r="A128" s="1484" t="s">
        <v>980</v>
      </c>
      <c r="B128" s="631" t="s">
        <v>574</v>
      </c>
      <c r="C128" s="1984">
        <v>0</v>
      </c>
      <c r="D128" s="1984">
        <v>0</v>
      </c>
      <c r="E128" s="1984">
        <v>0</v>
      </c>
      <c r="F128" s="1984">
        <v>0</v>
      </c>
      <c r="G128" s="1984">
        <v>0</v>
      </c>
      <c r="H128" s="1984">
        <v>0</v>
      </c>
      <c r="I128" s="1978">
        <v>0</v>
      </c>
      <c r="J128" s="1978">
        <v>0</v>
      </c>
      <c r="K128" s="1658">
        <f>SUM(C128:J128)</f>
        <v>0</v>
      </c>
      <c r="L128" s="1984">
        <v>0</v>
      </c>
    </row>
    <row r="129" spans="1:14" ht="12.75" customHeight="1" thickBot="1" x14ac:dyDescent="0.25">
      <c r="A129" s="1659" t="s">
        <v>811</v>
      </c>
      <c r="B129" s="1660" t="s">
        <v>569</v>
      </c>
      <c r="C129" s="1650">
        <f>SUM(C120,C127,C128)</f>
        <v>197317</v>
      </c>
      <c r="D129" s="1650">
        <f t="shared" ref="D129:L129" si="15">SUM(D120,D127,D128)</f>
        <v>18667</v>
      </c>
      <c r="E129" s="1650">
        <f t="shared" si="15"/>
        <v>457558</v>
      </c>
      <c r="F129" s="1650">
        <f t="shared" si="15"/>
        <v>438008</v>
      </c>
      <c r="G129" s="1650">
        <f t="shared" si="15"/>
        <v>107823</v>
      </c>
      <c r="H129" s="1650">
        <f t="shared" si="15"/>
        <v>75</v>
      </c>
      <c r="I129" s="1650">
        <f t="shared" si="15"/>
        <v>0</v>
      </c>
      <c r="J129" s="1650">
        <f t="shared" si="15"/>
        <v>0</v>
      </c>
      <c r="K129" s="1650">
        <f t="shared" si="15"/>
        <v>1219448</v>
      </c>
      <c r="L129" s="1650">
        <f t="shared" si="15"/>
        <v>1407500</v>
      </c>
    </row>
    <row r="130" spans="1:14" ht="15.75" customHeight="1" thickTop="1" thickBot="1" x14ac:dyDescent="0.25">
      <c r="A130" s="1583" t="s">
        <v>1036</v>
      </c>
      <c r="B130" s="1584" t="s">
        <v>575</v>
      </c>
      <c r="C130" s="1981">
        <v>0</v>
      </c>
      <c r="D130" s="1981">
        <v>0</v>
      </c>
      <c r="E130" s="1981">
        <v>0</v>
      </c>
      <c r="F130" s="1981">
        <v>0</v>
      </c>
      <c r="G130" s="1981">
        <v>0</v>
      </c>
      <c r="H130" s="1981">
        <v>0</v>
      </c>
      <c r="I130" s="1976">
        <v>0</v>
      </c>
      <c r="J130" s="1976">
        <v>0</v>
      </c>
      <c r="K130" s="1643">
        <f>SUM(C130:J130)</f>
        <v>0</v>
      </c>
      <c r="L130" s="2003">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2">
        <v>0</v>
      </c>
      <c r="F133" s="467"/>
      <c r="G133" s="467"/>
      <c r="H133" s="1972">
        <v>0</v>
      </c>
      <c r="I133" s="467"/>
      <c r="J133" s="467"/>
      <c r="K133" s="1794">
        <f>SUM(E133,H133)</f>
        <v>0</v>
      </c>
      <c r="L133" s="1994">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9">
        <v>0</v>
      </c>
      <c r="F135" s="593"/>
      <c r="G135" s="593"/>
      <c r="H135" s="1968">
        <v>0</v>
      </c>
      <c r="I135" s="473"/>
      <c r="J135" s="593"/>
      <c r="K135" s="1645">
        <f>SUM(E135,H135)</f>
        <v>0</v>
      </c>
      <c r="L135" s="1990">
        <v>0</v>
      </c>
    </row>
    <row r="136" spans="1:14" x14ac:dyDescent="0.2">
      <c r="A136" s="1481" t="s">
        <v>698</v>
      </c>
      <c r="B136" s="605">
        <v>4190</v>
      </c>
      <c r="C136" s="593"/>
      <c r="D136" s="593"/>
      <c r="E136" s="1969">
        <v>0</v>
      </c>
      <c r="F136" s="593"/>
      <c r="G136" s="593"/>
      <c r="H136" s="1968">
        <v>0</v>
      </c>
      <c r="I136" s="473"/>
      <c r="J136" s="593"/>
      <c r="K136" s="1645">
        <f>SUM(E136,H136)</f>
        <v>0</v>
      </c>
      <c r="L136" s="1990">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1">
        <v>0</v>
      </c>
      <c r="I138" s="473"/>
      <c r="J138" s="593"/>
      <c r="K138" s="1645">
        <f>SUM(E138,H138)</f>
        <v>0</v>
      </c>
      <c r="L138" s="1981">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8">
        <v>0</v>
      </c>
      <c r="I143" s="467"/>
      <c r="J143" s="593"/>
      <c r="K143" s="1645">
        <f>SUM(H143)</f>
        <v>0</v>
      </c>
      <c r="L143" s="1990">
        <v>0</v>
      </c>
    </row>
    <row r="144" spans="1:14" ht="12.75" customHeight="1" x14ac:dyDescent="0.2">
      <c r="A144" s="1477" t="s">
        <v>1170</v>
      </c>
      <c r="B144" s="605" t="s">
        <v>617</v>
      </c>
      <c r="C144" s="593"/>
      <c r="D144" s="593"/>
      <c r="E144" s="593"/>
      <c r="F144" s="593"/>
      <c r="G144" s="593"/>
      <c r="H144" s="1968">
        <v>0</v>
      </c>
      <c r="I144" s="467"/>
      <c r="J144" s="593"/>
      <c r="K144" s="1645">
        <f>SUM(H144)</f>
        <v>0</v>
      </c>
      <c r="L144" s="1990">
        <v>0</v>
      </c>
    </row>
    <row r="145" spans="1:14" x14ac:dyDescent="0.2">
      <c r="A145" s="1477" t="s">
        <v>89</v>
      </c>
      <c r="B145" s="591" t="s">
        <v>589</v>
      </c>
      <c r="C145" s="593"/>
      <c r="D145" s="593"/>
      <c r="E145" s="593"/>
      <c r="F145" s="593"/>
      <c r="G145" s="593"/>
      <c r="H145" s="1968">
        <v>0</v>
      </c>
      <c r="I145" s="467"/>
      <c r="J145" s="593"/>
      <c r="K145" s="1645">
        <f>SUM(H145)</f>
        <v>0</v>
      </c>
      <c r="L145" s="1990">
        <v>0</v>
      </c>
    </row>
    <row r="146" spans="1:14" ht="12.75" customHeight="1" x14ac:dyDescent="0.2">
      <c r="A146" s="1477" t="s">
        <v>619</v>
      </c>
      <c r="B146" s="591" t="s">
        <v>618</v>
      </c>
      <c r="C146" s="593"/>
      <c r="D146" s="593"/>
      <c r="E146" s="593"/>
      <c r="F146" s="593"/>
      <c r="G146" s="593"/>
      <c r="H146" s="1968">
        <v>0</v>
      </c>
      <c r="I146" s="467"/>
      <c r="J146" s="593"/>
      <c r="K146" s="1645">
        <f>SUM(H146)</f>
        <v>0</v>
      </c>
      <c r="L146" s="1990">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3">
        <v>0</v>
      </c>
      <c r="I148" s="467"/>
      <c r="J148" s="593"/>
      <c r="K148" s="1645">
        <f>SUM(H148)</f>
        <v>0</v>
      </c>
      <c r="L148" s="1997">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2">
        <v>0</v>
      </c>
    </row>
    <row r="151" spans="1:14" ht="12.75" customHeight="1" thickTop="1" thickBot="1" x14ac:dyDescent="0.25">
      <c r="A151" s="2238" t="s">
        <v>620</v>
      </c>
      <c r="B151" s="2220"/>
      <c r="C151" s="1643">
        <f>SUM(C129,C130,C139,C149,C150)</f>
        <v>197317</v>
      </c>
      <c r="D151" s="1643">
        <f t="shared" ref="D151:K151" si="16">SUM(D129,D130,D139,D149,D150)</f>
        <v>18667</v>
      </c>
      <c r="E151" s="1643">
        <f t="shared" si="16"/>
        <v>457558</v>
      </c>
      <c r="F151" s="1643">
        <f t="shared" si="16"/>
        <v>438008</v>
      </c>
      <c r="G151" s="1643">
        <f t="shared" si="16"/>
        <v>107823</v>
      </c>
      <c r="H151" s="1643">
        <f t="shared" si="16"/>
        <v>75</v>
      </c>
      <c r="I151" s="1643">
        <f t="shared" si="16"/>
        <v>0</v>
      </c>
      <c r="J151" s="1643">
        <f t="shared" si="16"/>
        <v>0</v>
      </c>
      <c r="K151" s="1643">
        <f t="shared" si="16"/>
        <v>1219448</v>
      </c>
      <c r="L151" s="1643">
        <f>SUM(L129,L130,L139,L149,L150)</f>
        <v>1407500</v>
      </c>
    </row>
    <row r="152" spans="1:14" ht="12.75" customHeight="1" thickTop="1" x14ac:dyDescent="0.2">
      <c r="A152" s="2241" t="s">
        <v>1178</v>
      </c>
      <c r="B152" s="2242"/>
      <c r="C152" s="595"/>
      <c r="D152" s="595"/>
      <c r="E152" s="595"/>
      <c r="F152" s="595"/>
      <c r="G152" s="595"/>
      <c r="H152" s="595"/>
      <c r="I152" s="595"/>
      <c r="J152" s="593"/>
      <c r="K152" s="1657">
        <f>'Revenues 9-14'!D268-'Expenditures 15-22'!K151</f>
        <v>414002</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6" t="s">
        <v>621</v>
      </c>
      <c r="B154" s="2228"/>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2">
        <v>0</v>
      </c>
      <c r="I157" s="593"/>
      <c r="J157" s="593"/>
      <c r="K157" s="1644">
        <f>H157</f>
        <v>0</v>
      </c>
      <c r="L157" s="1991">
        <v>0</v>
      </c>
      <c r="M157" s="596"/>
      <c r="N157" s="596"/>
    </row>
    <row r="158" spans="1:14" s="597" customFormat="1" ht="12" x14ac:dyDescent="0.2">
      <c r="A158" s="1799" t="s">
        <v>304</v>
      </c>
      <c r="B158" s="1800" t="s">
        <v>1847</v>
      </c>
      <c r="C158" s="593"/>
      <c r="D158" s="593"/>
      <c r="E158" s="593"/>
      <c r="F158" s="593"/>
      <c r="G158" s="593"/>
      <c r="H158" s="1969">
        <v>0</v>
      </c>
      <c r="I158" s="593"/>
      <c r="J158" s="593"/>
      <c r="K158" s="1644">
        <f>H158</f>
        <v>0</v>
      </c>
      <c r="L158" s="1991">
        <v>0</v>
      </c>
      <c r="M158" s="596"/>
      <c r="N158" s="596"/>
    </row>
    <row r="159" spans="1:14" s="597" customFormat="1" ht="12" x14ac:dyDescent="0.2">
      <c r="A159" s="1799" t="s">
        <v>1848</v>
      </c>
      <c r="B159" s="1800" t="s">
        <v>558</v>
      </c>
      <c r="C159" s="593"/>
      <c r="D159" s="593"/>
      <c r="E159" s="593"/>
      <c r="F159" s="593"/>
      <c r="G159" s="593"/>
      <c r="H159" s="1969">
        <v>0</v>
      </c>
      <c r="I159" s="593"/>
      <c r="J159" s="593"/>
      <c r="K159" s="1644">
        <f>H159</f>
        <v>0</v>
      </c>
      <c r="L159" s="1991">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8">
        <v>0</v>
      </c>
      <c r="I163" s="593"/>
      <c r="J163" s="593"/>
      <c r="K163" s="1644">
        <f>SUM(C163:J163)</f>
        <v>0</v>
      </c>
      <c r="L163" s="1990">
        <v>0</v>
      </c>
    </row>
    <row r="164" spans="1:14" x14ac:dyDescent="0.2">
      <c r="A164" s="1477" t="s">
        <v>88</v>
      </c>
      <c r="B164" s="591">
        <v>5120</v>
      </c>
      <c r="C164" s="593"/>
      <c r="D164" s="593"/>
      <c r="E164" s="593"/>
      <c r="F164" s="593"/>
      <c r="G164" s="593"/>
      <c r="H164" s="1968">
        <v>0</v>
      </c>
      <c r="I164" s="593"/>
      <c r="J164" s="593"/>
      <c r="K164" s="1644">
        <f>SUM(C164:J164)</f>
        <v>0</v>
      </c>
      <c r="L164" s="1990">
        <v>0</v>
      </c>
    </row>
    <row r="165" spans="1:14" ht="12.75" customHeight="1" x14ac:dyDescent="0.2">
      <c r="A165" s="1477" t="s">
        <v>1170</v>
      </c>
      <c r="B165" s="591" t="s">
        <v>617</v>
      </c>
      <c r="C165" s="593"/>
      <c r="D165" s="593"/>
      <c r="E165" s="593"/>
      <c r="F165" s="593"/>
      <c r="G165" s="593"/>
      <c r="H165" s="1968">
        <v>0</v>
      </c>
      <c r="I165" s="593"/>
      <c r="J165" s="593"/>
      <c r="K165" s="1644">
        <f>SUM(C165:J165)</f>
        <v>0</v>
      </c>
      <c r="L165" s="1990">
        <v>0</v>
      </c>
    </row>
    <row r="166" spans="1:14" x14ac:dyDescent="0.2">
      <c r="A166" s="1477" t="s">
        <v>89</v>
      </c>
      <c r="B166" s="605" t="s">
        <v>589</v>
      </c>
      <c r="C166" s="593"/>
      <c r="D166" s="593"/>
      <c r="E166" s="593"/>
      <c r="F166" s="593"/>
      <c r="G166" s="593"/>
      <c r="H166" s="1968">
        <v>0</v>
      </c>
      <c r="I166" s="593"/>
      <c r="J166" s="593"/>
      <c r="K166" s="1644">
        <f>SUM(C166:J166)</f>
        <v>0</v>
      </c>
      <c r="L166" s="1990">
        <v>0</v>
      </c>
    </row>
    <row r="167" spans="1:14" ht="12.75" customHeight="1" x14ac:dyDescent="0.2">
      <c r="A167" s="1477" t="s">
        <v>619</v>
      </c>
      <c r="B167" s="591" t="s">
        <v>618</v>
      </c>
      <c r="C167" s="593"/>
      <c r="D167" s="593"/>
      <c r="E167" s="593"/>
      <c r="F167" s="593"/>
      <c r="G167" s="593"/>
      <c r="H167" s="1968">
        <v>0</v>
      </c>
      <c r="I167" s="593"/>
      <c r="J167" s="593"/>
      <c r="K167" s="1644">
        <f>SUM(C167:J167)</f>
        <v>0</v>
      </c>
      <c r="L167" s="1990">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4">
        <v>93330</v>
      </c>
      <c r="I169" s="593"/>
      <c r="J169" s="593"/>
      <c r="K169" s="1644">
        <f>SUM(C169:H169)</f>
        <v>93330</v>
      </c>
      <c r="L169" s="2005">
        <v>93330</v>
      </c>
    </row>
    <row r="170" spans="1:14" ht="33.75" customHeight="1" x14ac:dyDescent="0.2">
      <c r="A170" s="644" t="s">
        <v>1670</v>
      </c>
      <c r="B170" s="646" t="s">
        <v>31</v>
      </c>
      <c r="C170" s="593"/>
      <c r="D170" s="593"/>
      <c r="E170" s="593"/>
      <c r="F170" s="593"/>
      <c r="G170" s="593"/>
      <c r="H170" s="1974">
        <v>1785000</v>
      </c>
      <c r="I170" s="593"/>
      <c r="J170" s="593"/>
      <c r="K170" s="1644">
        <f>SUM(C170:J170)</f>
        <v>1785000</v>
      </c>
      <c r="L170" s="1996">
        <v>1785000</v>
      </c>
    </row>
    <row r="171" spans="1:14" ht="15.75" customHeight="1" x14ac:dyDescent="0.2">
      <c r="A171" s="598" t="s">
        <v>766</v>
      </c>
      <c r="B171" s="647" t="s">
        <v>84</v>
      </c>
      <c r="C171" s="593"/>
      <c r="D171" s="593"/>
      <c r="E171" s="1968">
        <v>0</v>
      </c>
      <c r="F171" s="593"/>
      <c r="G171" s="593"/>
      <c r="H171" s="1974">
        <v>1750</v>
      </c>
      <c r="I171" s="473"/>
      <c r="J171" s="593"/>
      <c r="K171" s="1644">
        <f>SUM(C171:J171)</f>
        <v>1750</v>
      </c>
      <c r="L171" s="1996">
        <v>45000</v>
      </c>
    </row>
    <row r="172" spans="1:14" ht="12.75" customHeight="1" thickBot="1" x14ac:dyDescent="0.25">
      <c r="A172" s="1641" t="s">
        <v>638</v>
      </c>
      <c r="B172" s="1642" t="s">
        <v>492</v>
      </c>
      <c r="C172" s="593"/>
      <c r="D172" s="593"/>
      <c r="E172" s="1650">
        <f>SUM(E168,E169,E170,E171)</f>
        <v>0</v>
      </c>
      <c r="F172" s="593"/>
      <c r="G172" s="593"/>
      <c r="H172" s="1650">
        <f>SUM(H168,H169,H170,H171)</f>
        <v>1880080</v>
      </c>
      <c r="I172" s="615"/>
      <c r="J172" s="593"/>
      <c r="K172" s="1650">
        <f>SUM(K168,K169,K170,K171)</f>
        <v>1880080</v>
      </c>
      <c r="L172" s="1650">
        <f>SUM(L168,L169,L170,L171)</f>
        <v>1923330</v>
      </c>
    </row>
    <row r="173" spans="1:14" ht="15.75" customHeight="1" thickTop="1" thickBot="1" x14ac:dyDescent="0.25">
      <c r="A173" s="1592" t="s">
        <v>85</v>
      </c>
      <c r="B173" s="1584" t="s">
        <v>861</v>
      </c>
      <c r="C173" s="593"/>
      <c r="D173" s="593"/>
      <c r="E173" s="600"/>
      <c r="F173" s="593"/>
      <c r="G173" s="593"/>
      <c r="H173" s="603"/>
      <c r="I173" s="615"/>
      <c r="J173" s="593"/>
      <c r="K173" s="600"/>
      <c r="L173" s="2003">
        <v>0</v>
      </c>
    </row>
    <row r="174" spans="1:14" ht="12.75" customHeight="1" thickTop="1" thickBot="1" x14ac:dyDescent="0.25">
      <c r="A174" s="1662" t="s">
        <v>90</v>
      </c>
      <c r="B174" s="1663"/>
      <c r="C174" s="593"/>
      <c r="D174" s="593"/>
      <c r="E174" s="1650">
        <f>SUM(E172,E173)</f>
        <v>0</v>
      </c>
      <c r="F174" s="593"/>
      <c r="G174" s="593"/>
      <c r="H174" s="1650">
        <f>SUM(H160,H172,H173)</f>
        <v>1880080</v>
      </c>
      <c r="I174" s="615"/>
      <c r="J174" s="593"/>
      <c r="K174" s="1650">
        <f>SUM(K160,K172,K173)</f>
        <v>1880080</v>
      </c>
      <c r="L174" s="1650">
        <f>SUM(L160,L172,L173)</f>
        <v>1923330</v>
      </c>
    </row>
    <row r="175" spans="1:14" ht="13.5" thickTop="1" x14ac:dyDescent="0.2">
      <c r="A175" s="2248" t="s">
        <v>996</v>
      </c>
      <c r="B175" s="2249"/>
      <c r="C175" s="593"/>
      <c r="D175" s="593"/>
      <c r="E175" s="593"/>
      <c r="F175" s="593"/>
      <c r="G175" s="593"/>
      <c r="H175" s="595"/>
      <c r="I175" s="593"/>
      <c r="J175" s="593"/>
      <c r="K175" s="1657">
        <f>'Revenues 9-14'!E268-'Expenditures 15-22'!K174</f>
        <v>-221392</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90">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8">
        <v>804385</v>
      </c>
      <c r="D182" s="1968">
        <v>238271</v>
      </c>
      <c r="E182" s="1968">
        <v>1243602</v>
      </c>
      <c r="F182" s="1968">
        <v>206674</v>
      </c>
      <c r="G182" s="1968">
        <v>583</v>
      </c>
      <c r="H182" s="1968">
        <v>935</v>
      </c>
      <c r="I182" s="1969">
        <v>0</v>
      </c>
      <c r="J182" s="1969">
        <v>0</v>
      </c>
      <c r="K182" s="1644">
        <f>SUM(C182:J182)</f>
        <v>2494450</v>
      </c>
      <c r="L182" s="1990">
        <v>2006000</v>
      </c>
    </row>
    <row r="183" spans="1:14" ht="12.75" customHeight="1" thickBot="1" x14ac:dyDescent="0.25">
      <c r="A183" s="1482" t="s">
        <v>980</v>
      </c>
      <c r="B183" s="652">
        <v>2900</v>
      </c>
      <c r="C183" s="1979">
        <v>0</v>
      </c>
      <c r="D183" s="1979">
        <v>0</v>
      </c>
      <c r="E183" s="1979">
        <v>0</v>
      </c>
      <c r="F183" s="1979">
        <v>0</v>
      </c>
      <c r="G183" s="1979">
        <v>0</v>
      </c>
      <c r="H183" s="1979">
        <v>0</v>
      </c>
      <c r="I183" s="1977">
        <v>0</v>
      </c>
      <c r="J183" s="1977">
        <v>0</v>
      </c>
      <c r="K183" s="1650">
        <f>SUM(C183:J183)</f>
        <v>0</v>
      </c>
      <c r="L183" s="2002">
        <v>0</v>
      </c>
    </row>
    <row r="184" spans="1:14" ht="12.75" customHeight="1" thickTop="1" thickBot="1" x14ac:dyDescent="0.25">
      <c r="A184" s="1664" t="s">
        <v>811</v>
      </c>
      <c r="B184" s="1642" t="s">
        <v>569</v>
      </c>
      <c r="C184" s="1650">
        <f>SUM(C180,C182,C183)</f>
        <v>804385</v>
      </c>
      <c r="D184" s="1650">
        <f t="shared" ref="D184:J184" si="17">SUM(D180,D182,D183)</f>
        <v>238271</v>
      </c>
      <c r="E184" s="1650">
        <f t="shared" si="17"/>
        <v>1243602</v>
      </c>
      <c r="F184" s="1650">
        <f t="shared" si="17"/>
        <v>206674</v>
      </c>
      <c r="G184" s="1650">
        <f t="shared" si="17"/>
        <v>583</v>
      </c>
      <c r="H184" s="1650">
        <f t="shared" si="17"/>
        <v>935</v>
      </c>
      <c r="I184" s="1650">
        <f t="shared" si="17"/>
        <v>0</v>
      </c>
      <c r="J184" s="1650">
        <f t="shared" si="17"/>
        <v>0</v>
      </c>
      <c r="K184" s="1650">
        <f>SUM(K180,K182,K183)</f>
        <v>2494450</v>
      </c>
      <c r="L184" s="1650">
        <f>SUM(L180, L182:L183)</f>
        <v>2006000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3">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8">
        <v>0</v>
      </c>
      <c r="F188" s="593"/>
      <c r="G188" s="593"/>
      <c r="H188" s="1968">
        <v>0</v>
      </c>
      <c r="I188" s="473"/>
      <c r="J188" s="593"/>
      <c r="K188" s="1644">
        <f t="shared" ref="K188:K193" si="18">SUM(E188,H188)</f>
        <v>0</v>
      </c>
      <c r="L188" s="1990">
        <v>0</v>
      </c>
    </row>
    <row r="189" spans="1:14" x14ac:dyDescent="0.2">
      <c r="A189" s="1477" t="s">
        <v>304</v>
      </c>
      <c r="B189" s="591">
        <v>4120</v>
      </c>
      <c r="C189" s="593"/>
      <c r="D189" s="593"/>
      <c r="E189" s="1968">
        <v>0</v>
      </c>
      <c r="F189" s="593"/>
      <c r="G189" s="593"/>
      <c r="H189" s="1968">
        <v>0</v>
      </c>
      <c r="I189" s="473"/>
      <c r="J189" s="593"/>
      <c r="K189" s="1644">
        <f t="shared" si="18"/>
        <v>0</v>
      </c>
      <c r="L189" s="1990">
        <v>0</v>
      </c>
    </row>
    <row r="190" spans="1:14" x14ac:dyDescent="0.2">
      <c r="A190" s="1477" t="s">
        <v>305</v>
      </c>
      <c r="B190" s="605">
        <v>4130</v>
      </c>
      <c r="C190" s="593"/>
      <c r="D190" s="593"/>
      <c r="E190" s="1968">
        <v>0</v>
      </c>
      <c r="F190" s="593"/>
      <c r="G190" s="593"/>
      <c r="H190" s="1968">
        <v>0</v>
      </c>
      <c r="I190" s="473"/>
      <c r="J190" s="593"/>
      <c r="K190" s="1644">
        <f t="shared" si="18"/>
        <v>0</v>
      </c>
      <c r="L190" s="1990">
        <v>0</v>
      </c>
    </row>
    <row r="191" spans="1:14" x14ac:dyDescent="0.2">
      <c r="A191" s="1477" t="s">
        <v>697</v>
      </c>
      <c r="B191" s="591">
        <v>4140</v>
      </c>
      <c r="C191" s="593"/>
      <c r="D191" s="593"/>
      <c r="E191" s="1968">
        <v>0</v>
      </c>
      <c r="F191" s="593"/>
      <c r="G191" s="593"/>
      <c r="H191" s="1968">
        <v>0</v>
      </c>
      <c r="I191" s="473"/>
      <c r="J191" s="593"/>
      <c r="K191" s="1644">
        <f t="shared" si="18"/>
        <v>0</v>
      </c>
      <c r="L191" s="1990">
        <v>0</v>
      </c>
    </row>
    <row r="192" spans="1:14" x14ac:dyDescent="0.2">
      <c r="A192" s="1477" t="s">
        <v>86</v>
      </c>
      <c r="B192" s="591">
        <v>4170</v>
      </c>
      <c r="C192" s="593"/>
      <c r="D192" s="593"/>
      <c r="E192" s="1968">
        <v>0</v>
      </c>
      <c r="F192" s="593"/>
      <c r="G192" s="593"/>
      <c r="H192" s="1968">
        <v>0</v>
      </c>
      <c r="I192" s="473"/>
      <c r="J192" s="593"/>
      <c r="K192" s="1644">
        <f t="shared" si="18"/>
        <v>0</v>
      </c>
      <c r="L192" s="1990">
        <v>0</v>
      </c>
    </row>
    <row r="193" spans="1:14" x14ac:dyDescent="0.2">
      <c r="A193" s="1481" t="s">
        <v>698</v>
      </c>
      <c r="B193" s="605">
        <v>4190</v>
      </c>
      <c r="C193" s="593"/>
      <c r="D193" s="593"/>
      <c r="E193" s="1968">
        <v>0</v>
      </c>
      <c r="F193" s="593"/>
      <c r="G193" s="593"/>
      <c r="H193" s="1968">
        <v>0</v>
      </c>
      <c r="I193" s="473"/>
      <c r="J193" s="593"/>
      <c r="K193" s="1644">
        <f t="shared" si="18"/>
        <v>0</v>
      </c>
      <c r="L193" s="1990">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4">
        <v>0</v>
      </c>
      <c r="F195" s="593"/>
      <c r="G195" s="593"/>
      <c r="H195" s="1984">
        <v>0</v>
      </c>
      <c r="I195" s="473"/>
      <c r="J195" s="593"/>
      <c r="K195" s="1658">
        <f>SUM(E195,H195)</f>
        <v>0</v>
      </c>
      <c r="L195" s="2005">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8">
        <v>0</v>
      </c>
      <c r="I199" s="593"/>
      <c r="J199" s="593"/>
      <c r="K199" s="1644">
        <f>SUM(H199)</f>
        <v>0</v>
      </c>
      <c r="L199" s="1990">
        <v>0</v>
      </c>
    </row>
    <row r="200" spans="1:14" x14ac:dyDescent="0.2">
      <c r="A200" s="1477" t="s">
        <v>88</v>
      </c>
      <c r="B200" s="591">
        <v>5120</v>
      </c>
      <c r="C200" s="593"/>
      <c r="D200" s="593"/>
      <c r="E200" s="593"/>
      <c r="F200" s="593"/>
      <c r="G200" s="593"/>
      <c r="H200" s="1968">
        <v>0</v>
      </c>
      <c r="I200" s="593"/>
      <c r="J200" s="593"/>
      <c r="K200" s="1644">
        <f>SUM(H200)</f>
        <v>0</v>
      </c>
      <c r="L200" s="1990">
        <v>0</v>
      </c>
    </row>
    <row r="201" spans="1:14" ht="12.75" customHeight="1" x14ac:dyDescent="0.2">
      <c r="A201" s="1477" t="s">
        <v>1170</v>
      </c>
      <c r="B201" s="605" t="s">
        <v>617</v>
      </c>
      <c r="C201" s="593"/>
      <c r="D201" s="593"/>
      <c r="E201" s="593"/>
      <c r="F201" s="593"/>
      <c r="G201" s="593"/>
      <c r="H201" s="1968">
        <v>0</v>
      </c>
      <c r="I201" s="593"/>
      <c r="J201" s="593"/>
      <c r="K201" s="1644">
        <f>SUM(H201)</f>
        <v>0</v>
      </c>
      <c r="L201" s="1990">
        <v>0</v>
      </c>
    </row>
    <row r="202" spans="1:14" x14ac:dyDescent="0.2">
      <c r="A202" s="1477" t="s">
        <v>89</v>
      </c>
      <c r="B202" s="591" t="s">
        <v>589</v>
      </c>
      <c r="C202" s="593"/>
      <c r="D202" s="593"/>
      <c r="E202" s="593"/>
      <c r="F202" s="593"/>
      <c r="G202" s="593"/>
      <c r="H202" s="1968">
        <v>0</v>
      </c>
      <c r="I202" s="593"/>
      <c r="J202" s="593"/>
      <c r="K202" s="1644">
        <f>SUM(H202)</f>
        <v>0</v>
      </c>
      <c r="L202" s="1990">
        <v>0</v>
      </c>
    </row>
    <row r="203" spans="1:14" x14ac:dyDescent="0.2">
      <c r="A203" s="1489" t="s">
        <v>619</v>
      </c>
      <c r="B203" s="591" t="s">
        <v>618</v>
      </c>
      <c r="C203" s="593"/>
      <c r="D203" s="593"/>
      <c r="E203" s="593"/>
      <c r="F203" s="593"/>
      <c r="G203" s="593"/>
      <c r="H203" s="1970">
        <v>0</v>
      </c>
      <c r="I203" s="593"/>
      <c r="J203" s="593"/>
      <c r="K203" s="1644">
        <f>SUM(H203)</f>
        <v>0</v>
      </c>
      <c r="L203" s="1992">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8">
        <v>0</v>
      </c>
      <c r="I205" s="593"/>
      <c r="J205" s="593"/>
      <c r="K205" s="1658">
        <f>SUM(H205)</f>
        <v>0</v>
      </c>
      <c r="L205" s="2001">
        <v>0</v>
      </c>
    </row>
    <row r="206" spans="1:14" ht="30" customHeight="1" x14ac:dyDescent="0.2">
      <c r="A206" s="656" t="s">
        <v>1671</v>
      </c>
      <c r="B206" s="647" t="s">
        <v>31</v>
      </c>
      <c r="C206" s="593"/>
      <c r="D206" s="593"/>
      <c r="E206" s="593"/>
      <c r="F206" s="593"/>
      <c r="G206" s="593"/>
      <c r="H206" s="1968">
        <v>0</v>
      </c>
      <c r="I206" s="593"/>
      <c r="J206" s="593"/>
      <c r="K206" s="1644">
        <f>SUM(H206)</f>
        <v>0</v>
      </c>
      <c r="L206" s="1990">
        <v>0</v>
      </c>
    </row>
    <row r="207" spans="1:14" ht="15.75" customHeight="1" x14ac:dyDescent="0.2">
      <c r="A207" s="598" t="s">
        <v>766</v>
      </c>
      <c r="B207" s="647" t="s">
        <v>84</v>
      </c>
      <c r="C207" s="593"/>
      <c r="D207" s="593"/>
      <c r="E207" s="593"/>
      <c r="F207" s="593"/>
      <c r="G207" s="593"/>
      <c r="H207" s="1969">
        <v>0</v>
      </c>
      <c r="I207" s="593"/>
      <c r="J207" s="593"/>
      <c r="K207" s="1644">
        <f>H207</f>
        <v>0</v>
      </c>
      <c r="L207" s="1990">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3">
        <v>0</v>
      </c>
    </row>
    <row r="210" spans="1:14" ht="12.75" customHeight="1" thickTop="1" thickBot="1" x14ac:dyDescent="0.25">
      <c r="A210" s="1665" t="s">
        <v>277</v>
      </c>
      <c r="B210" s="1666"/>
      <c r="C210" s="1643">
        <f>SUM(C184,C185)</f>
        <v>804385</v>
      </c>
      <c r="D210" s="1643">
        <f>SUM(D184,D185)</f>
        <v>238271</v>
      </c>
      <c r="E210" s="1643">
        <f>SUM(E184,E185,E196)</f>
        <v>1243602</v>
      </c>
      <c r="F210" s="1643">
        <f>SUM(F184,F185)</f>
        <v>206674</v>
      </c>
      <c r="G210" s="1643">
        <f>SUM(G184,G185)</f>
        <v>583</v>
      </c>
      <c r="H210" s="1643">
        <f>SUM(H184,H185,H196,H208,H209)</f>
        <v>935</v>
      </c>
      <c r="I210" s="1643">
        <f>SUM(I184,I185)</f>
        <v>0</v>
      </c>
      <c r="J210" s="1643">
        <f>SUM(J184,J185)</f>
        <v>0</v>
      </c>
      <c r="K210" s="1644">
        <f>SUM(K184,K185,K196,K208,K209)</f>
        <v>2494450</v>
      </c>
      <c r="L210" s="1643">
        <f>SUM(L184,L185,L196,L208,L209)</f>
        <v>2006000</v>
      </c>
    </row>
    <row r="211" spans="1:14" ht="13.5" thickTop="1" x14ac:dyDescent="0.2">
      <c r="A211" s="2248" t="s">
        <v>996</v>
      </c>
      <c r="B211" s="2249"/>
      <c r="C211" s="595"/>
      <c r="D211" s="595"/>
      <c r="E211" s="595"/>
      <c r="F211" s="595"/>
      <c r="G211" s="595"/>
      <c r="H211" s="595"/>
      <c r="I211" s="593"/>
      <c r="J211" s="593"/>
      <c r="K211" s="1657">
        <f>'Revenues 9-14'!F268-'Expenditures 15-22'!K210</f>
        <v>-655342</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3" t="s">
        <v>965</v>
      </c>
      <c r="B213" s="2244"/>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8">
        <v>40312</v>
      </c>
      <c r="E215" s="593"/>
      <c r="F215" s="593"/>
      <c r="G215" s="593"/>
      <c r="H215" s="593"/>
      <c r="I215" s="593"/>
      <c r="J215" s="593"/>
      <c r="K215" s="1644">
        <f>D215</f>
        <v>40312</v>
      </c>
      <c r="L215" s="1990">
        <v>45000</v>
      </c>
    </row>
    <row r="216" spans="1:14" x14ac:dyDescent="0.2">
      <c r="A216" s="1477" t="s">
        <v>163</v>
      </c>
      <c r="B216" s="591" t="s">
        <v>967</v>
      </c>
      <c r="C216" s="593"/>
      <c r="D216" s="1969">
        <v>0</v>
      </c>
      <c r="E216" s="593"/>
      <c r="F216" s="593"/>
      <c r="G216" s="593"/>
      <c r="H216" s="593"/>
      <c r="I216" s="593"/>
      <c r="J216" s="593"/>
      <c r="K216" s="1644">
        <f t="shared" ref="K216:K228" si="19">D216</f>
        <v>0</v>
      </c>
      <c r="L216" s="1990">
        <v>0</v>
      </c>
    </row>
    <row r="217" spans="1:14" x14ac:dyDescent="0.2">
      <c r="A217" s="1477" t="s">
        <v>164</v>
      </c>
      <c r="B217" s="591">
        <v>1200</v>
      </c>
      <c r="C217" s="593"/>
      <c r="D217" s="1968">
        <v>37978</v>
      </c>
      <c r="E217" s="593"/>
      <c r="F217" s="593"/>
      <c r="G217" s="593"/>
      <c r="H217" s="593"/>
      <c r="I217" s="593"/>
      <c r="J217" s="593"/>
      <c r="K217" s="1644">
        <f t="shared" si="19"/>
        <v>37978</v>
      </c>
      <c r="L217" s="1990">
        <v>40000</v>
      </c>
    </row>
    <row r="218" spans="1:14" x14ac:dyDescent="0.2">
      <c r="A218" s="1477" t="s">
        <v>278</v>
      </c>
      <c r="B218" s="591" t="s">
        <v>968</v>
      </c>
      <c r="C218" s="593"/>
      <c r="D218" s="1969">
        <v>0</v>
      </c>
      <c r="E218" s="593"/>
      <c r="F218" s="593"/>
      <c r="G218" s="593"/>
      <c r="H218" s="593"/>
      <c r="I218" s="593"/>
      <c r="J218" s="593"/>
      <c r="K218" s="1644">
        <f t="shared" si="19"/>
        <v>0</v>
      </c>
      <c r="L218" s="1990">
        <v>0</v>
      </c>
    </row>
    <row r="219" spans="1:14" x14ac:dyDescent="0.2">
      <c r="A219" s="1477" t="s">
        <v>279</v>
      </c>
      <c r="B219" s="591">
        <v>1250</v>
      </c>
      <c r="C219" s="593"/>
      <c r="D219" s="1968">
        <v>0</v>
      </c>
      <c r="E219" s="593"/>
      <c r="F219" s="593"/>
      <c r="G219" s="593"/>
      <c r="H219" s="593"/>
      <c r="I219" s="593"/>
      <c r="J219" s="593"/>
      <c r="K219" s="1644">
        <f t="shared" si="19"/>
        <v>0</v>
      </c>
      <c r="L219" s="1990">
        <v>0</v>
      </c>
    </row>
    <row r="220" spans="1:14" x14ac:dyDescent="0.2">
      <c r="A220" s="1477" t="s">
        <v>280</v>
      </c>
      <c r="B220" s="591" t="s">
        <v>161</v>
      </c>
      <c r="C220" s="593"/>
      <c r="D220" s="1969">
        <v>0</v>
      </c>
      <c r="E220" s="593"/>
      <c r="F220" s="593"/>
      <c r="G220" s="593"/>
      <c r="H220" s="593"/>
      <c r="I220" s="593"/>
      <c r="J220" s="593"/>
      <c r="K220" s="1644">
        <f t="shared" si="19"/>
        <v>0</v>
      </c>
      <c r="L220" s="1990">
        <v>0</v>
      </c>
    </row>
    <row r="221" spans="1:14" x14ac:dyDescent="0.2">
      <c r="A221" s="1477" t="s">
        <v>962</v>
      </c>
      <c r="B221" s="591">
        <v>1300</v>
      </c>
      <c r="C221" s="593"/>
      <c r="D221" s="1968">
        <v>0</v>
      </c>
      <c r="E221" s="593"/>
      <c r="F221" s="593"/>
      <c r="G221" s="593"/>
      <c r="H221" s="593"/>
      <c r="I221" s="593"/>
      <c r="J221" s="593"/>
      <c r="K221" s="1644">
        <f t="shared" si="19"/>
        <v>0</v>
      </c>
      <c r="L221" s="1990">
        <v>0</v>
      </c>
    </row>
    <row r="222" spans="1:14" x14ac:dyDescent="0.2">
      <c r="A222" s="1477" t="s">
        <v>723</v>
      </c>
      <c r="B222" s="591">
        <v>1400</v>
      </c>
      <c r="C222" s="593"/>
      <c r="D222" s="1968">
        <v>0</v>
      </c>
      <c r="E222" s="593"/>
      <c r="F222" s="593"/>
      <c r="G222" s="593"/>
      <c r="H222" s="593"/>
      <c r="I222" s="593"/>
      <c r="J222" s="593"/>
      <c r="K222" s="1644">
        <f t="shared" si="19"/>
        <v>0</v>
      </c>
      <c r="L222" s="1990">
        <v>0</v>
      </c>
    </row>
    <row r="223" spans="1:14" x14ac:dyDescent="0.2">
      <c r="A223" s="1477" t="s">
        <v>963</v>
      </c>
      <c r="B223" s="591">
        <v>1500</v>
      </c>
      <c r="C223" s="593"/>
      <c r="D223" s="1968">
        <v>26363</v>
      </c>
      <c r="E223" s="593"/>
      <c r="F223" s="593"/>
      <c r="G223" s="593"/>
      <c r="H223" s="593"/>
      <c r="I223" s="593"/>
      <c r="J223" s="593"/>
      <c r="K223" s="1644">
        <f t="shared" si="19"/>
        <v>26363</v>
      </c>
      <c r="L223" s="1990">
        <v>28500</v>
      </c>
    </row>
    <row r="224" spans="1:14" x14ac:dyDescent="0.2">
      <c r="A224" s="1477" t="s">
        <v>964</v>
      </c>
      <c r="B224" s="591">
        <v>1600</v>
      </c>
      <c r="C224" s="593"/>
      <c r="D224" s="1968">
        <v>0</v>
      </c>
      <c r="E224" s="593"/>
      <c r="F224" s="593"/>
      <c r="G224" s="593"/>
      <c r="H224" s="593"/>
      <c r="I224" s="593"/>
      <c r="J224" s="593"/>
      <c r="K224" s="1644">
        <f t="shared" si="19"/>
        <v>0</v>
      </c>
      <c r="L224" s="1990">
        <v>0</v>
      </c>
    </row>
    <row r="225" spans="1:12" x14ac:dyDescent="0.2">
      <c r="A225" s="1477" t="s">
        <v>987</v>
      </c>
      <c r="B225" s="591">
        <v>1650</v>
      </c>
      <c r="C225" s="593"/>
      <c r="D225" s="1968">
        <v>0</v>
      </c>
      <c r="E225" s="593"/>
      <c r="F225" s="593"/>
      <c r="G225" s="593"/>
      <c r="H225" s="593"/>
      <c r="I225" s="593"/>
      <c r="J225" s="593"/>
      <c r="K225" s="1644">
        <f t="shared" si="19"/>
        <v>0</v>
      </c>
      <c r="L225" s="1990">
        <v>0</v>
      </c>
    </row>
    <row r="226" spans="1:12" x14ac:dyDescent="0.2">
      <c r="A226" s="1477" t="s">
        <v>724</v>
      </c>
      <c r="B226" s="591" t="s">
        <v>162</v>
      </c>
      <c r="C226" s="593"/>
      <c r="D226" s="1969">
        <v>1301</v>
      </c>
      <c r="E226" s="593"/>
      <c r="F226" s="593"/>
      <c r="G226" s="593"/>
      <c r="H226" s="593"/>
      <c r="I226" s="593"/>
      <c r="J226" s="593"/>
      <c r="K226" s="1644">
        <f t="shared" si="19"/>
        <v>1301</v>
      </c>
      <c r="L226" s="1990">
        <v>1600</v>
      </c>
    </row>
    <row r="227" spans="1:12" x14ac:dyDescent="0.2">
      <c r="A227" s="1477" t="s">
        <v>1087</v>
      </c>
      <c r="B227" s="591">
        <v>1800</v>
      </c>
      <c r="C227" s="593"/>
      <c r="D227" s="1968">
        <v>0</v>
      </c>
      <c r="E227" s="593"/>
      <c r="F227" s="593"/>
      <c r="G227" s="593"/>
      <c r="H227" s="593"/>
      <c r="I227" s="593"/>
      <c r="J227" s="593"/>
      <c r="K227" s="1644">
        <f t="shared" si="19"/>
        <v>0</v>
      </c>
      <c r="L227" s="1990">
        <v>0</v>
      </c>
    </row>
    <row r="228" spans="1:12" x14ac:dyDescent="0.2">
      <c r="A228" s="1477" t="s">
        <v>1088</v>
      </c>
      <c r="B228" s="591">
        <v>1900</v>
      </c>
      <c r="C228" s="593"/>
      <c r="D228" s="1968">
        <v>0</v>
      </c>
      <c r="E228" s="593"/>
      <c r="F228" s="593"/>
      <c r="G228" s="593"/>
      <c r="H228" s="593"/>
      <c r="I228" s="593"/>
      <c r="J228" s="593"/>
      <c r="K228" s="1644">
        <f t="shared" si="19"/>
        <v>0</v>
      </c>
      <c r="L228" s="1990">
        <v>0</v>
      </c>
    </row>
    <row r="229" spans="1:12" ht="12.75" customHeight="1" thickBot="1" x14ac:dyDescent="0.25">
      <c r="A229" s="1641" t="s">
        <v>715</v>
      </c>
      <c r="B229" s="1648" t="s">
        <v>570</v>
      </c>
      <c r="C229" s="593"/>
      <c r="D229" s="1643">
        <f>SUM(D215:D228)</f>
        <v>105954</v>
      </c>
      <c r="E229" s="593"/>
      <c r="F229" s="593"/>
      <c r="G229" s="593"/>
      <c r="H229" s="593"/>
      <c r="I229" s="593"/>
      <c r="J229" s="593"/>
      <c r="K229" s="1643">
        <f>SUM(K215:K228)</f>
        <v>105954</v>
      </c>
      <c r="L229" s="1643">
        <f>SUM(L215:L228)</f>
        <v>115100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8">
        <v>2479</v>
      </c>
      <c r="E232" s="593"/>
      <c r="F232" s="593"/>
      <c r="G232" s="593"/>
      <c r="H232" s="593"/>
      <c r="I232" s="593"/>
      <c r="J232" s="593"/>
      <c r="K232" s="1644">
        <f t="shared" ref="K232:K237" si="20">D232</f>
        <v>2479</v>
      </c>
      <c r="L232" s="1990">
        <v>2000</v>
      </c>
    </row>
    <row r="233" spans="1:12" x14ac:dyDescent="0.2">
      <c r="A233" s="1477" t="s">
        <v>1090</v>
      </c>
      <c r="B233" s="591">
        <v>2120</v>
      </c>
      <c r="C233" s="593"/>
      <c r="D233" s="1968">
        <v>8903</v>
      </c>
      <c r="E233" s="593"/>
      <c r="F233" s="593"/>
      <c r="G233" s="593"/>
      <c r="H233" s="593"/>
      <c r="I233" s="593"/>
      <c r="J233" s="593"/>
      <c r="K233" s="1644">
        <f t="shared" si="20"/>
        <v>8903</v>
      </c>
      <c r="L233" s="1990">
        <v>9500</v>
      </c>
    </row>
    <row r="234" spans="1:12" x14ac:dyDescent="0.2">
      <c r="A234" s="1477" t="s">
        <v>198</v>
      </c>
      <c r="B234" s="591">
        <v>2130</v>
      </c>
      <c r="C234" s="593"/>
      <c r="D234" s="1968">
        <v>5281</v>
      </c>
      <c r="E234" s="593"/>
      <c r="F234" s="593"/>
      <c r="G234" s="593"/>
      <c r="H234" s="593"/>
      <c r="I234" s="593"/>
      <c r="J234" s="593"/>
      <c r="K234" s="1644">
        <f t="shared" si="20"/>
        <v>5281</v>
      </c>
      <c r="L234" s="1990">
        <v>8150</v>
      </c>
    </row>
    <row r="235" spans="1:12" x14ac:dyDescent="0.2">
      <c r="A235" s="1477" t="s">
        <v>199</v>
      </c>
      <c r="B235" s="591">
        <v>2140</v>
      </c>
      <c r="C235" s="593"/>
      <c r="D235" s="1968">
        <v>1791</v>
      </c>
      <c r="E235" s="593"/>
      <c r="F235" s="593"/>
      <c r="G235" s="593"/>
      <c r="H235" s="593"/>
      <c r="I235" s="593"/>
      <c r="J235" s="593"/>
      <c r="K235" s="1644">
        <f t="shared" si="20"/>
        <v>1791</v>
      </c>
      <c r="L235" s="1990">
        <v>2000</v>
      </c>
    </row>
    <row r="236" spans="1:12" x14ac:dyDescent="0.2">
      <c r="A236" s="1477" t="s">
        <v>200</v>
      </c>
      <c r="B236" s="591">
        <v>2150</v>
      </c>
      <c r="C236" s="593"/>
      <c r="D236" s="1968">
        <v>0</v>
      </c>
      <c r="E236" s="593"/>
      <c r="F236" s="593"/>
      <c r="G236" s="593"/>
      <c r="H236" s="593"/>
      <c r="I236" s="593"/>
      <c r="J236" s="593"/>
      <c r="K236" s="1644">
        <f t="shared" si="20"/>
        <v>0</v>
      </c>
      <c r="L236" s="1990">
        <v>0</v>
      </c>
    </row>
    <row r="237" spans="1:12" x14ac:dyDescent="0.2">
      <c r="A237" s="1477" t="s">
        <v>165</v>
      </c>
      <c r="B237" s="591">
        <v>2190</v>
      </c>
      <c r="C237" s="593"/>
      <c r="D237" s="1968">
        <v>0</v>
      </c>
      <c r="E237" s="593"/>
      <c r="F237" s="593"/>
      <c r="G237" s="593"/>
      <c r="H237" s="593"/>
      <c r="I237" s="593"/>
      <c r="J237" s="593"/>
      <c r="K237" s="1644">
        <f t="shared" si="20"/>
        <v>0</v>
      </c>
      <c r="L237" s="1990">
        <v>0</v>
      </c>
    </row>
    <row r="238" spans="1:12" ht="12.75" customHeight="1" thickBot="1" x14ac:dyDescent="0.25">
      <c r="A238" s="1641" t="s">
        <v>560</v>
      </c>
      <c r="B238" s="1648" t="s">
        <v>716</v>
      </c>
      <c r="C238" s="593"/>
      <c r="D238" s="1643">
        <f>SUM(D232:D237)</f>
        <v>18454</v>
      </c>
      <c r="E238" s="593"/>
      <c r="F238" s="593"/>
      <c r="G238" s="593"/>
      <c r="H238" s="593"/>
      <c r="I238" s="593"/>
      <c r="J238" s="593"/>
      <c r="K238" s="1643">
        <f>SUM(K232:K237)</f>
        <v>18454</v>
      </c>
      <c r="L238" s="1643">
        <f>SUM(L232:L237)</f>
        <v>21650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2884</v>
      </c>
      <c r="E240" s="593"/>
      <c r="F240" s="593"/>
      <c r="G240" s="593"/>
      <c r="H240" s="593"/>
      <c r="I240" s="593"/>
      <c r="J240" s="593"/>
      <c r="K240" s="1645">
        <f>D240</f>
        <v>2884</v>
      </c>
      <c r="L240" s="477">
        <v>150</v>
      </c>
    </row>
    <row r="241" spans="1:12" x14ac:dyDescent="0.2">
      <c r="A241" s="1477" t="s">
        <v>815</v>
      </c>
      <c r="B241" s="591">
        <v>2220</v>
      </c>
      <c r="C241" s="593"/>
      <c r="D241" s="1968">
        <v>6609</v>
      </c>
      <c r="E241" s="593"/>
      <c r="F241" s="593"/>
      <c r="G241" s="593"/>
      <c r="H241" s="593"/>
      <c r="I241" s="593"/>
      <c r="J241" s="593"/>
      <c r="K241" s="1645">
        <f>D241</f>
        <v>6609</v>
      </c>
      <c r="L241" s="1990">
        <v>7500</v>
      </c>
    </row>
    <row r="242" spans="1:12" x14ac:dyDescent="0.2">
      <c r="A242" s="1477" t="s">
        <v>816</v>
      </c>
      <c r="B242" s="591">
        <v>2230</v>
      </c>
      <c r="C242" s="593"/>
      <c r="D242" s="1968">
        <v>0</v>
      </c>
      <c r="E242" s="593"/>
      <c r="F242" s="593"/>
      <c r="G242" s="593"/>
      <c r="H242" s="593"/>
      <c r="I242" s="593"/>
      <c r="J242" s="593"/>
      <c r="K242" s="1645">
        <f>D242</f>
        <v>0</v>
      </c>
      <c r="L242" s="1990">
        <v>0</v>
      </c>
    </row>
    <row r="243" spans="1:12" ht="12.75" customHeight="1" thickBot="1" x14ac:dyDescent="0.25">
      <c r="A243" s="1667" t="s">
        <v>561</v>
      </c>
      <c r="B243" s="1668">
        <v>2200</v>
      </c>
      <c r="C243" s="593"/>
      <c r="D243" s="1643">
        <f>SUM(D240:D242)</f>
        <v>9493</v>
      </c>
      <c r="E243" s="593"/>
      <c r="F243" s="593"/>
      <c r="G243" s="593"/>
      <c r="H243" s="593"/>
      <c r="I243" s="593"/>
      <c r="J243" s="593"/>
      <c r="K243" s="1643">
        <f>SUM(K240:K242)</f>
        <v>9493</v>
      </c>
      <c r="L243" s="1643">
        <f>SUM(L240:L242)</f>
        <v>7650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6500</v>
      </c>
    </row>
    <row r="246" spans="1:12" x14ac:dyDescent="0.2">
      <c r="A246" s="1477" t="s">
        <v>818</v>
      </c>
      <c r="B246" s="591">
        <v>2320</v>
      </c>
      <c r="C246" s="593"/>
      <c r="D246" s="1968">
        <v>1047</v>
      </c>
      <c r="E246" s="593"/>
      <c r="F246" s="593"/>
      <c r="G246" s="593"/>
      <c r="H246" s="593"/>
      <c r="I246" s="593"/>
      <c r="J246" s="593"/>
      <c r="K246" s="1645">
        <f t="shared" ref="K246:K256" si="21">D246</f>
        <v>1047</v>
      </c>
      <c r="L246" s="1990">
        <v>1250</v>
      </c>
    </row>
    <row r="247" spans="1:12" x14ac:dyDescent="0.2">
      <c r="A247" s="1477" t="s">
        <v>819</v>
      </c>
      <c r="B247" s="591">
        <v>2330</v>
      </c>
      <c r="C247" s="593"/>
      <c r="D247" s="1968">
        <v>0</v>
      </c>
      <c r="E247" s="593"/>
      <c r="F247" s="593"/>
      <c r="G247" s="593"/>
      <c r="H247" s="593"/>
      <c r="I247" s="593"/>
      <c r="J247" s="593"/>
      <c r="K247" s="1645">
        <f t="shared" si="21"/>
        <v>0</v>
      </c>
      <c r="L247" s="1990">
        <v>0</v>
      </c>
    </row>
    <row r="248" spans="1:12" x14ac:dyDescent="0.2">
      <c r="A248" s="1478" t="s">
        <v>299</v>
      </c>
      <c r="B248" s="579" t="s">
        <v>281</v>
      </c>
      <c r="C248" s="593"/>
      <c r="D248" s="1971">
        <v>0</v>
      </c>
      <c r="E248" s="593"/>
      <c r="F248" s="593"/>
      <c r="G248" s="593"/>
      <c r="H248" s="593"/>
      <c r="I248" s="593"/>
      <c r="J248" s="593"/>
      <c r="K248" s="1645">
        <f t="shared" si="21"/>
        <v>0</v>
      </c>
      <c r="L248" s="1990">
        <v>0</v>
      </c>
    </row>
    <row r="249" spans="1:12" x14ac:dyDescent="0.2">
      <c r="A249" s="1479" t="s">
        <v>1805</v>
      </c>
      <c r="B249" s="658" t="s">
        <v>282</v>
      </c>
      <c r="C249" s="593"/>
      <c r="D249" s="1971">
        <v>0</v>
      </c>
      <c r="E249" s="593"/>
      <c r="F249" s="593"/>
      <c r="G249" s="593"/>
      <c r="H249" s="593"/>
      <c r="I249" s="593"/>
      <c r="J249" s="593"/>
      <c r="K249" s="1645">
        <f t="shared" si="21"/>
        <v>0</v>
      </c>
      <c r="L249" s="1990">
        <v>0</v>
      </c>
    </row>
    <row r="250" spans="1:12" x14ac:dyDescent="0.2">
      <c r="A250" s="1478" t="s">
        <v>1806</v>
      </c>
      <c r="B250" s="579" t="s">
        <v>283</v>
      </c>
      <c r="C250" s="593"/>
      <c r="D250" s="1971">
        <v>0</v>
      </c>
      <c r="E250" s="593"/>
      <c r="F250" s="593"/>
      <c r="G250" s="593"/>
      <c r="H250" s="593"/>
      <c r="I250" s="593"/>
      <c r="J250" s="593"/>
      <c r="K250" s="1645">
        <f t="shared" si="21"/>
        <v>0</v>
      </c>
      <c r="L250" s="1990">
        <v>0</v>
      </c>
    </row>
    <row r="251" spans="1:12" x14ac:dyDescent="0.2">
      <c r="A251" s="1478" t="s">
        <v>238</v>
      </c>
      <c r="B251" s="579" t="s">
        <v>284</v>
      </c>
      <c r="C251" s="593"/>
      <c r="D251" s="1971">
        <v>0</v>
      </c>
      <c r="E251" s="593"/>
      <c r="F251" s="593"/>
      <c r="G251" s="593"/>
      <c r="H251" s="593"/>
      <c r="I251" s="593"/>
      <c r="J251" s="593"/>
      <c r="K251" s="1645">
        <f t="shared" si="21"/>
        <v>0</v>
      </c>
      <c r="L251" s="1990">
        <v>0</v>
      </c>
    </row>
    <row r="252" spans="1:12" x14ac:dyDescent="0.2">
      <c r="A252" s="1478" t="s">
        <v>702</v>
      </c>
      <c r="B252" s="579" t="s">
        <v>285</v>
      </c>
      <c r="C252" s="593"/>
      <c r="D252" s="1971">
        <v>0</v>
      </c>
      <c r="E252" s="593"/>
      <c r="F252" s="593"/>
      <c r="G252" s="593"/>
      <c r="H252" s="593"/>
      <c r="I252" s="593"/>
      <c r="J252" s="593"/>
      <c r="K252" s="1645">
        <f t="shared" si="21"/>
        <v>0</v>
      </c>
      <c r="L252" s="1990">
        <v>0</v>
      </c>
    </row>
    <row r="253" spans="1:12" x14ac:dyDescent="0.2">
      <c r="A253" s="1478" t="s">
        <v>239</v>
      </c>
      <c r="B253" s="579" t="s">
        <v>286</v>
      </c>
      <c r="C253" s="593"/>
      <c r="D253" s="1971">
        <v>0</v>
      </c>
      <c r="E253" s="593"/>
      <c r="F253" s="593"/>
      <c r="G253" s="593"/>
      <c r="H253" s="593"/>
      <c r="I253" s="593"/>
      <c r="J253" s="593"/>
      <c r="K253" s="1645">
        <f t="shared" si="21"/>
        <v>0</v>
      </c>
      <c r="L253" s="1990">
        <v>0</v>
      </c>
    </row>
    <row r="254" spans="1:12" ht="22.5" x14ac:dyDescent="0.2">
      <c r="A254" s="1478" t="s">
        <v>1029</v>
      </c>
      <c r="B254" s="658" t="s">
        <v>287</v>
      </c>
      <c r="C254" s="593"/>
      <c r="D254" s="1971">
        <v>0</v>
      </c>
      <c r="E254" s="593"/>
      <c r="F254" s="593"/>
      <c r="G254" s="593"/>
      <c r="H254" s="593"/>
      <c r="I254" s="593"/>
      <c r="J254" s="593"/>
      <c r="K254" s="1645">
        <f t="shared" si="21"/>
        <v>0</v>
      </c>
      <c r="L254" s="1990">
        <v>0</v>
      </c>
    </row>
    <row r="255" spans="1:12" x14ac:dyDescent="0.2">
      <c r="A255" s="1478" t="s">
        <v>1030</v>
      </c>
      <c r="B255" s="579" t="s">
        <v>288</v>
      </c>
      <c r="C255" s="593"/>
      <c r="D255" s="1971">
        <v>0</v>
      </c>
      <c r="E255" s="593"/>
      <c r="F255" s="593"/>
      <c r="G255" s="593"/>
      <c r="H255" s="593"/>
      <c r="I255" s="593"/>
      <c r="J255" s="593"/>
      <c r="K255" s="1645">
        <f t="shared" si="21"/>
        <v>0</v>
      </c>
      <c r="L255" s="1990">
        <v>0</v>
      </c>
    </row>
    <row r="256" spans="1:12" x14ac:dyDescent="0.2">
      <c r="A256" s="1478" t="s">
        <v>971</v>
      </c>
      <c r="B256" s="591" t="s">
        <v>289</v>
      </c>
      <c r="C256" s="593"/>
      <c r="D256" s="1971">
        <v>0</v>
      </c>
      <c r="E256" s="593"/>
      <c r="F256" s="593"/>
      <c r="G256" s="593"/>
      <c r="H256" s="593"/>
      <c r="I256" s="593"/>
      <c r="J256" s="593"/>
      <c r="K256" s="1645">
        <f t="shared" si="21"/>
        <v>0</v>
      </c>
      <c r="L256" s="1990">
        <v>0</v>
      </c>
    </row>
    <row r="257" spans="1:14" ht="12.75" customHeight="1" thickBot="1" x14ac:dyDescent="0.25">
      <c r="A257" s="1641" t="s">
        <v>717</v>
      </c>
      <c r="B257" s="1669">
        <v>2300</v>
      </c>
      <c r="C257" s="593"/>
      <c r="D257" s="1643">
        <f>SUM(D245:D256)</f>
        <v>1047</v>
      </c>
      <c r="E257" s="593"/>
      <c r="F257" s="593"/>
      <c r="G257" s="593"/>
      <c r="H257" s="593"/>
      <c r="I257" s="593"/>
      <c r="J257" s="593"/>
      <c r="K257" s="1643">
        <f>SUM(K245:K256)</f>
        <v>1047</v>
      </c>
      <c r="L257" s="1643">
        <f>SUM(L245:L256)</f>
        <v>7750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17201</v>
      </c>
      <c r="E259" s="593"/>
      <c r="F259" s="593"/>
      <c r="G259" s="593"/>
      <c r="H259" s="593"/>
      <c r="I259" s="593"/>
      <c r="J259" s="593"/>
      <c r="K259" s="1645">
        <f>D259</f>
        <v>17201</v>
      </c>
      <c r="L259" s="477">
        <v>17500</v>
      </c>
    </row>
    <row r="260" spans="1:14" s="574" customFormat="1" x14ac:dyDescent="0.2">
      <c r="A260" s="1495" t="s">
        <v>1804</v>
      </c>
      <c r="B260" s="605">
        <v>2490</v>
      </c>
      <c r="C260" s="593"/>
      <c r="D260" s="1968">
        <v>0</v>
      </c>
      <c r="E260" s="593"/>
      <c r="F260" s="593"/>
      <c r="G260" s="593"/>
      <c r="H260" s="593"/>
      <c r="I260" s="593"/>
      <c r="J260" s="593"/>
      <c r="K260" s="1645">
        <f>D260</f>
        <v>0</v>
      </c>
      <c r="L260" s="1990">
        <v>0</v>
      </c>
      <c r="M260" s="210"/>
      <c r="N260" s="210"/>
    </row>
    <row r="261" spans="1:14" ht="12.75" customHeight="1" thickBot="1" x14ac:dyDescent="0.25">
      <c r="A261" s="1665" t="s">
        <v>263</v>
      </c>
      <c r="B261" s="1670" t="s">
        <v>34</v>
      </c>
      <c r="C261" s="593"/>
      <c r="D261" s="1643">
        <f>SUM(D259:D260)</f>
        <v>17201</v>
      </c>
      <c r="E261" s="593"/>
      <c r="F261" s="593"/>
      <c r="G261" s="593"/>
      <c r="H261" s="593"/>
      <c r="I261" s="593"/>
      <c r="J261" s="593"/>
      <c r="K261" s="1643">
        <f>SUM(K259:K260)</f>
        <v>17201</v>
      </c>
      <c r="L261" s="1643">
        <f>SUM(L259:L260)</f>
        <v>17500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8">
        <v>1584</v>
      </c>
      <c r="E263" s="593"/>
      <c r="F263" s="593"/>
      <c r="G263" s="593"/>
      <c r="H263" s="593"/>
      <c r="I263" s="593"/>
      <c r="J263" s="593"/>
      <c r="K263" s="1645">
        <f>D263</f>
        <v>1584</v>
      </c>
      <c r="L263" s="477">
        <v>2000</v>
      </c>
    </row>
    <row r="264" spans="1:14" x14ac:dyDescent="0.2">
      <c r="A264" s="1477" t="s">
        <v>463</v>
      </c>
      <c r="B264" s="660">
        <v>2520</v>
      </c>
      <c r="C264" s="593"/>
      <c r="D264" s="1968">
        <v>6830</v>
      </c>
      <c r="E264" s="593"/>
      <c r="F264" s="593"/>
      <c r="G264" s="593"/>
      <c r="H264" s="593"/>
      <c r="I264" s="593"/>
      <c r="J264" s="593"/>
      <c r="K264" s="1645">
        <f t="shared" ref="K264:K269" si="22">D264</f>
        <v>6830</v>
      </c>
      <c r="L264" s="1990">
        <v>7000</v>
      </c>
    </row>
    <row r="265" spans="1:14" x14ac:dyDescent="0.2">
      <c r="A265" s="1477" t="s">
        <v>4</v>
      </c>
      <c r="B265" s="591">
        <v>2530</v>
      </c>
      <c r="C265" s="593"/>
      <c r="D265" s="1968">
        <v>0</v>
      </c>
      <c r="E265" s="593"/>
      <c r="F265" s="593"/>
      <c r="G265" s="593"/>
      <c r="H265" s="593"/>
      <c r="I265" s="593"/>
      <c r="J265" s="593"/>
      <c r="K265" s="1645">
        <f t="shared" si="22"/>
        <v>0</v>
      </c>
      <c r="L265" s="1990">
        <v>0</v>
      </c>
    </row>
    <row r="266" spans="1:14" x14ac:dyDescent="0.2">
      <c r="A266" s="1477" t="s">
        <v>197</v>
      </c>
      <c r="B266" s="591">
        <v>2540</v>
      </c>
      <c r="C266" s="593"/>
      <c r="D266" s="1968">
        <v>32016</v>
      </c>
      <c r="E266" s="593"/>
      <c r="F266" s="593"/>
      <c r="G266" s="593"/>
      <c r="H266" s="593"/>
      <c r="I266" s="593"/>
      <c r="J266" s="593"/>
      <c r="K266" s="1645">
        <f t="shared" si="22"/>
        <v>32016</v>
      </c>
      <c r="L266" s="1990">
        <v>38500</v>
      </c>
    </row>
    <row r="267" spans="1:14" x14ac:dyDescent="0.2">
      <c r="A267" s="1477" t="s">
        <v>953</v>
      </c>
      <c r="B267" s="591">
        <v>2550</v>
      </c>
      <c r="C267" s="593"/>
      <c r="D267" s="1968">
        <v>135431</v>
      </c>
      <c r="E267" s="593"/>
      <c r="F267" s="593"/>
      <c r="G267" s="593"/>
      <c r="H267" s="593"/>
      <c r="I267" s="593"/>
      <c r="J267" s="593"/>
      <c r="K267" s="1645">
        <f t="shared" si="22"/>
        <v>135431</v>
      </c>
      <c r="L267" s="1990">
        <v>150000</v>
      </c>
    </row>
    <row r="268" spans="1:14" x14ac:dyDescent="0.2">
      <c r="A268" s="1477" t="s">
        <v>100</v>
      </c>
      <c r="B268" s="591">
        <v>2560</v>
      </c>
      <c r="C268" s="593"/>
      <c r="D268" s="1968">
        <v>3212</v>
      </c>
      <c r="E268" s="593"/>
      <c r="F268" s="593"/>
      <c r="G268" s="593"/>
      <c r="H268" s="593"/>
      <c r="I268" s="593"/>
      <c r="J268" s="593"/>
      <c r="K268" s="1645">
        <f t="shared" si="22"/>
        <v>3212</v>
      </c>
      <c r="L268" s="1990">
        <v>3500</v>
      </c>
    </row>
    <row r="269" spans="1:14" x14ac:dyDescent="0.2">
      <c r="A269" s="1477" t="s">
        <v>101</v>
      </c>
      <c r="B269" s="591">
        <v>2570</v>
      </c>
      <c r="C269" s="593"/>
      <c r="D269" s="1968">
        <v>0</v>
      </c>
      <c r="E269" s="593"/>
      <c r="F269" s="593"/>
      <c r="G269" s="593"/>
      <c r="H269" s="593"/>
      <c r="I269" s="593"/>
      <c r="J269" s="593"/>
      <c r="K269" s="1645">
        <f t="shared" si="22"/>
        <v>0</v>
      </c>
      <c r="L269" s="1990">
        <v>0</v>
      </c>
    </row>
    <row r="270" spans="1:14" ht="12.75" customHeight="1" thickBot="1" x14ac:dyDescent="0.25">
      <c r="A270" s="1641" t="s">
        <v>719</v>
      </c>
      <c r="B270" s="1648" t="s">
        <v>35</v>
      </c>
      <c r="C270" s="593"/>
      <c r="D270" s="1643">
        <f>SUM(D263:D269)</f>
        <v>179073</v>
      </c>
      <c r="E270" s="593"/>
      <c r="F270" s="593"/>
      <c r="G270" s="593"/>
      <c r="H270" s="593"/>
      <c r="I270" s="593"/>
      <c r="J270" s="593"/>
      <c r="K270" s="1643">
        <f>SUM(K263:K269)</f>
        <v>179073</v>
      </c>
      <c r="L270" s="1643">
        <f>SUM(L263:L269)</f>
        <v>201000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8">
        <v>0</v>
      </c>
      <c r="E273" s="593"/>
      <c r="F273" s="593"/>
      <c r="G273" s="593"/>
      <c r="H273" s="593"/>
      <c r="I273" s="593"/>
      <c r="J273" s="593"/>
      <c r="K273" s="1645">
        <f>D273</f>
        <v>0</v>
      </c>
      <c r="L273" s="1990">
        <v>0</v>
      </c>
    </row>
    <row r="274" spans="1:12" ht="12" customHeight="1" x14ac:dyDescent="0.2">
      <c r="A274" s="1477" t="s">
        <v>1061</v>
      </c>
      <c r="B274" s="591">
        <v>2630</v>
      </c>
      <c r="C274" s="593"/>
      <c r="D274" s="1968">
        <v>0</v>
      </c>
      <c r="E274" s="593"/>
      <c r="F274" s="593"/>
      <c r="G274" s="593"/>
      <c r="H274" s="593"/>
      <c r="I274" s="593"/>
      <c r="J274" s="593"/>
      <c r="K274" s="1645">
        <f>D274</f>
        <v>0</v>
      </c>
      <c r="L274" s="1990">
        <v>0</v>
      </c>
    </row>
    <row r="275" spans="1:12" x14ac:dyDescent="0.2">
      <c r="A275" s="1477" t="s">
        <v>403</v>
      </c>
      <c r="B275" s="591">
        <v>2640</v>
      </c>
      <c r="C275" s="593"/>
      <c r="D275" s="1968">
        <v>0</v>
      </c>
      <c r="E275" s="593"/>
      <c r="F275" s="593"/>
      <c r="G275" s="593"/>
      <c r="H275" s="593"/>
      <c r="I275" s="593"/>
      <c r="J275" s="593"/>
      <c r="K275" s="1645">
        <f>D275</f>
        <v>0</v>
      </c>
      <c r="L275" s="1990">
        <v>0</v>
      </c>
    </row>
    <row r="276" spans="1:12" x14ac:dyDescent="0.2">
      <c r="A276" s="1477" t="s">
        <v>404</v>
      </c>
      <c r="B276" s="591">
        <v>2660</v>
      </c>
      <c r="C276" s="593"/>
      <c r="D276" s="1968">
        <v>23690</v>
      </c>
      <c r="E276" s="593"/>
      <c r="F276" s="593"/>
      <c r="G276" s="593"/>
      <c r="H276" s="593"/>
      <c r="I276" s="593"/>
      <c r="J276" s="593"/>
      <c r="K276" s="1645">
        <f>D276</f>
        <v>23690</v>
      </c>
      <c r="L276" s="1990">
        <v>25000</v>
      </c>
    </row>
    <row r="277" spans="1:12" ht="12.75" customHeight="1" thickBot="1" x14ac:dyDescent="0.25">
      <c r="A277" s="1664" t="s">
        <v>37</v>
      </c>
      <c r="B277" s="1642" t="s">
        <v>36</v>
      </c>
      <c r="C277" s="593"/>
      <c r="D277" s="1643">
        <f>SUM(D272:D276)</f>
        <v>23690</v>
      </c>
      <c r="E277" s="593"/>
      <c r="F277" s="593"/>
      <c r="G277" s="593"/>
      <c r="H277" s="593"/>
      <c r="I277" s="593"/>
      <c r="J277" s="593"/>
      <c r="K277" s="1643">
        <f>SUM(K272:K276)</f>
        <v>23690</v>
      </c>
      <c r="L277" s="1643">
        <f>SUM(L272:L276)</f>
        <v>25000</v>
      </c>
    </row>
    <row r="278" spans="1:12" ht="13.5" customHeight="1" thickTop="1" x14ac:dyDescent="0.2">
      <c r="A278" s="1483" t="s">
        <v>980</v>
      </c>
      <c r="B278" s="631" t="s">
        <v>574</v>
      </c>
      <c r="C278" s="593"/>
      <c r="D278" s="1984">
        <v>0</v>
      </c>
      <c r="E278" s="593"/>
      <c r="F278" s="593"/>
      <c r="G278" s="593"/>
      <c r="H278" s="593"/>
      <c r="I278" s="593"/>
      <c r="J278" s="593"/>
      <c r="K278" s="1658">
        <f>D278</f>
        <v>0</v>
      </c>
      <c r="L278" s="2005">
        <v>0</v>
      </c>
    </row>
    <row r="279" spans="1:12" ht="12.75" customHeight="1" thickBot="1" x14ac:dyDescent="0.25">
      <c r="A279" s="1671" t="s">
        <v>811</v>
      </c>
      <c r="B279" s="1654">
        <v>2000</v>
      </c>
      <c r="C279" s="593"/>
      <c r="D279" s="1650">
        <f>SUM(D238,D243,D257,D261,D270,D277,D278)</f>
        <v>248958</v>
      </c>
      <c r="E279" s="593"/>
      <c r="F279" s="593"/>
      <c r="G279" s="593"/>
      <c r="H279" s="593"/>
      <c r="I279" s="593"/>
      <c r="J279" s="593"/>
      <c r="K279" s="1650">
        <f>SUM(K238,K243,K257,K261,K270,K277,K278)</f>
        <v>248958</v>
      </c>
      <c r="L279" s="1650">
        <f>SUM(L238,L243,L257,L261,L270,L277,L278)</f>
        <v>280550</v>
      </c>
    </row>
    <row r="280" spans="1:12" ht="15.75" customHeight="1" thickTop="1" thickBot="1" x14ac:dyDescent="0.25">
      <c r="A280" s="1597" t="s">
        <v>875</v>
      </c>
      <c r="B280" s="1586">
        <v>3000</v>
      </c>
      <c r="C280" s="593"/>
      <c r="D280" s="1981">
        <v>0</v>
      </c>
      <c r="E280" s="593"/>
      <c r="F280" s="593"/>
      <c r="G280" s="593"/>
      <c r="H280" s="593"/>
      <c r="I280" s="593"/>
      <c r="J280" s="593"/>
      <c r="K280" s="1652">
        <f>D280</f>
        <v>0</v>
      </c>
      <c r="L280" s="2003">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9">
        <v>0</v>
      </c>
      <c r="E282" s="593"/>
      <c r="F282" s="593"/>
      <c r="G282" s="593"/>
      <c r="H282" s="593"/>
      <c r="I282" s="593"/>
      <c r="J282" s="593"/>
      <c r="K282" s="1644">
        <f>D282</f>
        <v>0</v>
      </c>
      <c r="L282" s="1991">
        <v>0</v>
      </c>
    </row>
    <row r="283" spans="1:12" x14ac:dyDescent="0.2">
      <c r="A283" s="1477" t="s">
        <v>304</v>
      </c>
      <c r="B283" s="591">
        <v>4120</v>
      </c>
      <c r="C283" s="593"/>
      <c r="D283" s="1968">
        <v>0</v>
      </c>
      <c r="E283" s="593"/>
      <c r="F283" s="593"/>
      <c r="G283" s="593"/>
      <c r="H283" s="593"/>
      <c r="I283" s="593"/>
      <c r="J283" s="593"/>
      <c r="K283" s="1644">
        <f>D283</f>
        <v>0</v>
      </c>
      <c r="L283" s="1990">
        <v>0</v>
      </c>
    </row>
    <row r="284" spans="1:12" x14ac:dyDescent="0.2">
      <c r="A284" s="1477" t="s">
        <v>697</v>
      </c>
      <c r="B284" s="591">
        <v>4140</v>
      </c>
      <c r="C284" s="593"/>
      <c r="D284" s="1969">
        <v>0</v>
      </c>
      <c r="E284" s="593"/>
      <c r="F284" s="593"/>
      <c r="G284" s="593"/>
      <c r="H284" s="593"/>
      <c r="I284" s="593"/>
      <c r="J284" s="593"/>
      <c r="K284" s="1644">
        <f>D284</f>
        <v>0</v>
      </c>
      <c r="L284" s="1990">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8">
        <v>0</v>
      </c>
      <c r="I288" s="593"/>
      <c r="J288" s="593"/>
      <c r="K288" s="1644">
        <f>H288</f>
        <v>0</v>
      </c>
      <c r="L288" s="1990">
        <v>0</v>
      </c>
    </row>
    <row r="289" spans="1:14" x14ac:dyDescent="0.2">
      <c r="A289" s="1477" t="s">
        <v>88</v>
      </c>
      <c r="B289" s="591">
        <v>5120</v>
      </c>
      <c r="C289" s="593"/>
      <c r="D289" s="593"/>
      <c r="E289" s="593"/>
      <c r="F289" s="593"/>
      <c r="G289" s="593"/>
      <c r="H289" s="1968">
        <v>0</v>
      </c>
      <c r="I289" s="593"/>
      <c r="J289" s="593"/>
      <c r="K289" s="1644">
        <f>H289</f>
        <v>0</v>
      </c>
      <c r="L289" s="1990">
        <v>0</v>
      </c>
    </row>
    <row r="290" spans="1:14" ht="12.75" customHeight="1" x14ac:dyDescent="0.2">
      <c r="A290" s="1477" t="s">
        <v>1170</v>
      </c>
      <c r="B290" s="605" t="s">
        <v>617</v>
      </c>
      <c r="C290" s="593"/>
      <c r="D290" s="593"/>
      <c r="E290" s="593"/>
      <c r="F290" s="593"/>
      <c r="G290" s="593"/>
      <c r="H290" s="1968">
        <v>0</v>
      </c>
      <c r="I290" s="593"/>
      <c r="J290" s="593"/>
      <c r="K290" s="1644">
        <f>H290</f>
        <v>0</v>
      </c>
      <c r="L290" s="1990">
        <v>0</v>
      </c>
    </row>
    <row r="291" spans="1:14" x14ac:dyDescent="0.2">
      <c r="A291" s="1477" t="s">
        <v>89</v>
      </c>
      <c r="B291" s="591" t="s">
        <v>589</v>
      </c>
      <c r="C291" s="593"/>
      <c r="D291" s="593"/>
      <c r="E291" s="593"/>
      <c r="F291" s="593"/>
      <c r="G291" s="593"/>
      <c r="H291" s="1968">
        <v>0</v>
      </c>
      <c r="I291" s="593"/>
      <c r="J291" s="593"/>
      <c r="K291" s="1644">
        <f>H291</f>
        <v>0</v>
      </c>
      <c r="L291" s="1990">
        <v>0</v>
      </c>
    </row>
    <row r="292" spans="1:14" x14ac:dyDescent="0.2">
      <c r="A292" s="1477" t="s">
        <v>762</v>
      </c>
      <c r="B292" s="591" t="s">
        <v>618</v>
      </c>
      <c r="C292" s="593"/>
      <c r="D292" s="593"/>
      <c r="E292" s="593"/>
      <c r="F292" s="593"/>
      <c r="G292" s="593"/>
      <c r="H292" s="1968">
        <v>0</v>
      </c>
      <c r="I292" s="593"/>
      <c r="J292" s="593"/>
      <c r="K292" s="1644">
        <f>H292</f>
        <v>0</v>
      </c>
      <c r="L292" s="1990">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4">
        <v>0</v>
      </c>
    </row>
    <row r="295" spans="1:14" ht="12.75" customHeight="1" thickTop="1" thickBot="1" x14ac:dyDescent="0.25">
      <c r="A295" s="2239" t="s">
        <v>505</v>
      </c>
      <c r="B295" s="2240"/>
      <c r="C295" s="593"/>
      <c r="D295" s="1643">
        <f>SUM(D229,D279,D280,D285)</f>
        <v>354912</v>
      </c>
      <c r="E295" s="593"/>
      <c r="F295" s="593"/>
      <c r="G295" s="593"/>
      <c r="H295" s="1643">
        <f>H293</f>
        <v>0</v>
      </c>
      <c r="I295" s="593"/>
      <c r="J295" s="593"/>
      <c r="K295" s="1643">
        <f>SUM(K229,K279,K280,K285,K293,K294)</f>
        <v>354912</v>
      </c>
      <c r="L295" s="1643">
        <f>SUM(L229,L279,L280,L285,L293,L294)</f>
        <v>395650</v>
      </c>
    </row>
    <row r="296" spans="1:14" ht="13.5" thickTop="1" x14ac:dyDescent="0.2">
      <c r="A296" s="2248" t="s">
        <v>996</v>
      </c>
      <c r="B296" s="2249"/>
      <c r="C296" s="593"/>
      <c r="D296" s="595"/>
      <c r="E296" s="593"/>
      <c r="F296" s="593"/>
      <c r="G296" s="593"/>
      <c r="H296" s="662"/>
      <c r="I296" s="593"/>
      <c r="J296" s="593"/>
      <c r="K296" s="1657">
        <f>'Revenues 9-14'!G268-'Expenditures 15-22'!K295</f>
        <v>-20022</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1" t="s">
        <v>143</v>
      </c>
      <c r="B298" s="2225"/>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8">
        <v>0</v>
      </c>
      <c r="D301" s="1968">
        <v>0</v>
      </c>
      <c r="E301" s="1968">
        <v>0</v>
      </c>
      <c r="F301" s="1968">
        <v>0</v>
      </c>
      <c r="G301" s="1968">
        <v>0</v>
      </c>
      <c r="H301" s="1968">
        <v>0</v>
      </c>
      <c r="I301" s="1969">
        <v>0</v>
      </c>
      <c r="J301" s="1969">
        <v>0</v>
      </c>
      <c r="K301" s="1644">
        <f>SUM(C301:J301)</f>
        <v>0</v>
      </c>
      <c r="L301" s="1991">
        <v>0</v>
      </c>
    </row>
    <row r="302" spans="1:14" ht="13.5" customHeight="1" x14ac:dyDescent="0.2">
      <c r="A302" s="1490" t="s">
        <v>980</v>
      </c>
      <c r="B302" s="591" t="s">
        <v>574</v>
      </c>
      <c r="C302" s="1968">
        <v>0</v>
      </c>
      <c r="D302" s="1968">
        <v>0</v>
      </c>
      <c r="E302" s="1968">
        <v>0</v>
      </c>
      <c r="F302" s="1968">
        <v>0</v>
      </c>
      <c r="G302" s="1968">
        <v>0</v>
      </c>
      <c r="H302" s="1968">
        <v>0</v>
      </c>
      <c r="I302" s="1969">
        <v>0</v>
      </c>
      <c r="J302" s="1969">
        <v>0</v>
      </c>
      <c r="K302" s="1644">
        <f>SUM(C302:J302)</f>
        <v>0</v>
      </c>
      <c r="L302" s="1990">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9">
        <v>0</v>
      </c>
      <c r="F306" s="593"/>
      <c r="G306" s="593"/>
      <c r="H306" s="1969">
        <v>0</v>
      </c>
      <c r="I306" s="593"/>
      <c r="J306" s="593"/>
      <c r="K306" s="1644">
        <f>SUM(E306,H306)</f>
        <v>0</v>
      </c>
      <c r="L306" s="1991">
        <v>0</v>
      </c>
    </row>
    <row r="307" spans="1:14" x14ac:dyDescent="0.2">
      <c r="A307" s="1477" t="s">
        <v>304</v>
      </c>
      <c r="B307" s="591">
        <v>4120</v>
      </c>
      <c r="C307" s="593"/>
      <c r="D307" s="593"/>
      <c r="E307" s="1969">
        <v>0</v>
      </c>
      <c r="F307" s="593"/>
      <c r="G307" s="593"/>
      <c r="H307" s="1969">
        <v>0</v>
      </c>
      <c r="I307" s="473"/>
      <c r="J307" s="593"/>
      <c r="K307" s="1644">
        <f>SUM(E307,H307)</f>
        <v>0</v>
      </c>
      <c r="L307" s="1990">
        <v>0</v>
      </c>
    </row>
    <row r="308" spans="1:14" x14ac:dyDescent="0.2">
      <c r="A308" s="1477" t="s">
        <v>697</v>
      </c>
      <c r="B308" s="591">
        <v>4140</v>
      </c>
      <c r="C308" s="593"/>
      <c r="D308" s="593"/>
      <c r="E308" s="1969">
        <v>0</v>
      </c>
      <c r="F308" s="593"/>
      <c r="G308" s="593"/>
      <c r="H308" s="1969">
        <v>0</v>
      </c>
      <c r="I308" s="473"/>
      <c r="J308" s="593"/>
      <c r="K308" s="1644">
        <f>SUM(E308,H308)</f>
        <v>0</v>
      </c>
      <c r="L308" s="1990">
        <v>0</v>
      </c>
    </row>
    <row r="309" spans="1:14" ht="12.75" customHeight="1" x14ac:dyDescent="0.2">
      <c r="A309" s="1481" t="s">
        <v>698</v>
      </c>
      <c r="B309" s="605">
        <v>4190</v>
      </c>
      <c r="C309" s="593"/>
      <c r="D309" s="593"/>
      <c r="E309" s="1969">
        <v>0</v>
      </c>
      <c r="F309" s="593"/>
      <c r="G309" s="593"/>
      <c r="H309" s="1969">
        <v>0</v>
      </c>
      <c r="I309" s="473"/>
      <c r="J309" s="593"/>
      <c r="K309" s="1644">
        <f>SUM(E309,H309)</f>
        <v>0</v>
      </c>
      <c r="L309" s="1990">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3">
        <v>0</v>
      </c>
    </row>
    <row r="312" spans="1:14" s="649" customFormat="1" ht="12.75" customHeight="1" thickTop="1" thickBot="1" x14ac:dyDescent="0.25">
      <c r="A312" s="2236" t="s">
        <v>277</v>
      </c>
      <c r="B312" s="2237"/>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32" t="s">
        <v>996</v>
      </c>
      <c r="B313" s="2233"/>
      <c r="C313" s="603"/>
      <c r="D313" s="603"/>
      <c r="E313" s="603"/>
      <c r="F313" s="603"/>
      <c r="G313" s="603"/>
      <c r="H313" s="603"/>
      <c r="I313" s="603"/>
      <c r="J313" s="603"/>
      <c r="K313" s="1658">
        <f>'Revenues 9-14'!H268-'Expenditures 15-22'!K312</f>
        <v>26028</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5" t="s">
        <v>149</v>
      </c>
      <c r="B315" s="2246"/>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7" t="s">
        <v>898</v>
      </c>
      <c r="B317" s="2246"/>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9">
        <v>0</v>
      </c>
      <c r="D319" s="1969">
        <v>0</v>
      </c>
      <c r="E319" s="1969">
        <v>0</v>
      </c>
      <c r="F319" s="1969">
        <v>0</v>
      </c>
      <c r="G319" s="1969">
        <v>0</v>
      </c>
      <c r="H319" s="1969">
        <v>0</v>
      </c>
      <c r="I319" s="1969">
        <v>0</v>
      </c>
      <c r="J319" s="1969">
        <v>0</v>
      </c>
      <c r="K319" s="1644">
        <f>SUM(C319:J319)</f>
        <v>0</v>
      </c>
      <c r="L319" s="1991">
        <v>0</v>
      </c>
      <c r="M319" s="640"/>
      <c r="N319" s="640"/>
    </row>
    <row r="320" spans="1:14" s="649" customFormat="1" x14ac:dyDescent="0.2">
      <c r="A320" s="1496" t="s">
        <v>1805</v>
      </c>
      <c r="B320" s="673" t="s">
        <v>282</v>
      </c>
      <c r="C320" s="1969">
        <v>0</v>
      </c>
      <c r="D320" s="1969">
        <v>0</v>
      </c>
      <c r="E320" s="1969">
        <v>0</v>
      </c>
      <c r="F320" s="1969">
        <v>0</v>
      </c>
      <c r="G320" s="1969">
        <v>0</v>
      </c>
      <c r="H320" s="1969">
        <v>0</v>
      </c>
      <c r="I320" s="1969">
        <v>0</v>
      </c>
      <c r="J320" s="1969">
        <v>0</v>
      </c>
      <c r="K320" s="1644">
        <f t="shared" ref="K320:K327" si="24">SUM(C320:J320)</f>
        <v>0</v>
      </c>
      <c r="L320" s="1991">
        <v>0</v>
      </c>
      <c r="M320" s="640"/>
      <c r="N320" s="640"/>
    </row>
    <row r="321" spans="1:14" s="649" customFormat="1" x14ac:dyDescent="0.2">
      <c r="A321" s="1492" t="s">
        <v>300</v>
      </c>
      <c r="B321" s="672" t="s">
        <v>283</v>
      </c>
      <c r="C321" s="1969">
        <v>0</v>
      </c>
      <c r="D321" s="1969">
        <v>0</v>
      </c>
      <c r="E321" s="1969">
        <v>0</v>
      </c>
      <c r="F321" s="1969">
        <v>0</v>
      </c>
      <c r="G321" s="1969">
        <v>0</v>
      </c>
      <c r="H321" s="1969">
        <v>0</v>
      </c>
      <c r="I321" s="1969">
        <v>0</v>
      </c>
      <c r="J321" s="1969">
        <v>0</v>
      </c>
      <c r="K321" s="1644">
        <f t="shared" si="24"/>
        <v>0</v>
      </c>
      <c r="L321" s="1991">
        <v>0</v>
      </c>
      <c r="M321" s="640"/>
      <c r="N321" s="640"/>
    </row>
    <row r="322" spans="1:14" s="649" customFormat="1" x14ac:dyDescent="0.2">
      <c r="A322" s="1492" t="s">
        <v>238</v>
      </c>
      <c r="B322" s="672" t="s">
        <v>284</v>
      </c>
      <c r="C322" s="1969">
        <v>0</v>
      </c>
      <c r="D322" s="1969">
        <v>0</v>
      </c>
      <c r="E322" s="1969">
        <v>0</v>
      </c>
      <c r="F322" s="1969">
        <v>0</v>
      </c>
      <c r="G322" s="1969">
        <v>0</v>
      </c>
      <c r="H322" s="1969">
        <v>0</v>
      </c>
      <c r="I322" s="1969">
        <v>0</v>
      </c>
      <c r="J322" s="1969">
        <v>0</v>
      </c>
      <c r="K322" s="1644">
        <f t="shared" si="24"/>
        <v>0</v>
      </c>
      <c r="L322" s="1991">
        <v>0</v>
      </c>
      <c r="M322" s="640"/>
      <c r="N322" s="640"/>
    </row>
    <row r="323" spans="1:14" s="649" customFormat="1" x14ac:dyDescent="0.2">
      <c r="A323" s="1492" t="s">
        <v>702</v>
      </c>
      <c r="B323" s="672" t="s">
        <v>285</v>
      </c>
      <c r="C323" s="1969">
        <v>0</v>
      </c>
      <c r="D323" s="1969">
        <v>0</v>
      </c>
      <c r="E323" s="1969">
        <v>0</v>
      </c>
      <c r="F323" s="1969">
        <v>0</v>
      </c>
      <c r="G323" s="1969">
        <v>0</v>
      </c>
      <c r="H323" s="1969">
        <v>0</v>
      </c>
      <c r="I323" s="1969">
        <v>0</v>
      </c>
      <c r="J323" s="1969">
        <v>0</v>
      </c>
      <c r="K323" s="1644">
        <f t="shared" si="24"/>
        <v>0</v>
      </c>
      <c r="L323" s="1991">
        <v>0</v>
      </c>
      <c r="M323" s="640"/>
      <c r="N323" s="640"/>
    </row>
    <row r="324" spans="1:14" s="649" customFormat="1" x14ac:dyDescent="0.2">
      <c r="A324" s="1492" t="s">
        <v>239</v>
      </c>
      <c r="B324" s="672" t="s">
        <v>286</v>
      </c>
      <c r="C324" s="1969">
        <v>0</v>
      </c>
      <c r="D324" s="1969">
        <v>0</v>
      </c>
      <c r="E324" s="1969">
        <v>0</v>
      </c>
      <c r="F324" s="1969">
        <v>0</v>
      </c>
      <c r="G324" s="1969">
        <v>0</v>
      </c>
      <c r="H324" s="1969">
        <v>0</v>
      </c>
      <c r="I324" s="1969">
        <v>0</v>
      </c>
      <c r="J324" s="1969">
        <v>0</v>
      </c>
      <c r="K324" s="1644">
        <f t="shared" si="24"/>
        <v>0</v>
      </c>
      <c r="L324" s="1991">
        <v>0</v>
      </c>
      <c r="M324" s="640"/>
      <c r="N324" s="640"/>
    </row>
    <row r="325" spans="1:14" s="649" customFormat="1" ht="22.5" x14ac:dyDescent="0.2">
      <c r="A325" s="1492" t="s">
        <v>1029</v>
      </c>
      <c r="B325" s="673" t="s">
        <v>287</v>
      </c>
      <c r="C325" s="1969">
        <v>0</v>
      </c>
      <c r="D325" s="1969">
        <v>0</v>
      </c>
      <c r="E325" s="1969">
        <v>0</v>
      </c>
      <c r="F325" s="1969">
        <v>0</v>
      </c>
      <c r="G325" s="1969">
        <v>0</v>
      </c>
      <c r="H325" s="1969">
        <v>0</v>
      </c>
      <c r="I325" s="1969">
        <v>0</v>
      </c>
      <c r="J325" s="1969">
        <v>0</v>
      </c>
      <c r="K325" s="1644">
        <f t="shared" si="24"/>
        <v>0</v>
      </c>
      <c r="L325" s="1991">
        <v>0</v>
      </c>
      <c r="M325" s="640"/>
      <c r="N325" s="640"/>
    </row>
    <row r="326" spans="1:14" s="649" customFormat="1" x14ac:dyDescent="0.2">
      <c r="A326" s="1492" t="s">
        <v>1030</v>
      </c>
      <c r="B326" s="672" t="s">
        <v>288</v>
      </c>
      <c r="C326" s="1969">
        <v>0</v>
      </c>
      <c r="D326" s="1969">
        <v>0</v>
      </c>
      <c r="E326" s="1969">
        <v>0</v>
      </c>
      <c r="F326" s="1969">
        <v>0</v>
      </c>
      <c r="G326" s="1969">
        <v>0</v>
      </c>
      <c r="H326" s="1969">
        <v>0</v>
      </c>
      <c r="I326" s="1969">
        <v>0</v>
      </c>
      <c r="J326" s="1969">
        <v>0</v>
      </c>
      <c r="K326" s="1644">
        <f t="shared" si="24"/>
        <v>0</v>
      </c>
      <c r="L326" s="1991">
        <v>0</v>
      </c>
      <c r="M326" s="640"/>
      <c r="N326" s="640"/>
    </row>
    <row r="327" spans="1:14" s="649" customFormat="1" x14ac:dyDescent="0.2">
      <c r="A327" s="1492" t="s">
        <v>971</v>
      </c>
      <c r="B327" s="672" t="s">
        <v>289</v>
      </c>
      <c r="C327" s="1969">
        <v>0</v>
      </c>
      <c r="D327" s="1969">
        <v>0</v>
      </c>
      <c r="E327" s="1969">
        <v>0</v>
      </c>
      <c r="F327" s="1969">
        <v>0</v>
      </c>
      <c r="G327" s="1969">
        <v>0</v>
      </c>
      <c r="H327" s="1969">
        <v>0</v>
      </c>
      <c r="I327" s="1969">
        <v>0</v>
      </c>
      <c r="J327" s="1969">
        <v>0</v>
      </c>
      <c r="K327" s="1644">
        <f t="shared" si="24"/>
        <v>0</v>
      </c>
      <c r="L327" s="1991">
        <v>0</v>
      </c>
      <c r="M327" s="640"/>
      <c r="N327" s="640"/>
    </row>
    <row r="328" spans="1:14" s="649" customFormat="1" x14ac:dyDescent="0.2">
      <c r="A328" s="1493" t="s">
        <v>472</v>
      </c>
      <c r="B328" s="665" t="s">
        <v>1132</v>
      </c>
      <c r="C328" s="1971">
        <v>0</v>
      </c>
      <c r="D328" s="1971">
        <v>0</v>
      </c>
      <c r="E328" s="1971">
        <v>0</v>
      </c>
      <c r="F328" s="1971">
        <v>0</v>
      </c>
      <c r="G328" s="1971">
        <v>0</v>
      </c>
      <c r="H328" s="1971">
        <v>0</v>
      </c>
      <c r="I328" s="1971">
        <v>0</v>
      </c>
      <c r="J328" s="1971">
        <v>0</v>
      </c>
      <c r="K328" s="1672">
        <f>SUM(C328:J328)</f>
        <v>0</v>
      </c>
      <c r="L328" s="1993">
        <v>0</v>
      </c>
      <c r="M328" s="640"/>
      <c r="N328" s="640"/>
    </row>
    <row r="329" spans="1:14" s="649" customFormat="1" x14ac:dyDescent="0.2">
      <c r="A329" s="1493" t="s">
        <v>1133</v>
      </c>
      <c r="B329" s="665" t="s">
        <v>1134</v>
      </c>
      <c r="C329" s="1971">
        <v>0</v>
      </c>
      <c r="D329" s="1971">
        <v>0</v>
      </c>
      <c r="E329" s="1971">
        <v>0</v>
      </c>
      <c r="F329" s="1971">
        <v>0</v>
      </c>
      <c r="G329" s="1971">
        <v>0</v>
      </c>
      <c r="H329" s="1971">
        <v>0</v>
      </c>
      <c r="I329" s="1971">
        <v>0</v>
      </c>
      <c r="J329" s="1971">
        <v>0</v>
      </c>
      <c r="K329" s="1672">
        <f>SUM(C329:J329)</f>
        <v>0</v>
      </c>
      <c r="L329" s="1993">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9">
        <v>0</v>
      </c>
      <c r="I332" s="1806"/>
      <c r="J332" s="1806"/>
      <c r="K332" s="1644">
        <f>H332</f>
        <v>0</v>
      </c>
      <c r="L332" s="1991">
        <v>0</v>
      </c>
      <c r="M332" s="640"/>
      <c r="N332" s="640"/>
    </row>
    <row r="333" spans="1:14" s="649" customFormat="1" ht="12.75" customHeight="1" x14ac:dyDescent="0.2">
      <c r="A333" s="1805" t="s">
        <v>304</v>
      </c>
      <c r="B333" s="1800" t="s">
        <v>1847</v>
      </c>
      <c r="C333" s="1806"/>
      <c r="D333" s="1806"/>
      <c r="E333" s="1806"/>
      <c r="F333" s="1806"/>
      <c r="G333" s="1806"/>
      <c r="H333" s="1969">
        <v>0</v>
      </c>
      <c r="I333" s="1806"/>
      <c r="J333" s="1806"/>
      <c r="K333" s="1644">
        <f>H333</f>
        <v>0</v>
      </c>
      <c r="L333" s="1991">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9">
        <v>0</v>
      </c>
      <c r="I339" s="615"/>
      <c r="J339" s="615"/>
      <c r="K339" s="1644">
        <f>H339</f>
        <v>0</v>
      </c>
      <c r="L339" s="1991">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3">
        <v>0</v>
      </c>
    </row>
    <row r="342" spans="1:14" ht="12.75" customHeight="1" thickTop="1" thickBot="1" x14ac:dyDescent="0.25">
      <c r="A342" s="1659" t="s">
        <v>505</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4" t="s">
        <v>996</v>
      </c>
      <c r="B343" s="2235"/>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4" t="s">
        <v>966</v>
      </c>
      <c r="B345" s="2225"/>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8">
        <v>0</v>
      </c>
      <c r="D348" s="1968">
        <v>0</v>
      </c>
      <c r="E348" s="1968">
        <v>0</v>
      </c>
      <c r="F348" s="1968">
        <v>0</v>
      </c>
      <c r="G348" s="1968">
        <v>0</v>
      </c>
      <c r="H348" s="1968">
        <v>0</v>
      </c>
      <c r="I348" s="1969">
        <v>0</v>
      </c>
      <c r="J348" s="1969">
        <v>0</v>
      </c>
      <c r="K348" s="1644">
        <f>SUM(C348:J348)</f>
        <v>0</v>
      </c>
      <c r="L348" s="1990">
        <v>0</v>
      </c>
    </row>
    <row r="349" spans="1:14" x14ac:dyDescent="0.2">
      <c r="A349" s="1477" t="s">
        <v>197</v>
      </c>
      <c r="B349" s="591">
        <v>2540</v>
      </c>
      <c r="C349" s="1968">
        <v>0</v>
      </c>
      <c r="D349" s="1968">
        <v>0</v>
      </c>
      <c r="E349" s="1968">
        <v>0</v>
      </c>
      <c r="F349" s="1968">
        <v>0</v>
      </c>
      <c r="G349" s="1968">
        <v>0</v>
      </c>
      <c r="H349" s="1968">
        <v>0</v>
      </c>
      <c r="I349" s="1969">
        <v>0</v>
      </c>
      <c r="J349" s="1969">
        <v>0</v>
      </c>
      <c r="K349" s="1644">
        <f>SUM(C349:J349)</f>
        <v>0</v>
      </c>
      <c r="L349" s="1990">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1">
        <v>0</v>
      </c>
      <c r="I354" s="676"/>
      <c r="J354" s="593"/>
      <c r="K354" s="1672">
        <f>H354</f>
        <v>0</v>
      </c>
      <c r="L354" s="1992">
        <v>0</v>
      </c>
    </row>
    <row r="355" spans="1:14" ht="12.75" customHeight="1" x14ac:dyDescent="0.2">
      <c r="A355" s="1486" t="s">
        <v>1854</v>
      </c>
      <c r="B355" s="665" t="s">
        <v>1847</v>
      </c>
      <c r="C355" s="593"/>
      <c r="D355" s="593"/>
      <c r="E355" s="593"/>
      <c r="F355" s="593"/>
      <c r="G355" s="593"/>
      <c r="H355" s="1969">
        <v>0</v>
      </c>
      <c r="I355" s="676"/>
      <c r="J355" s="593"/>
      <c r="K355" s="1716">
        <f>H355</f>
        <v>0</v>
      </c>
      <c r="L355" s="1991">
        <v>0</v>
      </c>
    </row>
    <row r="356" spans="1:14" ht="12.75" customHeight="1" x14ac:dyDescent="0.2">
      <c r="A356" s="1807" t="s">
        <v>698</v>
      </c>
      <c r="B356" s="658" t="s">
        <v>558</v>
      </c>
      <c r="C356" s="593"/>
      <c r="D356" s="593"/>
      <c r="E356" s="593"/>
      <c r="F356" s="593"/>
      <c r="G356" s="593"/>
      <c r="H356" s="1973">
        <v>0</v>
      </c>
      <c r="I356" s="676"/>
      <c r="J356" s="593"/>
      <c r="K356" s="1713">
        <f>H356</f>
        <v>0</v>
      </c>
      <c r="L356" s="1995">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5">
        <v>0</v>
      </c>
      <c r="I360" s="593"/>
      <c r="J360" s="593"/>
      <c r="K360" s="1644">
        <f>SUM(C360:J360)</f>
        <v>0</v>
      </c>
      <c r="L360" s="1990">
        <v>0</v>
      </c>
    </row>
    <row r="361" spans="1:14" ht="12.75" customHeight="1" x14ac:dyDescent="0.2">
      <c r="A361" s="1478" t="s">
        <v>619</v>
      </c>
      <c r="B361" s="579" t="s">
        <v>618</v>
      </c>
      <c r="C361" s="593"/>
      <c r="D361" s="593"/>
      <c r="E361" s="593"/>
      <c r="F361" s="593"/>
      <c r="G361" s="593"/>
      <c r="H361" s="1985">
        <v>0</v>
      </c>
      <c r="I361" s="593"/>
      <c r="J361" s="593"/>
      <c r="K361" s="1644">
        <f>SUM(C361:J361)</f>
        <v>0</v>
      </c>
      <c r="L361" s="1990">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6">
        <v>0</v>
      </c>
      <c r="I363" s="615"/>
      <c r="J363" s="615"/>
      <c r="K363" s="1672">
        <f>SUM(C363:J363)</f>
        <v>0</v>
      </c>
      <c r="L363" s="1995">
        <v>0</v>
      </c>
      <c r="M363" s="640"/>
      <c r="N363" s="640"/>
    </row>
    <row r="364" spans="1:14" s="681" customFormat="1" ht="29.25" customHeight="1" x14ac:dyDescent="0.2">
      <c r="A364" s="677" t="s">
        <v>1672</v>
      </c>
      <c r="B364" s="678">
        <v>5300</v>
      </c>
      <c r="C364" s="679"/>
      <c r="D364" s="680"/>
      <c r="E364" s="680"/>
      <c r="F364" s="679"/>
      <c r="G364" s="680"/>
      <c r="H364" s="1989">
        <v>0</v>
      </c>
      <c r="I364" s="680"/>
      <c r="J364" s="680"/>
      <c r="K364" s="1644">
        <f>SUM(C364:J364)</f>
        <v>0</v>
      </c>
      <c r="L364" s="2006">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2">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48" t="s">
        <v>996</v>
      </c>
      <c r="B368" s="2249"/>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0" t="s">
        <v>1802</v>
      </c>
      <c r="B2" s="1501" t="s">
        <v>1951</v>
      </c>
      <c r="C2" s="687" t="s">
        <v>1952</v>
      </c>
      <c r="D2" s="687" t="s">
        <v>1953</v>
      </c>
      <c r="E2" s="687" t="s">
        <v>1954</v>
      </c>
      <c r="F2" s="687" t="s">
        <v>1955</v>
      </c>
    </row>
    <row r="3" spans="1:6" ht="12" customHeight="1" x14ac:dyDescent="0.2">
      <c r="A3" s="2251"/>
      <c r="B3" s="1498"/>
      <c r="C3" s="1499"/>
      <c r="D3" s="1500" t="s">
        <v>256</v>
      </c>
      <c r="E3" s="1499"/>
      <c r="F3" s="1500" t="s">
        <v>257</v>
      </c>
    </row>
    <row r="4" spans="1:6" ht="13.7" customHeight="1" x14ac:dyDescent="0.2">
      <c r="A4" s="688" t="s">
        <v>1155</v>
      </c>
      <c r="B4" s="1722">
        <f>'Revenues 9-14'!C5</f>
        <v>7361058</v>
      </c>
      <c r="C4" s="1497">
        <v>3891837</v>
      </c>
      <c r="D4" s="1725">
        <f>B4-C4</f>
        <v>3469221</v>
      </c>
      <c r="E4" s="1497">
        <v>7544725</v>
      </c>
      <c r="F4" s="1725">
        <f>E4-C4</f>
        <v>3652888</v>
      </c>
    </row>
    <row r="5" spans="1:6" ht="13.7" customHeight="1" x14ac:dyDescent="0.2">
      <c r="A5" s="688" t="s">
        <v>870</v>
      </c>
      <c r="B5" s="1723">
        <f>'Revenues 9-14'!D5</f>
        <v>1614561</v>
      </c>
      <c r="C5" s="565">
        <v>853630</v>
      </c>
      <c r="D5" s="1726">
        <f t="shared" ref="D5:D18" si="0">B5-C5</f>
        <v>760931</v>
      </c>
      <c r="E5" s="565">
        <v>1654848</v>
      </c>
      <c r="F5" s="1726">
        <f>E5-C5</f>
        <v>801218</v>
      </c>
    </row>
    <row r="6" spans="1:6" ht="13.7" customHeight="1" x14ac:dyDescent="0.2">
      <c r="A6" s="688" t="s">
        <v>411</v>
      </c>
      <c r="B6" s="1723">
        <f>'Revenues 9-14'!E5</f>
        <v>1656810</v>
      </c>
      <c r="C6" s="565">
        <v>876564</v>
      </c>
      <c r="D6" s="1726">
        <f t="shared" si="0"/>
        <v>780246</v>
      </c>
      <c r="E6" s="565">
        <v>1699309</v>
      </c>
      <c r="F6" s="1726">
        <f t="shared" ref="F6:F18" si="1">E6-C6</f>
        <v>822745</v>
      </c>
    </row>
    <row r="7" spans="1:6" ht="13.7" customHeight="1" x14ac:dyDescent="0.2">
      <c r="A7" s="688" t="s">
        <v>155</v>
      </c>
      <c r="B7" s="1723">
        <f>'Revenues 9-14'!F5</f>
        <v>496796</v>
      </c>
      <c r="C7" s="565">
        <v>262658</v>
      </c>
      <c r="D7" s="1726">
        <f t="shared" si="0"/>
        <v>234138</v>
      </c>
      <c r="E7" s="565">
        <v>509189</v>
      </c>
      <c r="F7" s="1726">
        <f t="shared" si="1"/>
        <v>246531</v>
      </c>
    </row>
    <row r="8" spans="1:6" ht="13.7" customHeight="1" x14ac:dyDescent="0.2">
      <c r="A8" s="688" t="s">
        <v>1179</v>
      </c>
      <c r="B8" s="1723">
        <f>'Revenues 9-14'!G5</f>
        <v>94904</v>
      </c>
      <c r="C8" s="565">
        <v>49878</v>
      </c>
      <c r="D8" s="1726">
        <f t="shared" si="0"/>
        <v>45026</v>
      </c>
      <c r="E8" s="565">
        <v>96693</v>
      </c>
      <c r="F8" s="1726">
        <f t="shared" si="1"/>
        <v>46815</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157635</v>
      </c>
      <c r="C10" s="565">
        <v>83343</v>
      </c>
      <c r="D10" s="1726">
        <f t="shared" si="0"/>
        <v>74292</v>
      </c>
      <c r="E10" s="565">
        <v>161570</v>
      </c>
      <c r="F10" s="1726">
        <f t="shared" si="1"/>
        <v>78227</v>
      </c>
    </row>
    <row r="11" spans="1:6" x14ac:dyDescent="0.2">
      <c r="A11" s="688" t="s">
        <v>409</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109866</v>
      </c>
      <c r="C14" s="565">
        <v>58089</v>
      </c>
      <c r="D14" s="1726">
        <f t="shared" si="0"/>
        <v>51777</v>
      </c>
      <c r="E14" s="565">
        <v>112612</v>
      </c>
      <c r="F14" s="1726">
        <f t="shared" si="1"/>
        <v>54523</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94907</v>
      </c>
      <c r="C16" s="565">
        <v>49878</v>
      </c>
      <c r="D16" s="1726">
        <f t="shared" si="0"/>
        <v>45029</v>
      </c>
      <c r="E16" s="565">
        <v>96693</v>
      </c>
      <c r="F16" s="1726">
        <f t="shared" si="1"/>
        <v>46815</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11586537</v>
      </c>
      <c r="C19" s="1724">
        <f>SUM(C4:C18)</f>
        <v>6125877</v>
      </c>
      <c r="D19" s="1724">
        <f>SUM(D4:D18)</f>
        <v>5460660</v>
      </c>
      <c r="E19" s="1724">
        <f>SUM(E4:E18)</f>
        <v>11875639</v>
      </c>
      <c r="F19" s="1724">
        <f>SUM(F4:F18)</f>
        <v>5749762</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19" colorId="8" zoomScale="110" zoomScaleNormal="110" workbookViewId="0">
      <selection activeCell="A31" sqref="A3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6" t="s">
        <v>629</v>
      </c>
      <c r="B1" s="2257"/>
      <c r="C1" s="694"/>
    </row>
    <row r="2" spans="1:7" ht="33.75" x14ac:dyDescent="0.2">
      <c r="A2" s="2265" t="s">
        <v>1802</v>
      </c>
      <c r="B2" s="2266"/>
      <c r="C2" s="1857" t="s">
        <v>1956</v>
      </c>
      <c r="D2" s="696" t="s">
        <v>1957</v>
      </c>
      <c r="E2" s="696" t="s">
        <v>1958</v>
      </c>
      <c r="F2" s="1857" t="s">
        <v>1959</v>
      </c>
    </row>
    <row r="3" spans="1:7" ht="15.75" customHeight="1" x14ac:dyDescent="0.2">
      <c r="A3" s="2269" t="s">
        <v>1114</v>
      </c>
      <c r="B3" s="2270"/>
      <c r="C3" s="2258"/>
      <c r="D3" s="2259"/>
      <c r="E3" s="2259"/>
      <c r="F3" s="2260"/>
    </row>
    <row r="4" spans="1:7" ht="12.75" customHeight="1" thickBot="1" x14ac:dyDescent="0.25">
      <c r="A4" s="2267" t="s">
        <v>630</v>
      </c>
      <c r="B4" s="2268"/>
      <c r="C4" s="562"/>
      <c r="D4" s="562"/>
      <c r="E4" s="562"/>
      <c r="F4" s="1728">
        <f>SUM(C4+D4)-E4</f>
        <v>0</v>
      </c>
    </row>
    <row r="5" spans="1:7" ht="15.75" customHeight="1" thickTop="1" x14ac:dyDescent="0.2">
      <c r="A5" s="2252" t="s">
        <v>1110</v>
      </c>
      <c r="B5" s="2253"/>
      <c r="C5" s="2261"/>
      <c r="D5" s="2262"/>
      <c r="E5" s="2262"/>
      <c r="F5" s="2263"/>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4" t="s">
        <v>631</v>
      </c>
      <c r="B15" s="2255"/>
      <c r="C15" s="1728">
        <f>SUM(C6:C14)</f>
        <v>0</v>
      </c>
      <c r="D15" s="1728">
        <f>SUM(D6:D14)</f>
        <v>0</v>
      </c>
      <c r="E15" s="1728">
        <f>SUM(E6:E14)</f>
        <v>0</v>
      </c>
      <c r="F15" s="1728">
        <f>SUM(F6:F14)</f>
        <v>0</v>
      </c>
      <c r="G15" s="540"/>
    </row>
    <row r="16" spans="1:7" s="202" customFormat="1" ht="15.75" customHeight="1" thickTop="1" x14ac:dyDescent="0.2">
      <c r="A16" s="2264" t="s">
        <v>1111</v>
      </c>
      <c r="B16" s="2253"/>
      <c r="C16" s="2261"/>
      <c r="D16" s="2262"/>
      <c r="E16" s="2262"/>
      <c r="F16" s="2263"/>
    </row>
    <row r="17" spans="1:11" ht="12.75" customHeight="1" thickBot="1" x14ac:dyDescent="0.25">
      <c r="A17" s="2277" t="s">
        <v>64</v>
      </c>
      <c r="B17" s="2278"/>
      <c r="C17" s="699"/>
      <c r="D17" s="565"/>
      <c r="E17" s="699"/>
      <c r="F17" s="1728">
        <f>SUM(C17+D17)-E17</f>
        <v>0</v>
      </c>
    </row>
    <row r="18" spans="1:11" ht="12.75" customHeight="1" thickTop="1" thickBot="1" x14ac:dyDescent="0.25">
      <c r="A18" s="2277" t="s">
        <v>6</v>
      </c>
      <c r="B18" s="2278"/>
      <c r="C18" s="699"/>
      <c r="D18" s="565"/>
      <c r="E18" s="699"/>
      <c r="F18" s="1728">
        <f>SUM(C18+D18)-E18</f>
        <v>0</v>
      </c>
    </row>
    <row r="19" spans="1:11" ht="12.75" customHeight="1" thickTop="1" thickBot="1" x14ac:dyDescent="0.25">
      <c r="A19" s="2277" t="s">
        <v>388</v>
      </c>
      <c r="B19" s="2278"/>
      <c r="C19" s="699"/>
      <c r="D19" s="565"/>
      <c r="E19" s="699"/>
      <c r="F19" s="1728">
        <f>SUM(C19+D19)-E19</f>
        <v>0</v>
      </c>
    </row>
    <row r="20" spans="1:11" ht="12.75" customHeight="1" thickTop="1" thickBot="1" x14ac:dyDescent="0.25">
      <c r="A20" s="2277" t="s">
        <v>448</v>
      </c>
      <c r="B20" s="2278"/>
      <c r="C20" s="699"/>
      <c r="D20" s="565"/>
      <c r="E20" s="699"/>
      <c r="F20" s="1728">
        <f>SUM(C20+D20)-E20</f>
        <v>0</v>
      </c>
    </row>
    <row r="21" spans="1:11" ht="14.25" thickTop="1" thickBot="1" x14ac:dyDescent="0.25">
      <c r="A21" s="2254" t="s">
        <v>632</v>
      </c>
      <c r="B21" s="2255"/>
      <c r="C21" s="1728">
        <f>SUM(C17:C20)</f>
        <v>0</v>
      </c>
      <c r="D21" s="1728">
        <f>SUM(D17:D20)</f>
        <v>0</v>
      </c>
      <c r="E21" s="1728">
        <f>SUM(E17:E20)</f>
        <v>0</v>
      </c>
      <c r="F21" s="1728">
        <f>SUM(F17:F20)</f>
        <v>0</v>
      </c>
      <c r="G21" s="540"/>
    </row>
    <row r="22" spans="1:11" ht="15.75" customHeight="1" thickTop="1" x14ac:dyDescent="0.2">
      <c r="A22" s="2279" t="s">
        <v>1112</v>
      </c>
      <c r="B22" s="2253"/>
      <c r="C22" s="2261"/>
      <c r="D22" s="2262"/>
      <c r="E22" s="2262"/>
      <c r="F22" s="2263"/>
    </row>
    <row r="23" spans="1:11" ht="13.5" thickBot="1" x14ac:dyDescent="0.25">
      <c r="A23" s="2267" t="s">
        <v>633</v>
      </c>
      <c r="B23" s="2268"/>
      <c r="C23" s="562"/>
      <c r="D23" s="562"/>
      <c r="E23" s="562"/>
      <c r="F23" s="1728">
        <f>SUM(C23+D23)-E23</f>
        <v>0</v>
      </c>
      <c r="G23" s="540"/>
    </row>
    <row r="24" spans="1:11" ht="15.75" customHeight="1" thickTop="1" x14ac:dyDescent="0.2">
      <c r="A24" s="2279" t="s">
        <v>1113</v>
      </c>
      <c r="B24" s="2253"/>
      <c r="C24" s="2261"/>
      <c r="D24" s="2262"/>
      <c r="E24" s="2262"/>
      <c r="F24" s="2263"/>
    </row>
    <row r="25" spans="1:11" ht="13.5" thickBot="1" x14ac:dyDescent="0.25">
      <c r="A25" s="2267" t="s">
        <v>634</v>
      </c>
      <c r="B25" s="2268"/>
      <c r="C25" s="562"/>
      <c r="D25" s="562"/>
      <c r="E25" s="562"/>
      <c r="F25" s="1728">
        <f>SUM(C25+D25)-E25</f>
        <v>0</v>
      </c>
      <c r="G25" s="540"/>
    </row>
    <row r="26" spans="1:11" ht="15.75" customHeight="1" thickTop="1" x14ac:dyDescent="0.2">
      <c r="A26" s="2252" t="s">
        <v>657</v>
      </c>
      <c r="B26" s="2253"/>
      <c r="C26" s="700"/>
      <c r="D26" s="700"/>
      <c r="E26" s="700"/>
      <c r="F26" s="701"/>
    </row>
    <row r="27" spans="1:11" ht="13.5" thickBot="1" x14ac:dyDescent="0.25">
      <c r="A27" s="2254" t="s">
        <v>1070</v>
      </c>
      <c r="B27" s="2255"/>
      <c r="C27" s="565"/>
      <c r="D27" s="565"/>
      <c r="E27" s="565"/>
      <c r="F27" s="1728">
        <f>SUM(C27+D27)-E27</f>
        <v>0</v>
      </c>
      <c r="G27" s="540"/>
    </row>
    <row r="28" spans="1:11" ht="7.5" customHeight="1" thickTop="1" x14ac:dyDescent="0.2">
      <c r="A28" s="570"/>
    </row>
    <row r="29" spans="1:11" ht="23.25" customHeight="1" x14ac:dyDescent="0.2">
      <c r="A29" s="2280" t="s">
        <v>582</v>
      </c>
      <c r="B29" s="2257"/>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2091</v>
      </c>
      <c r="B31" s="706">
        <v>41200</v>
      </c>
      <c r="C31" s="707">
        <v>3565000</v>
      </c>
      <c r="D31" s="708">
        <v>3</v>
      </c>
      <c r="E31" s="707">
        <v>3565000</v>
      </c>
      <c r="F31" s="707"/>
      <c r="G31" s="707"/>
      <c r="H31" s="707">
        <v>1605000</v>
      </c>
      <c r="I31" s="1729">
        <f>((E31+F31)-H31)+G31</f>
        <v>1960000</v>
      </c>
      <c r="J31" s="707">
        <v>1914870</v>
      </c>
      <c r="K31" s="709"/>
    </row>
    <row r="32" spans="1:11" ht="12" customHeight="1" x14ac:dyDescent="0.2">
      <c r="A32" s="705" t="s">
        <v>2092</v>
      </c>
      <c r="B32" s="706">
        <v>41200</v>
      </c>
      <c r="C32" s="707">
        <v>390000</v>
      </c>
      <c r="D32" s="708">
        <v>3</v>
      </c>
      <c r="E32" s="707">
        <v>390000</v>
      </c>
      <c r="F32" s="707"/>
      <c r="G32" s="707"/>
      <c r="H32" s="707"/>
      <c r="I32" s="1729">
        <f>((E32+F32)-H32)+G32</f>
        <v>390000</v>
      </c>
      <c r="J32" s="707">
        <v>390000</v>
      </c>
      <c r="K32" s="709"/>
    </row>
    <row r="33" spans="1:11" ht="12" customHeight="1" x14ac:dyDescent="0.2">
      <c r="A33" s="705" t="s">
        <v>2093</v>
      </c>
      <c r="B33" s="706">
        <v>41697</v>
      </c>
      <c r="C33" s="707">
        <v>905000</v>
      </c>
      <c r="D33" s="708">
        <v>3</v>
      </c>
      <c r="E33" s="707">
        <v>180000</v>
      </c>
      <c r="F33" s="707"/>
      <c r="G33" s="707"/>
      <c r="H33" s="707">
        <v>180000</v>
      </c>
      <c r="I33" s="1729">
        <f t="shared" ref="I33:I48" si="1">((E33+F33)-H33)+G33</f>
        <v>0</v>
      </c>
      <c r="J33" s="707">
        <v>0</v>
      </c>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4860000</v>
      </c>
      <c r="D49" s="718"/>
      <c r="E49" s="1729">
        <f t="shared" ref="E49:J49" si="2">SUM(E31:E48)</f>
        <v>4135000</v>
      </c>
      <c r="F49" s="1729">
        <f t="shared" si="2"/>
        <v>0</v>
      </c>
      <c r="G49" s="1729">
        <f t="shared" si="2"/>
        <v>0</v>
      </c>
      <c r="H49" s="1729">
        <f t="shared" si="2"/>
        <v>1785000</v>
      </c>
      <c r="I49" s="1729">
        <f t="shared" si="2"/>
        <v>2350000</v>
      </c>
      <c r="J49" s="1729">
        <f t="shared" si="2"/>
        <v>2304870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71" t="s">
        <v>584</v>
      </c>
      <c r="C52" s="2272"/>
      <c r="D52" s="2272"/>
      <c r="E52" s="722" t="s">
        <v>845</v>
      </c>
      <c r="F52" s="2273"/>
      <c r="G52" s="2274"/>
      <c r="H52" s="709"/>
      <c r="I52" s="709"/>
      <c r="J52" s="719"/>
    </row>
    <row r="53" spans="1:11" ht="11.25" customHeight="1" x14ac:dyDescent="0.2">
      <c r="A53" s="723" t="s">
        <v>913</v>
      </c>
      <c r="B53" s="724" t="s">
        <v>951</v>
      </c>
      <c r="C53" s="719"/>
      <c r="D53" s="710"/>
      <c r="E53" s="722" t="s">
        <v>497</v>
      </c>
      <c r="F53" s="2275"/>
      <c r="G53" s="2276"/>
      <c r="H53" s="709"/>
      <c r="I53" s="709"/>
      <c r="J53" s="719"/>
    </row>
    <row r="54" spans="1:11" ht="11.25" customHeight="1" x14ac:dyDescent="0.2">
      <c r="A54" s="725" t="s">
        <v>914</v>
      </c>
      <c r="B54" s="720" t="s">
        <v>952</v>
      </c>
      <c r="C54" s="719"/>
      <c r="D54" s="710"/>
      <c r="E54" s="722" t="s">
        <v>498</v>
      </c>
      <c r="F54" s="2275"/>
      <c r="G54" s="2276"/>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topLeftCell="A10"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5" t="s">
        <v>856</v>
      </c>
      <c r="B1" s="2306"/>
      <c r="C1" s="2306"/>
      <c r="D1" s="2306"/>
      <c r="E1" s="2306"/>
      <c r="F1" s="2306"/>
      <c r="G1" s="2307"/>
      <c r="H1" s="1503"/>
      <c r="I1" s="733"/>
      <c r="J1" s="433"/>
    </row>
    <row r="2" spans="1:11" ht="26.25" x14ac:dyDescent="0.2">
      <c r="A2" s="2284" t="s">
        <v>1677</v>
      </c>
      <c r="B2" s="2285"/>
      <c r="C2" s="2285"/>
      <c r="D2" s="2285"/>
      <c r="E2" s="2286"/>
      <c r="F2" s="734" t="s">
        <v>904</v>
      </c>
      <c r="G2" s="735" t="s">
        <v>1674</v>
      </c>
      <c r="H2" s="735" t="s">
        <v>410</v>
      </c>
      <c r="I2" s="735" t="s">
        <v>1158</v>
      </c>
      <c r="J2" s="735" t="s">
        <v>1812</v>
      </c>
      <c r="K2" s="735" t="s">
        <v>138</v>
      </c>
    </row>
    <row r="3" spans="1:11" x14ac:dyDescent="0.2">
      <c r="A3" s="2287" t="s">
        <v>1964</v>
      </c>
      <c r="B3" s="2288"/>
      <c r="C3" s="2288"/>
      <c r="D3" s="2288"/>
      <c r="E3" s="2289"/>
      <c r="F3" s="736"/>
      <c r="G3" s="737"/>
      <c r="H3" s="737"/>
      <c r="I3" s="737"/>
      <c r="J3" s="738"/>
      <c r="K3" s="738"/>
    </row>
    <row r="4" spans="1:11" x14ac:dyDescent="0.2">
      <c r="A4" s="2290" t="s">
        <v>369</v>
      </c>
      <c r="B4" s="2291"/>
      <c r="C4" s="2291"/>
      <c r="D4" s="2291"/>
      <c r="E4" s="2272"/>
      <c r="F4" s="739"/>
      <c r="G4" s="740"/>
      <c r="H4" s="741"/>
      <c r="I4" s="740"/>
      <c r="J4" s="742"/>
      <c r="K4" s="742"/>
    </row>
    <row r="5" spans="1:11" x14ac:dyDescent="0.2">
      <c r="A5" s="2308" t="s">
        <v>1069</v>
      </c>
      <c r="B5" s="2281"/>
      <c r="C5" s="2281"/>
      <c r="D5" s="2281"/>
      <c r="E5" s="2309"/>
      <c r="F5" s="743" t="s">
        <v>848</v>
      </c>
      <c r="G5" s="744"/>
      <c r="H5" s="737">
        <v>109866</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v>5850</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v>22363</v>
      </c>
    </row>
    <row r="10" spans="1:11" x14ac:dyDescent="0.2">
      <c r="A10" s="2308" t="s">
        <v>1813</v>
      </c>
      <c r="B10" s="2281"/>
      <c r="C10" s="2281"/>
      <c r="D10" s="2281"/>
      <c r="E10" s="2310"/>
      <c r="F10" s="756" t="s">
        <v>862</v>
      </c>
      <c r="G10" s="755"/>
      <c r="H10" s="757"/>
      <c r="I10" s="737"/>
      <c r="J10" s="738"/>
      <c r="K10" s="738"/>
    </row>
    <row r="11" spans="1:11" x14ac:dyDescent="0.2">
      <c r="A11" s="2308" t="s">
        <v>160</v>
      </c>
      <c r="B11" s="2281"/>
      <c r="C11" s="2281"/>
      <c r="D11" s="2281"/>
      <c r="E11" s="2309"/>
      <c r="F11" s="743" t="s">
        <v>852</v>
      </c>
      <c r="G11" s="744"/>
      <c r="H11" s="737"/>
      <c r="I11" s="737"/>
      <c r="J11" s="738"/>
      <c r="K11" s="746"/>
    </row>
    <row r="12" spans="1:11" ht="13.5" thickBot="1" x14ac:dyDescent="0.25">
      <c r="A12" s="2298" t="s">
        <v>905</v>
      </c>
      <c r="B12" s="2299"/>
      <c r="C12" s="2299"/>
      <c r="D12" s="2299"/>
      <c r="E12" s="2300"/>
      <c r="F12" s="1730"/>
      <c r="G12" s="1731">
        <f>SUM(G5:G11)</f>
        <v>0</v>
      </c>
      <c r="H12" s="1731">
        <f>SUM(H5:H11)</f>
        <v>109866</v>
      </c>
      <c r="I12" s="1731">
        <f>SUM(I5:I11)</f>
        <v>0</v>
      </c>
      <c r="J12" s="1731">
        <f>SUM(J5:J11)</f>
        <v>0</v>
      </c>
      <c r="K12" s="1731">
        <f>SUM(K5:K11)</f>
        <v>28213</v>
      </c>
    </row>
    <row r="13" spans="1:11" ht="13.5" thickTop="1" x14ac:dyDescent="0.2">
      <c r="A13" s="2292" t="s">
        <v>370</v>
      </c>
      <c r="B13" s="2293"/>
      <c r="C13" s="2293"/>
      <c r="D13" s="2293"/>
      <c r="E13" s="2294"/>
      <c r="F13" s="758"/>
      <c r="G13" s="759"/>
      <c r="H13" s="760"/>
      <c r="I13" s="761"/>
      <c r="J13" s="761"/>
      <c r="K13" s="761"/>
    </row>
    <row r="14" spans="1:11" x14ac:dyDescent="0.2">
      <c r="A14" s="2314" t="s">
        <v>456</v>
      </c>
      <c r="B14" s="2314"/>
      <c r="C14" s="2314"/>
      <c r="D14" s="2314"/>
      <c r="E14" s="2315"/>
      <c r="F14" s="762" t="s">
        <v>854</v>
      </c>
      <c r="G14" s="755"/>
      <c r="H14" s="737">
        <v>109866</v>
      </c>
      <c r="I14" s="744"/>
      <c r="J14" s="746"/>
      <c r="K14" s="738">
        <v>28213</v>
      </c>
    </row>
    <row r="15" spans="1:11" x14ac:dyDescent="0.2">
      <c r="A15" s="2281" t="s">
        <v>4</v>
      </c>
      <c r="B15" s="2281"/>
      <c r="C15" s="2281"/>
      <c r="D15" s="2281"/>
      <c r="E15" s="2309"/>
      <c r="F15" s="762" t="s">
        <v>855</v>
      </c>
      <c r="G15" s="744"/>
      <c r="H15" s="737"/>
      <c r="I15" s="737"/>
      <c r="J15" s="738"/>
      <c r="K15" s="738"/>
    </row>
    <row r="16" spans="1:11" x14ac:dyDescent="0.2">
      <c r="A16" s="2281" t="s">
        <v>298</v>
      </c>
      <c r="B16" s="2281"/>
      <c r="C16" s="2281"/>
      <c r="D16" s="2281"/>
      <c r="E16" s="2309"/>
      <c r="F16" s="762" t="s">
        <v>923</v>
      </c>
      <c r="G16" s="745"/>
      <c r="H16" s="740"/>
      <c r="I16" s="740"/>
      <c r="J16" s="742"/>
      <c r="K16" s="742"/>
    </row>
    <row r="17" spans="1:11" x14ac:dyDescent="0.2">
      <c r="A17" s="2303" t="s">
        <v>935</v>
      </c>
      <c r="B17" s="2303"/>
      <c r="C17" s="2303"/>
      <c r="D17" s="2303"/>
      <c r="E17" s="2304"/>
      <c r="F17" s="763"/>
      <c r="G17" s="764"/>
      <c r="H17" s="765"/>
      <c r="I17" s="765"/>
      <c r="J17" s="766"/>
      <c r="K17" s="767"/>
    </row>
    <row r="18" spans="1:11" x14ac:dyDescent="0.2">
      <c r="A18" s="2295" t="s">
        <v>368</v>
      </c>
      <c r="B18" s="2296"/>
      <c r="C18" s="2296"/>
      <c r="D18" s="2296"/>
      <c r="E18" s="2297"/>
      <c r="F18" s="762" t="s">
        <v>932</v>
      </c>
      <c r="G18" s="755"/>
      <c r="H18" s="755"/>
      <c r="I18" s="755"/>
      <c r="J18" s="738"/>
      <c r="K18" s="768"/>
    </row>
    <row r="19" spans="1:11" ht="21.75" customHeight="1" x14ac:dyDescent="0.2">
      <c r="A19" s="2316" t="s">
        <v>1809</v>
      </c>
      <c r="B19" s="2316"/>
      <c r="C19" s="2316"/>
      <c r="D19" s="2316"/>
      <c r="E19" s="2317"/>
      <c r="F19" s="762" t="s">
        <v>933</v>
      </c>
      <c r="G19" s="755"/>
      <c r="H19" s="755"/>
      <c r="I19" s="755"/>
      <c r="J19" s="738"/>
      <c r="K19" s="768"/>
    </row>
    <row r="20" spans="1:11" x14ac:dyDescent="0.2">
      <c r="A20" s="2295" t="s">
        <v>1814</v>
      </c>
      <c r="B20" s="2296"/>
      <c r="C20" s="2296"/>
      <c r="D20" s="2296"/>
      <c r="E20" s="2297"/>
      <c r="F20" s="762" t="s">
        <v>934</v>
      </c>
      <c r="G20" s="755"/>
      <c r="H20" s="755"/>
      <c r="I20" s="755"/>
      <c r="J20" s="738"/>
      <c r="K20" s="768"/>
    </row>
    <row r="21" spans="1:11" ht="13.5" thickBot="1" x14ac:dyDescent="0.25">
      <c r="A21" s="2301" t="s">
        <v>638</v>
      </c>
      <c r="B21" s="2301"/>
      <c r="C21" s="2301"/>
      <c r="D21" s="2301"/>
      <c r="E21" s="2301"/>
      <c r="F21" s="1732"/>
      <c r="G21" s="765"/>
      <c r="H21" s="769"/>
      <c r="I21" s="769"/>
      <c r="J21" s="1733">
        <f>SUM(J18:J20)</f>
        <v>0</v>
      </c>
      <c r="K21" s="766"/>
    </row>
    <row r="22" spans="1:11" ht="13.5" thickTop="1" x14ac:dyDescent="0.2">
      <c r="A22" s="2281" t="s">
        <v>1815</v>
      </c>
      <c r="B22" s="2281"/>
      <c r="C22" s="2281"/>
      <c r="D22" s="2281"/>
      <c r="E22" s="2309"/>
      <c r="F22" s="762" t="s">
        <v>862</v>
      </c>
      <c r="G22" s="755"/>
      <c r="H22" s="737"/>
      <c r="I22" s="737"/>
      <c r="J22" s="770"/>
      <c r="K22" s="738"/>
    </row>
    <row r="23" spans="1:11" ht="13.5" thickBot="1" x14ac:dyDescent="0.25">
      <c r="A23" s="2302" t="s">
        <v>906</v>
      </c>
      <c r="B23" s="2301"/>
      <c r="C23" s="2301"/>
      <c r="D23" s="2301"/>
      <c r="E23" s="2301"/>
      <c r="F23" s="1734"/>
      <c r="G23" s="1731">
        <f>SUM(G14:G16,G21,G22)</f>
        <v>0</v>
      </c>
      <c r="H23" s="1731">
        <f>SUM(H14:H16,H21,H22)</f>
        <v>109866</v>
      </c>
      <c r="I23" s="1731">
        <f>SUM(I14:I16,I21,I22)</f>
        <v>0</v>
      </c>
      <c r="J23" s="1731">
        <f>SUM(J14:J16,J21,J22)</f>
        <v>0</v>
      </c>
      <c r="K23" s="1731">
        <f>SUM(K14:K16,K21,K22)</f>
        <v>28213</v>
      </c>
    </row>
    <row r="24" spans="1:11" ht="14.25" thickTop="1" thickBot="1" x14ac:dyDescent="0.25">
      <c r="A24" s="2302" t="s">
        <v>1965</v>
      </c>
      <c r="B24" s="2301"/>
      <c r="C24" s="2301"/>
      <c r="D24" s="2301"/>
      <c r="E24" s="2301"/>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t="s">
        <v>2075</v>
      </c>
      <c r="E30" s="781" t="s">
        <v>768</v>
      </c>
      <c r="F30" s="202"/>
      <c r="G30" s="778"/>
    </row>
    <row r="31" spans="1:11" x14ac:dyDescent="0.2">
      <c r="A31" s="782"/>
      <c r="D31" s="237"/>
      <c r="E31" s="783" t="s">
        <v>769</v>
      </c>
      <c r="F31" s="784" t="s">
        <v>539</v>
      </c>
      <c r="G31" s="737"/>
      <c r="H31" s="2311"/>
      <c r="I31" s="2312"/>
      <c r="J31" s="2312"/>
      <c r="K31" s="2312"/>
    </row>
    <row r="32" spans="1:11" x14ac:dyDescent="0.2">
      <c r="A32" s="782"/>
      <c r="B32" s="237"/>
      <c r="C32" s="237"/>
      <c r="D32" s="237"/>
      <c r="E32" s="778"/>
      <c r="F32" s="784" t="s">
        <v>540</v>
      </c>
      <c r="G32" s="737"/>
      <c r="H32" s="2313"/>
      <c r="I32" s="2312"/>
      <c r="J32" s="2312"/>
      <c r="K32" s="2312"/>
    </row>
    <row r="33" spans="1:11" ht="1.5" customHeight="1" x14ac:dyDescent="0.2">
      <c r="A33" s="785" t="s">
        <v>1169</v>
      </c>
      <c r="B33" s="364"/>
      <c r="C33" s="364"/>
      <c r="D33" s="364"/>
      <c r="E33" s="364"/>
      <c r="F33" s="364"/>
      <c r="G33" s="786"/>
      <c r="H33" s="2313"/>
      <c r="I33" s="2312"/>
      <c r="J33" s="2312"/>
      <c r="K33" s="2312"/>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1" t="s">
        <v>541</v>
      </c>
      <c r="B41" s="2282"/>
      <c r="C41" s="2282"/>
      <c r="D41" s="2282"/>
      <c r="E41" s="2282"/>
      <c r="F41" s="2283"/>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C10" sqref="C10"/>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0" t="s">
        <v>1909</v>
      </c>
      <c r="B1" s="2321"/>
      <c r="C1" s="2322"/>
      <c r="D1" s="799"/>
      <c r="E1" s="800"/>
      <c r="F1" s="800"/>
      <c r="G1" s="801"/>
      <c r="H1" s="802"/>
      <c r="I1" s="803"/>
      <c r="J1" s="2318"/>
      <c r="K1" s="2319"/>
      <c r="L1" s="2319"/>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81500</v>
      </c>
      <c r="D5" s="814"/>
      <c r="E5" s="814"/>
      <c r="F5" s="1733">
        <f>(C5+D5)-E5</f>
        <v>81500</v>
      </c>
      <c r="G5" s="810"/>
      <c r="H5" s="815"/>
      <c r="I5" s="815"/>
      <c r="J5" s="815"/>
      <c r="K5" s="766"/>
      <c r="L5" s="1742">
        <f>F5-K5</f>
        <v>81500</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25403896</v>
      </c>
      <c r="D8" s="817"/>
      <c r="E8" s="817"/>
      <c r="F8" s="1733">
        <f>(C8+D8)-E8</f>
        <v>25403896</v>
      </c>
      <c r="G8" s="816">
        <v>50</v>
      </c>
      <c r="H8" s="738">
        <v>7205036</v>
      </c>
      <c r="I8" s="738">
        <v>508352</v>
      </c>
      <c r="J8" s="738"/>
      <c r="K8" s="1742">
        <f>(H8+I8)-J8</f>
        <v>7713388</v>
      </c>
      <c r="L8" s="1742">
        <f>F8-K8</f>
        <v>17690508</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1528226</v>
      </c>
      <c r="D10" s="819">
        <v>20630</v>
      </c>
      <c r="E10" s="819"/>
      <c r="F10" s="1737">
        <f>(C10+D10)-E10</f>
        <v>1548856</v>
      </c>
      <c r="G10" s="816">
        <v>20</v>
      </c>
      <c r="H10" s="820">
        <v>818353</v>
      </c>
      <c r="I10" s="820">
        <v>84714</v>
      </c>
      <c r="J10" s="820"/>
      <c r="K10" s="1742">
        <f>(H10+I10)-J10</f>
        <v>903067</v>
      </c>
      <c r="L10" s="1742">
        <f>F10-K10</f>
        <v>645789</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5099296</v>
      </c>
      <c r="D12" s="817">
        <v>67552</v>
      </c>
      <c r="E12" s="817"/>
      <c r="F12" s="1733">
        <f>(C12+D12)-E12</f>
        <v>5166848</v>
      </c>
      <c r="G12" s="816">
        <v>10</v>
      </c>
      <c r="H12" s="738">
        <v>4495513</v>
      </c>
      <c r="I12" s="738">
        <v>152986</v>
      </c>
      <c r="J12" s="738"/>
      <c r="K12" s="1742">
        <f>(H12+I12)-J12</f>
        <v>4648499</v>
      </c>
      <c r="L12" s="1742">
        <f>F12-K12</f>
        <v>518349</v>
      </c>
    </row>
    <row r="13" spans="1:14" ht="14.25" thickTop="1" thickBot="1" x14ac:dyDescent="0.25">
      <c r="A13" s="821" t="s">
        <v>1122</v>
      </c>
      <c r="B13" s="813">
        <v>252</v>
      </c>
      <c r="C13" s="817">
        <v>181510</v>
      </c>
      <c r="D13" s="817"/>
      <c r="E13" s="817"/>
      <c r="F13" s="1733">
        <f>(C13+D13)-E13</f>
        <v>181510</v>
      </c>
      <c r="G13" s="816">
        <v>5</v>
      </c>
      <c r="H13" s="738">
        <v>123487</v>
      </c>
      <c r="I13" s="738">
        <v>24002</v>
      </c>
      <c r="J13" s="738"/>
      <c r="K13" s="1742">
        <f>(H13+I13)-J13</f>
        <v>147489</v>
      </c>
      <c r="L13" s="1742">
        <f>F13-K13</f>
        <v>34021</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v>51308</v>
      </c>
      <c r="E15" s="817"/>
      <c r="F15" s="1733">
        <f>(C15+D15)-E15</f>
        <v>51308</v>
      </c>
      <c r="G15" s="822" t="s">
        <v>862</v>
      </c>
      <c r="H15" s="754"/>
      <c r="I15" s="754"/>
      <c r="J15" s="754"/>
      <c r="K15" s="754"/>
      <c r="L15" s="1742">
        <f>F15-K15</f>
        <v>51308</v>
      </c>
    </row>
    <row r="16" spans="1:14" ht="15" customHeight="1" thickTop="1" thickBot="1" x14ac:dyDescent="0.25">
      <c r="A16" s="1738" t="s">
        <v>643</v>
      </c>
      <c r="B16" s="1739">
        <v>200</v>
      </c>
      <c r="C16" s="1733">
        <f>SUM(C3,C5:C6,C8:C10,C12:C15)</f>
        <v>32294428</v>
      </c>
      <c r="D16" s="1733">
        <f>SUM(D3,D5:D6,D8:D10,D12:D15)</f>
        <v>139490</v>
      </c>
      <c r="E16" s="1733">
        <f>SUM(E3,E5:E6,E8:E10,E12:E15)</f>
        <v>0</v>
      </c>
      <c r="F16" s="1733">
        <f>SUM(F3,F5:F6,F8:F10,F12:F15)</f>
        <v>32433918</v>
      </c>
      <c r="G16" s="816"/>
      <c r="H16" s="1733">
        <f>SUM(H3,H6,H8:H10,H12:H14,)</f>
        <v>12642389</v>
      </c>
      <c r="I16" s="1733">
        <f>SUM(I3,I6,I8:I10,I12:I14,)</f>
        <v>770054</v>
      </c>
      <c r="J16" s="1733">
        <f>SUM(J3,J6,J8:J10,J12:J14,)</f>
        <v>0</v>
      </c>
      <c r="K16" s="1733">
        <f>(H16+I16)-J16</f>
        <v>13412443</v>
      </c>
      <c r="L16" s="1733">
        <f>F16-K16</f>
        <v>19021475</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0</v>
      </c>
      <c r="G17" s="810">
        <v>10</v>
      </c>
      <c r="H17" s="742"/>
      <c r="I17" s="1742">
        <f>F17/G17</f>
        <v>0</v>
      </c>
      <c r="J17" s="742"/>
      <c r="K17" s="768"/>
      <c r="L17" s="768"/>
    </row>
    <row r="18" spans="1:12" ht="14.25" thickTop="1" thickBot="1" x14ac:dyDescent="0.25">
      <c r="A18" s="1740" t="s">
        <v>685</v>
      </c>
      <c r="B18" s="1741"/>
      <c r="C18" s="744"/>
      <c r="D18" s="744"/>
      <c r="E18" s="744"/>
      <c r="F18" s="823"/>
      <c r="G18" s="824"/>
      <c r="H18" s="746"/>
      <c r="I18" s="1733">
        <f>SUM(I16,I17)</f>
        <v>770054</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57" activePane="bottomLeft" state="frozen"/>
      <selection activeCell="AF22" sqref="AF22"/>
      <selection pane="bottomLeft" activeCell="F171" sqref="F171"/>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6" t="s">
        <v>1975</v>
      </c>
      <c r="B1" s="2327"/>
      <c r="C1" s="2327"/>
      <c r="D1" s="2327"/>
      <c r="E1" s="2327"/>
      <c r="F1" s="2328"/>
      <c r="G1" s="828"/>
    </row>
    <row r="2" spans="1:7" ht="15" customHeight="1" thickBot="1" x14ac:dyDescent="0.25">
      <c r="A2" s="2329" t="s">
        <v>477</v>
      </c>
      <c r="B2" s="2330"/>
      <c r="C2" s="2330"/>
      <c r="D2" s="2330"/>
      <c r="E2" s="2330"/>
      <c r="F2" s="2331"/>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2"/>
      <c r="B5" s="2333"/>
      <c r="C5" s="2333"/>
      <c r="D5" s="2333"/>
      <c r="E5" s="2333"/>
      <c r="F5" s="2333"/>
    </row>
    <row r="6" spans="1:7" ht="13.5" customHeight="1" thickBot="1" x14ac:dyDescent="0.25">
      <c r="A6" s="2323" t="s">
        <v>1104</v>
      </c>
      <c r="B6" s="2324"/>
      <c r="C6" s="2324"/>
      <c r="D6" s="2324"/>
      <c r="E6" s="2324"/>
      <c r="F6" s="2325"/>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8513049</v>
      </c>
      <c r="G8" s="838"/>
    </row>
    <row r="9" spans="1:7" x14ac:dyDescent="0.2">
      <c r="A9" s="842" t="s">
        <v>460</v>
      </c>
      <c r="B9" s="843" t="s">
        <v>1877</v>
      </c>
      <c r="C9" s="844"/>
      <c r="D9" s="842" t="s">
        <v>501</v>
      </c>
      <c r="E9" s="841"/>
      <c r="F9" s="1882">
        <f>'Expenditures 15-22'!K151</f>
        <v>1219448</v>
      </c>
      <c r="G9" s="845"/>
    </row>
    <row r="10" spans="1:7" x14ac:dyDescent="0.2">
      <c r="A10" s="842" t="s">
        <v>499</v>
      </c>
      <c r="B10" s="843" t="s">
        <v>1878</v>
      </c>
      <c r="C10" s="844"/>
      <c r="D10" s="842" t="s">
        <v>501</v>
      </c>
      <c r="E10" s="841"/>
      <c r="F10" s="1882">
        <f>'Expenditures 15-22'!K174</f>
        <v>1880080</v>
      </c>
      <c r="G10" s="845"/>
    </row>
    <row r="11" spans="1:7" x14ac:dyDescent="0.2">
      <c r="A11" s="842" t="s">
        <v>461</v>
      </c>
      <c r="B11" s="843" t="s">
        <v>1879</v>
      </c>
      <c r="C11" s="844"/>
      <c r="D11" s="842" t="s">
        <v>501</v>
      </c>
      <c r="E11" s="841"/>
      <c r="F11" s="1882">
        <f>'Expenditures 15-22'!K210</f>
        <v>2494450</v>
      </c>
      <c r="G11" s="845"/>
    </row>
    <row r="12" spans="1:7" x14ac:dyDescent="0.2">
      <c r="A12" s="842" t="s">
        <v>462</v>
      </c>
      <c r="B12" s="843" t="s">
        <v>1880</v>
      </c>
      <c r="C12" s="844"/>
      <c r="D12" s="842" t="s">
        <v>501</v>
      </c>
      <c r="E12" s="841"/>
      <c r="F12" s="1882">
        <f>'Expenditures 15-22'!K295</f>
        <v>354912</v>
      </c>
      <c r="G12" s="845"/>
    </row>
    <row r="13" spans="1:7" x14ac:dyDescent="0.2">
      <c r="A13" s="842" t="s">
        <v>106</v>
      </c>
      <c r="B13" s="843" t="s">
        <v>1881</v>
      </c>
      <c r="C13" s="844"/>
      <c r="D13" s="842" t="s">
        <v>501</v>
      </c>
      <c r="E13" s="841"/>
      <c r="F13" s="1882">
        <f>'Expenditures 15-22'!K342</f>
        <v>0</v>
      </c>
      <c r="G13" s="846"/>
    </row>
    <row r="14" spans="1:7" ht="12" customHeight="1" thickBot="1" x14ac:dyDescent="0.25">
      <c r="A14" s="1743"/>
      <c r="B14" s="1744"/>
      <c r="C14" s="1745"/>
      <c r="D14" s="1746" t="s">
        <v>501</v>
      </c>
      <c r="E14" s="1747" t="s">
        <v>958</v>
      </c>
      <c r="F14" s="1748">
        <f>SUM(F8:F13)</f>
        <v>14461939</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691621</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720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163453</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220394</v>
      </c>
      <c r="G53" s="838"/>
    </row>
    <row r="54" spans="1:7" x14ac:dyDescent="0.2">
      <c r="A54" s="842" t="s">
        <v>459</v>
      </c>
      <c r="B54" s="842" t="s">
        <v>1476</v>
      </c>
      <c r="C54" s="862" t="s">
        <v>982</v>
      </c>
      <c r="D54" s="858" t="s">
        <v>1095</v>
      </c>
      <c r="E54" s="841"/>
      <c r="F54" s="1886">
        <f>'Expenditures 15-22'!G114</f>
        <v>31084</v>
      </c>
      <c r="G54" s="838"/>
    </row>
    <row r="55" spans="1:7" x14ac:dyDescent="0.2">
      <c r="A55" s="842" t="s">
        <v>459</v>
      </c>
      <c r="B55" s="842" t="s">
        <v>1477</v>
      </c>
      <c r="C55" s="862" t="s">
        <v>982</v>
      </c>
      <c r="D55" s="858" t="s">
        <v>291</v>
      </c>
      <c r="E55" s="841"/>
      <c r="F55" s="1886">
        <f>'Expenditures 15-22'!I114</f>
        <v>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107823</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1785000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583</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3000678</v>
      </c>
      <c r="G76" s="838"/>
    </row>
    <row r="77" spans="1:8" s="866" customFormat="1" ht="12" customHeight="1" thickTop="1" thickBot="1" x14ac:dyDescent="0.25">
      <c r="A77" s="1752"/>
      <c r="B77" s="1749"/>
      <c r="C77" s="1745"/>
      <c r="D77" s="1750" t="s">
        <v>1900</v>
      </c>
      <c r="E77" s="1747"/>
      <c r="F77" s="1753">
        <f>(F14-F76)</f>
        <v>11461261</v>
      </c>
      <c r="G77" s="842"/>
    </row>
    <row r="78" spans="1:8" s="866" customFormat="1" ht="12" customHeight="1" thickTop="1" x14ac:dyDescent="0.2">
      <c r="A78" s="1754"/>
      <c r="B78" s="1749"/>
      <c r="C78" s="1745"/>
      <c r="D78" s="1750" t="s">
        <v>2062</v>
      </c>
      <c r="E78" s="1747"/>
      <c r="F78" s="871">
        <v>552.79999999999995</v>
      </c>
      <c r="G78" s="872"/>
      <c r="H78" s="842"/>
    </row>
    <row r="79" spans="1:8" s="866" customFormat="1" ht="12" customHeight="1" thickBot="1" x14ac:dyDescent="0.25">
      <c r="A79" s="1755"/>
      <c r="B79" s="1749"/>
      <c r="C79" s="1745"/>
      <c r="D79" s="1750" t="s">
        <v>1901</v>
      </c>
      <c r="E79" s="1747" t="s">
        <v>958</v>
      </c>
      <c r="F79" s="1756">
        <f>IF(F78&gt;0,F77/F78," Complete Line 78")</f>
        <v>20733.106005788715</v>
      </c>
      <c r="G79" s="842"/>
    </row>
    <row r="80" spans="1:8" s="866" customFormat="1" ht="8.25" customHeight="1" thickTop="1" x14ac:dyDescent="0.2">
      <c r="A80" s="873"/>
      <c r="B80" s="842"/>
      <c r="C80" s="844"/>
      <c r="D80" s="874"/>
      <c r="E80" s="841"/>
      <c r="F80" s="875"/>
      <c r="G80" s="842"/>
    </row>
    <row r="81" spans="1:7" s="866" customFormat="1" ht="12" thickBot="1" x14ac:dyDescent="0.25">
      <c r="A81" s="2323" t="s">
        <v>1105</v>
      </c>
      <c r="B81" s="2324"/>
      <c r="C81" s="2324"/>
      <c r="D81" s="2324"/>
      <c r="E81" s="2324"/>
      <c r="F81" s="2325"/>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233093</v>
      </c>
      <c r="G94" s="885"/>
    </row>
    <row r="95" spans="1:7" x14ac:dyDescent="0.2">
      <c r="A95" s="881" t="s">
        <v>140</v>
      </c>
      <c r="B95" s="881" t="s">
        <v>175</v>
      </c>
      <c r="C95" s="883">
        <v>1700</v>
      </c>
      <c r="D95" s="891" t="str">
        <f>'Revenues 9-14'!A82</f>
        <v>Total District/School Activity Income</v>
      </c>
      <c r="E95" s="879"/>
      <c r="F95" s="1762">
        <f>SUM('Revenues 9-14'!C82,'Revenues 9-14'!D82)</f>
        <v>390459</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5925</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31933</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5331</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0</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22363</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610551</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3588</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0</v>
      </c>
      <c r="G125" s="903"/>
    </row>
    <row r="126" spans="1:7" x14ac:dyDescent="0.2">
      <c r="A126" s="900" t="s">
        <v>668</v>
      </c>
      <c r="B126" s="900" t="s">
        <v>2024</v>
      </c>
      <c r="C126" s="905">
        <v>4300</v>
      </c>
      <c r="D126" s="906" t="str">
        <f>'Revenues 9-14'!A204</f>
        <v>Total Title I</v>
      </c>
      <c r="E126" s="879"/>
      <c r="F126" s="1762">
        <f>SUM('Revenues 9-14'!C204,'Revenues 9-14'!D204,'Revenues 9-14'!F204,'Revenues 9-14'!G204)</f>
        <v>0</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121462</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12589</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5480</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4113</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233852</v>
      </c>
      <c r="G171" s="900"/>
    </row>
    <row r="172" spans="1:7" x14ac:dyDescent="0.2">
      <c r="A172" s="1891" t="s">
        <v>664</v>
      </c>
      <c r="B172" s="1892" t="s">
        <v>1920</v>
      </c>
      <c r="C172" s="1893">
        <v>3300</v>
      </c>
      <c r="D172" s="1894" t="s">
        <v>1923</v>
      </c>
      <c r="E172" s="879"/>
      <c r="F172" s="1879"/>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1680739</v>
      </c>
    </row>
    <row r="175" spans="1:7" ht="12" customHeight="1" x14ac:dyDescent="0.2">
      <c r="A175" s="1743"/>
      <c r="B175" s="1757"/>
      <c r="C175" s="1758"/>
      <c r="D175" s="1759" t="s">
        <v>2057</v>
      </c>
      <c r="E175" s="1760"/>
      <c r="F175" s="1762">
        <f>'PCTC-OEPP 27-28'!F77-F174</f>
        <v>9780522</v>
      </c>
    </row>
    <row r="176" spans="1:7" ht="12" customHeight="1" x14ac:dyDescent="0.2">
      <c r="A176" s="1743"/>
      <c r="B176" s="1757"/>
      <c r="C176" s="1758"/>
      <c r="D176" s="1759" t="s">
        <v>1817</v>
      </c>
      <c r="E176" s="1760"/>
      <c r="F176" s="1762">
        <f>'Cap Outlay Deprec 26'!I18</f>
        <v>770054</v>
      </c>
    </row>
    <row r="177" spans="1:7" ht="12" customHeight="1" x14ac:dyDescent="0.2">
      <c r="A177" s="1743"/>
      <c r="B177" s="1757"/>
      <c r="C177" s="1758"/>
      <c r="D177" s="1759" t="s">
        <v>2058</v>
      </c>
      <c r="E177" s="1760"/>
      <c r="F177" s="1762">
        <f>F175+F176</f>
        <v>10550576</v>
      </c>
    </row>
    <row r="178" spans="1:7" ht="12" customHeight="1" x14ac:dyDescent="0.2">
      <c r="A178" s="1743"/>
      <c r="B178" s="1763"/>
      <c r="C178" s="1758"/>
      <c r="D178" s="1759" t="str">
        <f>D78</f>
        <v>9 Month ADA from District Average Daily Attendance/Prior General State Aid Inquiry 2018-2019</v>
      </c>
      <c r="E178" s="1760"/>
      <c r="F178" s="1764">
        <f>'PCTC-OEPP 27-28'!F78</f>
        <v>552.79999999999995</v>
      </c>
      <c r="G178" s="903"/>
    </row>
    <row r="179" spans="1:7" ht="12" customHeight="1" thickBot="1" x14ac:dyDescent="0.25">
      <c r="A179" s="1743"/>
      <c r="B179" s="1763"/>
      <c r="C179" s="1758"/>
      <c r="D179" s="1759" t="s">
        <v>2059</v>
      </c>
      <c r="E179" s="1760" t="s">
        <v>1545</v>
      </c>
      <c r="F179" s="1765">
        <f>F177/F178</f>
        <v>19085.701881331406</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topLeftCell="A4" zoomScaleNormal="100" workbookViewId="0">
      <selection activeCell="A17" sqref="A17"/>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7" t="s">
        <v>1818</v>
      </c>
      <c r="B4" s="2338"/>
      <c r="C4" s="2338"/>
      <c r="D4" s="2338"/>
      <c r="E4" s="2338"/>
      <c r="F4" s="2338"/>
      <c r="G4" s="2339"/>
    </row>
    <row r="5" spans="1:7" x14ac:dyDescent="0.25">
      <c r="A5" s="2340"/>
      <c r="B5" s="2341"/>
      <c r="C5" s="2341"/>
      <c r="D5" s="2341"/>
      <c r="E5" s="2341"/>
      <c r="F5" s="2341"/>
      <c r="G5" s="2342"/>
    </row>
    <row r="6" spans="1:7" ht="18.75" x14ac:dyDescent="0.25">
      <c r="A6" s="1507" t="s">
        <v>1819</v>
      </c>
      <c r="B6" s="1508"/>
      <c r="C6" s="1508"/>
      <c r="D6" s="1508"/>
      <c r="E6" s="1508"/>
      <c r="F6" s="1508"/>
      <c r="G6" s="1509"/>
    </row>
    <row r="7" spans="1:7" ht="30.75" customHeight="1" x14ac:dyDescent="0.25">
      <c r="A7" s="2343" t="s">
        <v>1932</v>
      </c>
      <c r="B7" s="2344"/>
      <c r="C7" s="2344"/>
      <c r="D7" s="2344"/>
      <c r="E7" s="2344"/>
      <c r="F7" s="2344"/>
      <c r="G7" s="2345"/>
    </row>
    <row r="8" spans="1:7" ht="15.75" customHeight="1" x14ac:dyDescent="0.25">
      <c r="A8" s="2346" t="s">
        <v>1907</v>
      </c>
      <c r="B8" s="2347"/>
      <c r="C8" s="2347"/>
      <c r="D8" s="2347"/>
      <c r="E8" s="2347"/>
      <c r="F8" s="2347"/>
      <c r="G8" s="2348"/>
    </row>
    <row r="9" spans="1:7" ht="35.25" customHeight="1" x14ac:dyDescent="0.25">
      <c r="A9" s="2343" t="s">
        <v>1935</v>
      </c>
      <c r="B9" s="2344"/>
      <c r="C9" s="2344"/>
      <c r="D9" s="2344"/>
      <c r="E9" s="2344"/>
      <c r="F9" s="2344"/>
      <c r="G9" s="2345"/>
    </row>
    <row r="10" spans="1:7" ht="15" customHeight="1" x14ac:dyDescent="0.25">
      <c r="A10" s="1510" t="s">
        <v>1820</v>
      </c>
      <c r="B10" s="1511"/>
      <c r="C10" s="1511"/>
      <c r="D10" s="1511"/>
      <c r="E10" s="1511"/>
      <c r="F10" s="1511"/>
      <c r="G10" s="1512"/>
    </row>
    <row r="11" spans="1:7" ht="17.25" customHeight="1" x14ac:dyDescent="0.25">
      <c r="A11" s="2343" t="s">
        <v>1934</v>
      </c>
      <c r="B11" s="2344"/>
      <c r="C11" s="2344"/>
      <c r="D11" s="2344"/>
      <c r="E11" s="2344"/>
      <c r="F11" s="2344"/>
      <c r="G11" s="2345"/>
    </row>
    <row r="12" spans="1:7" ht="15" customHeight="1" x14ac:dyDescent="0.25">
      <c r="A12" s="1510" t="s">
        <v>1825</v>
      </c>
      <c r="B12" s="1511"/>
      <c r="C12" s="1511"/>
      <c r="D12" s="1511"/>
      <c r="E12" s="1511"/>
      <c r="F12" s="1511"/>
      <c r="G12" s="1512"/>
    </row>
    <row r="13" spans="1:7" ht="32.25" customHeight="1" x14ac:dyDescent="0.25">
      <c r="A13" s="2334" t="s">
        <v>1976</v>
      </c>
      <c r="B13" s="2335"/>
      <c r="C13" s="2335"/>
      <c r="D13" s="2335"/>
      <c r="E13" s="2335"/>
      <c r="F13" s="2335"/>
      <c r="G13" s="2336"/>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1903"/>
      <c r="B17" s="1908"/>
      <c r="C17" s="1629"/>
      <c r="D17" s="1817"/>
      <c r="E17" s="1513">
        <f t="shared" ref="E17:E141" si="0">IF(D17&lt;=25000,D17,IF(D17&gt;25000,25000,0))</f>
        <v>0</v>
      </c>
      <c r="F17" s="190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1626"/>
      <c r="B18" s="1908"/>
      <c r="C18" s="1629"/>
      <c r="D18" s="1817"/>
      <c r="E18" s="1513">
        <f t="shared" ref="E18:E140" si="2">IF(D18&lt;=25000,D18,IF(D18&gt;25000,25000,0))</f>
        <v>0</v>
      </c>
      <c r="F18" s="1906">
        <f t="shared" si="1"/>
        <v>0</v>
      </c>
      <c r="G18" s="1766">
        <f t="shared" ref="G18:G140" si="3">IF(F18=0,0,D18-F18)</f>
        <v>0</v>
      </c>
    </row>
    <row r="19" spans="1:8" x14ac:dyDescent="0.25">
      <c r="A19" s="1626"/>
      <c r="B19" s="1908"/>
      <c r="C19" s="1629"/>
      <c r="D19" s="1817"/>
      <c r="E19" s="1513">
        <f t="shared" si="2"/>
        <v>0</v>
      </c>
      <c r="F19" s="1906">
        <f t="shared" si="1"/>
        <v>0</v>
      </c>
      <c r="G19" s="1766">
        <f t="shared" si="3"/>
        <v>0</v>
      </c>
    </row>
    <row r="20" spans="1:8" x14ac:dyDescent="0.25">
      <c r="A20" s="1626"/>
      <c r="B20" s="1908"/>
      <c r="C20" s="1629"/>
      <c r="D20" s="1817"/>
      <c r="E20" s="1513">
        <f t="shared" si="2"/>
        <v>0</v>
      </c>
      <c r="F20" s="1906">
        <f t="shared" si="1"/>
        <v>0</v>
      </c>
      <c r="G20" s="1766">
        <f t="shared" si="3"/>
        <v>0</v>
      </c>
    </row>
    <row r="21" spans="1:8" x14ac:dyDescent="0.25">
      <c r="A21" s="1626"/>
      <c r="B21" s="1908"/>
      <c r="C21" s="1629"/>
      <c r="D21" s="1817"/>
      <c r="E21" s="1513">
        <f t="shared" si="2"/>
        <v>0</v>
      </c>
      <c r="F21" s="1906">
        <f t="shared" si="1"/>
        <v>0</v>
      </c>
      <c r="G21" s="1766">
        <f t="shared" si="3"/>
        <v>0</v>
      </c>
    </row>
    <row r="22" spans="1:8" x14ac:dyDescent="0.25">
      <c r="A22" s="1626"/>
      <c r="B22" s="1908"/>
      <c r="C22" s="1629"/>
      <c r="D22" s="1817"/>
      <c r="E22" s="1513">
        <f t="shared" si="2"/>
        <v>0</v>
      </c>
      <c r="F22" s="1906">
        <f t="shared" si="1"/>
        <v>0</v>
      </c>
      <c r="G22" s="1766">
        <f t="shared" si="3"/>
        <v>0</v>
      </c>
    </row>
    <row r="23" spans="1:8" x14ac:dyDescent="0.25">
      <c r="A23" s="1626"/>
      <c r="B23" s="1908"/>
      <c r="C23" s="1629"/>
      <c r="D23" s="1817"/>
      <c r="E23" s="1513">
        <f t="shared" si="2"/>
        <v>0</v>
      </c>
      <c r="F23" s="1906">
        <f t="shared" si="1"/>
        <v>0</v>
      </c>
      <c r="G23" s="1766">
        <f t="shared" si="3"/>
        <v>0</v>
      </c>
    </row>
    <row r="24" spans="1:8" x14ac:dyDescent="0.25">
      <c r="A24" s="1626"/>
      <c r="B24" s="1908"/>
      <c r="C24" s="1629"/>
      <c r="D24" s="1817"/>
      <c r="E24" s="1513">
        <f t="shared" si="2"/>
        <v>0</v>
      </c>
      <c r="F24" s="1906">
        <f t="shared" si="1"/>
        <v>0</v>
      </c>
      <c r="G24" s="1766">
        <f t="shared" si="3"/>
        <v>0</v>
      </c>
    </row>
    <row r="25" spans="1:8" x14ac:dyDescent="0.25">
      <c r="A25" s="1626"/>
      <c r="B25" s="1908"/>
      <c r="C25" s="1629"/>
      <c r="D25" s="1817"/>
      <c r="E25" s="1513">
        <f t="shared" si="2"/>
        <v>0</v>
      </c>
      <c r="F25" s="1906">
        <f t="shared" si="1"/>
        <v>0</v>
      </c>
      <c r="G25" s="1766">
        <f t="shared" si="3"/>
        <v>0</v>
      </c>
    </row>
    <row r="26" spans="1:8" x14ac:dyDescent="0.25">
      <c r="A26" s="1626"/>
      <c r="B26" s="1908"/>
      <c r="C26" s="1627"/>
      <c r="D26" s="1817"/>
      <c r="E26" s="1513">
        <f t="shared" si="2"/>
        <v>0</v>
      </c>
      <c r="F26" s="1906">
        <f t="shared" si="1"/>
        <v>0</v>
      </c>
      <c r="G26" s="1766">
        <f t="shared" si="3"/>
        <v>0</v>
      </c>
    </row>
    <row r="27" spans="1:8" x14ac:dyDescent="0.25">
      <c r="A27" s="1626"/>
      <c r="B27" s="1908"/>
      <c r="C27" s="1627"/>
      <c r="D27" s="1817"/>
      <c r="E27" s="1513">
        <f t="shared" si="2"/>
        <v>0</v>
      </c>
      <c r="F27" s="1906">
        <f t="shared" si="1"/>
        <v>0</v>
      </c>
      <c r="G27" s="1766">
        <f t="shared" si="3"/>
        <v>0</v>
      </c>
    </row>
    <row r="28" spans="1:8" x14ac:dyDescent="0.25">
      <c r="A28" s="1626"/>
      <c r="B28" s="1908"/>
      <c r="C28" s="1627"/>
      <c r="D28" s="1817"/>
      <c r="E28" s="1513">
        <f t="shared" si="2"/>
        <v>0</v>
      </c>
      <c r="F28" s="1906">
        <f t="shared" si="1"/>
        <v>0</v>
      </c>
      <c r="G28" s="1766">
        <f t="shared" si="3"/>
        <v>0</v>
      </c>
    </row>
    <row r="29" spans="1:8" x14ac:dyDescent="0.25">
      <c r="A29" s="1626"/>
      <c r="B29" s="1908"/>
      <c r="C29" s="1627"/>
      <c r="D29" s="1817"/>
      <c r="E29" s="1513">
        <f t="shared" si="2"/>
        <v>0</v>
      </c>
      <c r="F29" s="1906">
        <f t="shared" si="1"/>
        <v>0</v>
      </c>
      <c r="G29" s="1766">
        <f t="shared" si="3"/>
        <v>0</v>
      </c>
    </row>
    <row r="30" spans="1:8" x14ac:dyDescent="0.25">
      <c r="A30" s="1626"/>
      <c r="B30" s="1908"/>
      <c r="C30" s="1627"/>
      <c r="D30" s="1817"/>
      <c r="E30" s="1513">
        <f t="shared" si="2"/>
        <v>0</v>
      </c>
      <c r="F30" s="1906">
        <f t="shared" si="1"/>
        <v>0</v>
      </c>
      <c r="G30" s="1766">
        <f t="shared" si="3"/>
        <v>0</v>
      </c>
    </row>
    <row r="31" spans="1:8" x14ac:dyDescent="0.25">
      <c r="A31" s="1626"/>
      <c r="B31" s="1908"/>
      <c r="C31" s="1627"/>
      <c r="D31" s="1817"/>
      <c r="E31" s="1513">
        <f t="shared" si="2"/>
        <v>0</v>
      </c>
      <c r="F31" s="1906">
        <f t="shared" si="1"/>
        <v>0</v>
      </c>
      <c r="G31" s="1766">
        <f t="shared" si="3"/>
        <v>0</v>
      </c>
    </row>
    <row r="32" spans="1:8" x14ac:dyDescent="0.25">
      <c r="A32" s="1626"/>
      <c r="B32" s="1908"/>
      <c r="C32" s="1627"/>
      <c r="D32" s="1817"/>
      <c r="E32" s="1513">
        <f t="shared" si="2"/>
        <v>0</v>
      </c>
      <c r="F32" s="1906">
        <f t="shared" si="1"/>
        <v>0</v>
      </c>
      <c r="G32" s="1766">
        <f t="shared" si="3"/>
        <v>0</v>
      </c>
    </row>
    <row r="33" spans="1:7" x14ac:dyDescent="0.25">
      <c r="A33" s="1626"/>
      <c r="B33" s="1908"/>
      <c r="C33" s="1627"/>
      <c r="D33" s="1817"/>
      <c r="E33" s="1513">
        <f t="shared" si="2"/>
        <v>0</v>
      </c>
      <c r="F33" s="1906">
        <f t="shared" si="1"/>
        <v>0</v>
      </c>
      <c r="G33" s="1766">
        <f t="shared" si="3"/>
        <v>0</v>
      </c>
    </row>
    <row r="34" spans="1:7" x14ac:dyDescent="0.25">
      <c r="A34" s="1626"/>
      <c r="B34" s="1908"/>
      <c r="C34" s="1627"/>
      <c r="D34" s="1817"/>
      <c r="E34" s="1513">
        <f t="shared" si="2"/>
        <v>0</v>
      </c>
      <c r="F34" s="1906">
        <f t="shared" si="1"/>
        <v>0</v>
      </c>
      <c r="G34" s="1766">
        <f t="shared" si="3"/>
        <v>0</v>
      </c>
    </row>
    <row r="35" spans="1:7" x14ac:dyDescent="0.25">
      <c r="A35" s="1626"/>
      <c r="B35" s="1908"/>
      <c r="C35" s="1627"/>
      <c r="D35" s="1817"/>
      <c r="E35" s="1513">
        <f t="shared" si="2"/>
        <v>0</v>
      </c>
      <c r="F35" s="1906">
        <f t="shared" si="1"/>
        <v>0</v>
      </c>
      <c r="G35" s="1766">
        <f t="shared" si="3"/>
        <v>0</v>
      </c>
    </row>
    <row r="36" spans="1:7" x14ac:dyDescent="0.25">
      <c r="A36" s="1626"/>
      <c r="B36" s="1908"/>
      <c r="C36" s="1627"/>
      <c r="D36" s="1817"/>
      <c r="E36" s="1513">
        <f t="shared" si="2"/>
        <v>0</v>
      </c>
      <c r="F36" s="1906">
        <f t="shared" si="1"/>
        <v>0</v>
      </c>
      <c r="G36" s="1766">
        <f t="shared" si="3"/>
        <v>0</v>
      </c>
    </row>
    <row r="37" spans="1:7" x14ac:dyDescent="0.25">
      <c r="A37" s="1626"/>
      <c r="B37" s="1908"/>
      <c r="C37" s="1627"/>
      <c r="D37" s="1817"/>
      <c r="E37" s="1513">
        <f t="shared" si="2"/>
        <v>0</v>
      </c>
      <c r="F37" s="1906">
        <f t="shared" si="1"/>
        <v>0</v>
      </c>
      <c r="G37" s="1766">
        <f t="shared" si="3"/>
        <v>0</v>
      </c>
    </row>
    <row r="38" spans="1:7" x14ac:dyDescent="0.25">
      <c r="A38" s="1626"/>
      <c r="B38" s="1909"/>
      <c r="C38" s="1627"/>
      <c r="D38" s="1817"/>
      <c r="E38" s="1513">
        <f t="shared" si="2"/>
        <v>0</v>
      </c>
      <c r="F38" s="1906">
        <f t="shared" si="1"/>
        <v>0</v>
      </c>
      <c r="G38" s="1766">
        <f t="shared" si="3"/>
        <v>0</v>
      </c>
    </row>
    <row r="39" spans="1:7" x14ac:dyDescent="0.25">
      <c r="A39" s="1626"/>
      <c r="B39" s="1909"/>
      <c r="C39" s="1627"/>
      <c r="D39" s="1817"/>
      <c r="E39" s="1513">
        <f t="shared" si="2"/>
        <v>0</v>
      </c>
      <c r="F39" s="1906">
        <f t="shared" si="1"/>
        <v>0</v>
      </c>
      <c r="G39" s="1766">
        <f t="shared" si="3"/>
        <v>0</v>
      </c>
    </row>
    <row r="40" spans="1:7" x14ac:dyDescent="0.25">
      <c r="A40" s="1626"/>
      <c r="B40" s="1909"/>
      <c r="C40" s="1627"/>
      <c r="D40" s="1817"/>
      <c r="E40" s="1513">
        <f t="shared" si="2"/>
        <v>0</v>
      </c>
      <c r="F40" s="1906">
        <f t="shared" si="1"/>
        <v>0</v>
      </c>
      <c r="G40" s="1766">
        <f t="shared" si="3"/>
        <v>0</v>
      </c>
    </row>
    <row r="41" spans="1:7" x14ac:dyDescent="0.25">
      <c r="A41" s="1626"/>
      <c r="B41" s="1909"/>
      <c r="C41" s="1627"/>
      <c r="D41" s="1817"/>
      <c r="E41" s="1513">
        <f t="shared" si="2"/>
        <v>0</v>
      </c>
      <c r="F41" s="1906">
        <f t="shared" si="1"/>
        <v>0</v>
      </c>
      <c r="G41" s="1766">
        <f t="shared" si="3"/>
        <v>0</v>
      </c>
    </row>
    <row r="42" spans="1:7" x14ac:dyDescent="0.25">
      <c r="A42" s="1626"/>
      <c r="B42" s="1909"/>
      <c r="C42" s="1627"/>
      <c r="D42" s="1817"/>
      <c r="E42" s="1513">
        <f t="shared" si="2"/>
        <v>0</v>
      </c>
      <c r="F42" s="1906">
        <f t="shared" si="1"/>
        <v>0</v>
      </c>
      <c r="G42" s="1766">
        <f t="shared" si="3"/>
        <v>0</v>
      </c>
    </row>
    <row r="43" spans="1:7" x14ac:dyDescent="0.25">
      <c r="A43" s="1626"/>
      <c r="B43" s="1909"/>
      <c r="C43" s="1627"/>
      <c r="D43" s="1817"/>
      <c r="E43" s="1513">
        <f t="shared" si="2"/>
        <v>0</v>
      </c>
      <c r="F43" s="1906">
        <f t="shared" si="1"/>
        <v>0</v>
      </c>
      <c r="G43" s="1766">
        <f t="shared" si="3"/>
        <v>0</v>
      </c>
    </row>
    <row r="44" spans="1:7" x14ac:dyDescent="0.25">
      <c r="A44" s="1626"/>
      <c r="B44" s="1909"/>
      <c r="C44" s="1627"/>
      <c r="D44" s="1817"/>
      <c r="E44" s="1513">
        <f t="shared" si="2"/>
        <v>0</v>
      </c>
      <c r="F44" s="1906">
        <f t="shared" si="1"/>
        <v>0</v>
      </c>
      <c r="G44" s="1766">
        <f t="shared" si="3"/>
        <v>0</v>
      </c>
    </row>
    <row r="45" spans="1:7" x14ac:dyDescent="0.25">
      <c r="A45" s="1626"/>
      <c r="B45" s="1909"/>
      <c r="C45" s="1627"/>
      <c r="D45" s="1817"/>
      <c r="E45" s="1513">
        <f t="shared" si="2"/>
        <v>0</v>
      </c>
      <c r="F45" s="1906">
        <f t="shared" si="1"/>
        <v>0</v>
      </c>
      <c r="G45" s="1766">
        <f t="shared" si="3"/>
        <v>0</v>
      </c>
    </row>
    <row r="46" spans="1:7" x14ac:dyDescent="0.25">
      <c r="A46" s="1626"/>
      <c r="B46" s="1640"/>
      <c r="C46" s="1627"/>
      <c r="D46" s="1817"/>
      <c r="E46" s="1513">
        <f t="shared" si="2"/>
        <v>0</v>
      </c>
      <c r="F46" s="1906">
        <f t="shared" si="1"/>
        <v>0</v>
      </c>
      <c r="G46" s="1766">
        <f t="shared" si="3"/>
        <v>0</v>
      </c>
    </row>
    <row r="47" spans="1:7" x14ac:dyDescent="0.25">
      <c r="A47" s="1626"/>
      <c r="B47" s="1640"/>
      <c r="C47" s="1627"/>
      <c r="D47" s="1817"/>
      <c r="E47" s="1513">
        <f t="shared" si="2"/>
        <v>0</v>
      </c>
      <c r="F47" s="1906">
        <f t="shared" si="1"/>
        <v>0</v>
      </c>
      <c r="G47" s="1766">
        <f t="shared" si="3"/>
        <v>0</v>
      </c>
    </row>
    <row r="48" spans="1:7" x14ac:dyDescent="0.25">
      <c r="A48" s="1626"/>
      <c r="B48" s="1640"/>
      <c r="C48" s="1627"/>
      <c r="D48" s="1817"/>
      <c r="E48" s="1513">
        <f t="shared" si="2"/>
        <v>0</v>
      </c>
      <c r="F48" s="1906">
        <f t="shared" si="1"/>
        <v>0</v>
      </c>
      <c r="G48" s="1766">
        <f t="shared" si="3"/>
        <v>0</v>
      </c>
    </row>
    <row r="49" spans="1:7" x14ac:dyDescent="0.25">
      <c r="A49" s="1626"/>
      <c r="B49" s="1640"/>
      <c r="C49" s="1627"/>
      <c r="D49" s="1817"/>
      <c r="E49" s="1513">
        <f t="shared" si="2"/>
        <v>0</v>
      </c>
      <c r="F49" s="1906">
        <f t="shared" si="1"/>
        <v>0</v>
      </c>
      <c r="G49" s="1766">
        <f t="shared" si="3"/>
        <v>0</v>
      </c>
    </row>
    <row r="50" spans="1:7" x14ac:dyDescent="0.25">
      <c r="A50" s="1626"/>
      <c r="B50" s="1640"/>
      <c r="C50" s="1627"/>
      <c r="D50" s="1817"/>
      <c r="E50" s="1513">
        <f t="shared" si="2"/>
        <v>0</v>
      </c>
      <c r="F50" s="1906">
        <f t="shared" si="1"/>
        <v>0</v>
      </c>
      <c r="G50" s="1766">
        <f t="shared" si="3"/>
        <v>0</v>
      </c>
    </row>
    <row r="51" spans="1:7" x14ac:dyDescent="0.25">
      <c r="A51" s="1626"/>
      <c r="B51" s="1640"/>
      <c r="C51" s="1627"/>
      <c r="D51" s="1817"/>
      <c r="E51" s="1513">
        <f t="shared" si="2"/>
        <v>0</v>
      </c>
      <c r="F51" s="1906">
        <f t="shared" si="1"/>
        <v>0</v>
      </c>
      <c r="G51" s="1766">
        <f t="shared" si="3"/>
        <v>0</v>
      </c>
    </row>
    <row r="52" spans="1:7" x14ac:dyDescent="0.25">
      <c r="A52" s="1626"/>
      <c r="B52" s="1640"/>
      <c r="C52" s="1627"/>
      <c r="D52" s="1817"/>
      <c r="E52" s="1513">
        <f t="shared" si="2"/>
        <v>0</v>
      </c>
      <c r="F52" s="1906">
        <f t="shared" si="1"/>
        <v>0</v>
      </c>
      <c r="G52" s="1766">
        <f t="shared" si="3"/>
        <v>0</v>
      </c>
    </row>
    <row r="53" spans="1:7" x14ac:dyDescent="0.25">
      <c r="A53" s="1626"/>
      <c r="B53" s="1640"/>
      <c r="C53" s="1627"/>
      <c r="D53" s="1817"/>
      <c r="E53" s="1513">
        <f t="shared" si="2"/>
        <v>0</v>
      </c>
      <c r="F53" s="1906">
        <f t="shared" si="1"/>
        <v>0</v>
      </c>
      <c r="G53" s="1766">
        <f t="shared" si="3"/>
        <v>0</v>
      </c>
    </row>
    <row r="54" spans="1:7" x14ac:dyDescent="0.25">
      <c r="A54" s="1626"/>
      <c r="B54" s="1640"/>
      <c r="C54" s="1627"/>
      <c r="D54" s="1817"/>
      <c r="E54" s="1513">
        <f t="shared" si="2"/>
        <v>0</v>
      </c>
      <c r="F54" s="1906">
        <f t="shared" si="1"/>
        <v>0</v>
      </c>
      <c r="G54" s="1766">
        <f t="shared" si="3"/>
        <v>0</v>
      </c>
    </row>
    <row r="55" spans="1:7" x14ac:dyDescent="0.25">
      <c r="A55" s="1626"/>
      <c r="B55" s="1640"/>
      <c r="C55" s="1627"/>
      <c r="D55" s="1817"/>
      <c r="E55" s="1513">
        <f t="shared" si="2"/>
        <v>0</v>
      </c>
      <c r="F55" s="1906">
        <f t="shared" si="1"/>
        <v>0</v>
      </c>
      <c r="G55" s="1766">
        <f t="shared" si="3"/>
        <v>0</v>
      </c>
    </row>
    <row r="56" spans="1:7" x14ac:dyDescent="0.25">
      <c r="A56" s="1626"/>
      <c r="B56" s="1640"/>
      <c r="C56" s="1627"/>
      <c r="D56" s="1817"/>
      <c r="E56" s="1513">
        <f t="shared" si="2"/>
        <v>0</v>
      </c>
      <c r="F56" s="1906">
        <f t="shared" si="1"/>
        <v>0</v>
      </c>
      <c r="G56" s="1766">
        <f t="shared" si="3"/>
        <v>0</v>
      </c>
    </row>
    <row r="57" spans="1:7" x14ac:dyDescent="0.25">
      <c r="A57" s="1626"/>
      <c r="B57" s="1640"/>
      <c r="C57" s="1627"/>
      <c r="D57" s="1817"/>
      <c r="E57" s="1513">
        <f t="shared" si="2"/>
        <v>0</v>
      </c>
      <c r="F57" s="1906">
        <f t="shared" si="1"/>
        <v>0</v>
      </c>
      <c r="G57" s="1766">
        <f t="shared" si="3"/>
        <v>0</v>
      </c>
    </row>
    <row r="58" spans="1:7" x14ac:dyDescent="0.25">
      <c r="A58" s="1626"/>
      <c r="B58" s="1640"/>
      <c r="C58" s="1627"/>
      <c r="D58" s="1817"/>
      <c r="E58" s="1513">
        <f t="shared" si="2"/>
        <v>0</v>
      </c>
      <c r="F58" s="1906">
        <f t="shared" si="1"/>
        <v>0</v>
      </c>
      <c r="G58" s="1766">
        <f t="shared" si="3"/>
        <v>0</v>
      </c>
    </row>
    <row r="59" spans="1:7" x14ac:dyDescent="0.25">
      <c r="A59" s="1626"/>
      <c r="B59" s="1640"/>
      <c r="C59" s="1627"/>
      <c r="D59" s="1817"/>
      <c r="E59" s="1513">
        <f t="shared" si="2"/>
        <v>0</v>
      </c>
      <c r="F59" s="1906">
        <f t="shared" si="1"/>
        <v>0</v>
      </c>
      <c r="G59" s="1766">
        <f t="shared" si="3"/>
        <v>0</v>
      </c>
    </row>
    <row r="60" spans="1:7" x14ac:dyDescent="0.25">
      <c r="A60" s="1626"/>
      <c r="B60" s="1640"/>
      <c r="C60" s="1627"/>
      <c r="D60" s="1817"/>
      <c r="E60" s="1513">
        <f t="shared" si="2"/>
        <v>0</v>
      </c>
      <c r="F60" s="1906">
        <f t="shared" si="1"/>
        <v>0</v>
      </c>
      <c r="G60" s="1766">
        <f t="shared" si="3"/>
        <v>0</v>
      </c>
    </row>
    <row r="61" spans="1:7" x14ac:dyDescent="0.25">
      <c r="A61" s="1626"/>
      <c r="B61" s="1640"/>
      <c r="C61" s="1627"/>
      <c r="D61" s="1817"/>
      <c r="E61" s="1513">
        <f t="shared" si="2"/>
        <v>0</v>
      </c>
      <c r="F61" s="1906">
        <f t="shared" si="1"/>
        <v>0</v>
      </c>
      <c r="G61" s="1766">
        <f t="shared" si="3"/>
        <v>0</v>
      </c>
    </row>
    <row r="62" spans="1:7" x14ac:dyDescent="0.25">
      <c r="A62" s="1626"/>
      <c r="B62" s="1640"/>
      <c r="C62" s="1627"/>
      <c r="D62" s="1817"/>
      <c r="E62" s="1513">
        <f t="shared" si="2"/>
        <v>0</v>
      </c>
      <c r="F62" s="1906">
        <f t="shared" si="1"/>
        <v>0</v>
      </c>
      <c r="G62" s="1766">
        <f t="shared" si="3"/>
        <v>0</v>
      </c>
    </row>
    <row r="63" spans="1:7" x14ac:dyDescent="0.25">
      <c r="A63" s="1626"/>
      <c r="B63" s="1640"/>
      <c r="C63" s="1627"/>
      <c r="D63" s="1817"/>
      <c r="E63" s="1513">
        <f t="shared" si="2"/>
        <v>0</v>
      </c>
      <c r="F63" s="1906">
        <f t="shared" si="1"/>
        <v>0</v>
      </c>
      <c r="G63" s="1766">
        <f t="shared" si="3"/>
        <v>0</v>
      </c>
    </row>
    <row r="64" spans="1:7" x14ac:dyDescent="0.25">
      <c r="A64" s="1628"/>
      <c r="B64" s="1640"/>
      <c r="C64" s="1629"/>
      <c r="D64" s="1817"/>
      <c r="E64" s="1513">
        <f t="shared" si="2"/>
        <v>0</v>
      </c>
      <c r="F64" s="1906">
        <f t="shared" si="1"/>
        <v>0</v>
      </c>
      <c r="G64" s="1766">
        <f t="shared" si="3"/>
        <v>0</v>
      </c>
    </row>
    <row r="65" spans="1:7" x14ac:dyDescent="0.25">
      <c r="A65" s="1626"/>
      <c r="B65" s="1640"/>
      <c r="C65" s="1627"/>
      <c r="D65" s="1817"/>
      <c r="E65" s="1513">
        <f t="shared" si="2"/>
        <v>0</v>
      </c>
      <c r="F65" s="1906">
        <f t="shared" si="1"/>
        <v>0</v>
      </c>
      <c r="G65" s="1766">
        <f t="shared" si="3"/>
        <v>0</v>
      </c>
    </row>
    <row r="66" spans="1:7" x14ac:dyDescent="0.25">
      <c r="A66" s="1626"/>
      <c r="B66" s="1640"/>
      <c r="C66" s="1627"/>
      <c r="D66" s="1817"/>
      <c r="E66" s="1513">
        <f t="shared" si="2"/>
        <v>0</v>
      </c>
      <c r="F66" s="1906">
        <f t="shared" si="1"/>
        <v>0</v>
      </c>
      <c r="G66" s="1766">
        <f t="shared" si="3"/>
        <v>0</v>
      </c>
    </row>
    <row r="67" spans="1:7" x14ac:dyDescent="0.25">
      <c r="A67" s="1626"/>
      <c r="B67" s="1640"/>
      <c r="C67" s="1627"/>
      <c r="D67" s="1817"/>
      <c r="E67" s="1513">
        <f t="shared" si="2"/>
        <v>0</v>
      </c>
      <c r="F67" s="1906">
        <f t="shared" si="1"/>
        <v>0</v>
      </c>
      <c r="G67" s="1766">
        <f t="shared" si="3"/>
        <v>0</v>
      </c>
    </row>
    <row r="68" spans="1:7" x14ac:dyDescent="0.25">
      <c r="A68" s="1626"/>
      <c r="B68" s="1640"/>
      <c r="C68" s="1627"/>
      <c r="D68" s="1817"/>
      <c r="E68" s="1513">
        <f t="shared" si="2"/>
        <v>0</v>
      </c>
      <c r="F68" s="1906">
        <f t="shared" si="1"/>
        <v>0</v>
      </c>
      <c r="G68" s="1766">
        <f t="shared" si="3"/>
        <v>0</v>
      </c>
    </row>
    <row r="69" spans="1:7" x14ac:dyDescent="0.25">
      <c r="A69" s="1626"/>
      <c r="B69" s="1640"/>
      <c r="C69" s="1627"/>
      <c r="D69" s="1817"/>
      <c r="E69" s="1513">
        <f t="shared" si="2"/>
        <v>0</v>
      </c>
      <c r="F69" s="1906">
        <f t="shared" si="1"/>
        <v>0</v>
      </c>
      <c r="G69" s="1766">
        <f t="shared" si="3"/>
        <v>0</v>
      </c>
    </row>
    <row r="70" spans="1:7" x14ac:dyDescent="0.25">
      <c r="A70" s="1626"/>
      <c r="B70" s="1640"/>
      <c r="C70" s="1627"/>
      <c r="D70" s="1817"/>
      <c r="E70" s="1513">
        <f t="shared" si="2"/>
        <v>0</v>
      </c>
      <c r="F70" s="1906">
        <f t="shared" si="1"/>
        <v>0</v>
      </c>
      <c r="G70" s="1766">
        <f t="shared" si="3"/>
        <v>0</v>
      </c>
    </row>
    <row r="71" spans="1:7" x14ac:dyDescent="0.25">
      <c r="A71" s="1626"/>
      <c r="B71" s="1640"/>
      <c r="C71" s="1627"/>
      <c r="D71" s="1817"/>
      <c r="E71" s="1513">
        <f t="shared" si="2"/>
        <v>0</v>
      </c>
      <c r="F71" s="1906">
        <f t="shared" si="1"/>
        <v>0</v>
      </c>
      <c r="G71" s="1766">
        <f t="shared" si="3"/>
        <v>0</v>
      </c>
    </row>
    <row r="72" spans="1:7" x14ac:dyDescent="0.25">
      <c r="A72" s="1626"/>
      <c r="B72" s="1640"/>
      <c r="C72" s="1627"/>
      <c r="D72" s="1817"/>
      <c r="E72" s="1513">
        <f t="shared" si="2"/>
        <v>0</v>
      </c>
      <c r="F72" s="1906">
        <f t="shared" si="1"/>
        <v>0</v>
      </c>
      <c r="G72" s="1766">
        <f t="shared" si="3"/>
        <v>0</v>
      </c>
    </row>
    <row r="73" spans="1:7" x14ac:dyDescent="0.25">
      <c r="A73" s="1626"/>
      <c r="B73" s="1640"/>
      <c r="C73" s="1627"/>
      <c r="D73" s="1817"/>
      <c r="E73" s="1513">
        <f t="shared" ref="E73:E84" si="4">IF(D73&lt;=25000,D73,IF(D73&gt;25000,25000,0))</f>
        <v>0</v>
      </c>
      <c r="F73" s="1906">
        <f t="shared" si="1"/>
        <v>0</v>
      </c>
      <c r="G73" s="1766">
        <f t="shared" ref="G73:G84" si="5">IF(F73=0,0,D73-F73)</f>
        <v>0</v>
      </c>
    </row>
    <row r="74" spans="1:7" x14ac:dyDescent="0.25">
      <c r="A74" s="1626"/>
      <c r="B74" s="1640"/>
      <c r="C74" s="1627"/>
      <c r="D74" s="1817"/>
      <c r="E74" s="1513">
        <f t="shared" si="4"/>
        <v>0</v>
      </c>
      <c r="F74" s="1906">
        <f t="shared" si="1"/>
        <v>0</v>
      </c>
      <c r="G74" s="1766">
        <f t="shared" si="5"/>
        <v>0</v>
      </c>
    </row>
    <row r="75" spans="1:7" x14ac:dyDescent="0.25">
      <c r="A75" s="1626"/>
      <c r="B75" s="1640"/>
      <c r="C75" s="1627"/>
      <c r="D75" s="1817"/>
      <c r="E75" s="1513">
        <f t="shared" si="4"/>
        <v>0</v>
      </c>
      <c r="F75" s="1906">
        <f t="shared" si="1"/>
        <v>0</v>
      </c>
      <c r="G75" s="1766">
        <f t="shared" si="5"/>
        <v>0</v>
      </c>
    </row>
    <row r="76" spans="1:7" x14ac:dyDescent="0.25">
      <c r="A76" s="1626"/>
      <c r="B76" s="1640"/>
      <c r="C76" s="1627"/>
      <c r="D76" s="1817"/>
      <c r="E76" s="1513">
        <f t="shared" si="4"/>
        <v>0</v>
      </c>
      <c r="F76" s="1906">
        <f t="shared" si="1"/>
        <v>0</v>
      </c>
      <c r="G76" s="1766">
        <f t="shared" si="5"/>
        <v>0</v>
      </c>
    </row>
    <row r="77" spans="1:7" x14ac:dyDescent="0.25">
      <c r="A77" s="1626"/>
      <c r="B77" s="1640"/>
      <c r="C77" s="1627"/>
      <c r="D77" s="1817"/>
      <c r="E77" s="1513">
        <f t="shared" si="4"/>
        <v>0</v>
      </c>
      <c r="F77" s="1906">
        <f t="shared" si="1"/>
        <v>0</v>
      </c>
      <c r="G77" s="1766">
        <f t="shared" si="5"/>
        <v>0</v>
      </c>
    </row>
    <row r="78" spans="1:7" x14ac:dyDescent="0.25">
      <c r="A78" s="1626"/>
      <c r="B78" s="1640"/>
      <c r="C78" s="1627"/>
      <c r="D78" s="1817"/>
      <c r="E78" s="1513">
        <f t="shared" si="4"/>
        <v>0</v>
      </c>
      <c r="F78" s="1906">
        <f t="shared" si="1"/>
        <v>0</v>
      </c>
      <c r="G78" s="1766">
        <f t="shared" si="5"/>
        <v>0</v>
      </c>
    </row>
    <row r="79" spans="1:7" x14ac:dyDescent="0.25">
      <c r="A79" s="1626"/>
      <c r="B79" s="1640"/>
      <c r="C79" s="1627"/>
      <c r="D79" s="1817"/>
      <c r="E79" s="1513">
        <f t="shared" si="4"/>
        <v>0</v>
      </c>
      <c r="F79" s="1906">
        <f t="shared" si="1"/>
        <v>0</v>
      </c>
      <c r="G79" s="1766">
        <f t="shared" si="5"/>
        <v>0</v>
      </c>
    </row>
    <row r="80" spans="1:7" x14ac:dyDescent="0.25">
      <c r="A80" s="1626"/>
      <c r="B80" s="1640"/>
      <c r="C80" s="1627"/>
      <c r="D80" s="1817"/>
      <c r="E80" s="1513">
        <f t="shared" si="4"/>
        <v>0</v>
      </c>
      <c r="F80" s="1906">
        <f t="shared" si="1"/>
        <v>0</v>
      </c>
      <c r="G80" s="1766">
        <f t="shared" si="5"/>
        <v>0</v>
      </c>
    </row>
    <row r="81" spans="1:7" x14ac:dyDescent="0.25">
      <c r="A81" s="1626"/>
      <c r="B81" s="1640"/>
      <c r="C81" s="1627"/>
      <c r="D81" s="1817"/>
      <c r="E81" s="1513">
        <f t="shared" si="4"/>
        <v>0</v>
      </c>
      <c r="F81" s="190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6">
        <f t="shared" si="6"/>
        <v>0</v>
      </c>
      <c r="G82" s="1766">
        <f t="shared" si="5"/>
        <v>0</v>
      </c>
    </row>
    <row r="83" spans="1:7" x14ac:dyDescent="0.25">
      <c r="A83" s="1626"/>
      <c r="B83" s="1640"/>
      <c r="C83" s="1627"/>
      <c r="D83" s="1817"/>
      <c r="E83" s="1513">
        <f t="shared" si="4"/>
        <v>0</v>
      </c>
      <c r="F83" s="1906">
        <f t="shared" si="6"/>
        <v>0</v>
      </c>
      <c r="G83" s="1766">
        <f t="shared" si="5"/>
        <v>0</v>
      </c>
    </row>
    <row r="84" spans="1:7" x14ac:dyDescent="0.25">
      <c r="A84" s="1626"/>
      <c r="B84" s="1640"/>
      <c r="C84" s="1627"/>
      <c r="D84" s="1817"/>
      <c r="E84" s="1513">
        <f t="shared" si="4"/>
        <v>0</v>
      </c>
      <c r="F84" s="1906">
        <f t="shared" si="6"/>
        <v>0</v>
      </c>
      <c r="G84" s="1766">
        <f t="shared" si="5"/>
        <v>0</v>
      </c>
    </row>
    <row r="85" spans="1:7" x14ac:dyDescent="0.25">
      <c r="A85" s="1626"/>
      <c r="B85" s="1640"/>
      <c r="C85" s="1627"/>
      <c r="D85" s="1817"/>
      <c r="E85" s="1513">
        <f t="shared" si="2"/>
        <v>0</v>
      </c>
      <c r="F85" s="1906">
        <f t="shared" si="6"/>
        <v>0</v>
      </c>
      <c r="G85" s="1766">
        <f t="shared" si="3"/>
        <v>0</v>
      </c>
    </row>
    <row r="86" spans="1:7" x14ac:dyDescent="0.25">
      <c r="A86" s="1626"/>
      <c r="B86" s="1640"/>
      <c r="C86" s="1627"/>
      <c r="D86" s="1817"/>
      <c r="E86" s="1513">
        <f t="shared" si="2"/>
        <v>0</v>
      </c>
      <c r="F86" s="1906">
        <f t="shared" si="6"/>
        <v>0</v>
      </c>
      <c r="G86" s="1766">
        <f t="shared" si="3"/>
        <v>0</v>
      </c>
    </row>
    <row r="87" spans="1:7" x14ac:dyDescent="0.25">
      <c r="A87" s="1626"/>
      <c r="B87" s="1640"/>
      <c r="C87" s="1627"/>
      <c r="D87" s="1817"/>
      <c r="E87" s="1513">
        <f t="shared" si="2"/>
        <v>0</v>
      </c>
      <c r="F87" s="1906">
        <f t="shared" si="6"/>
        <v>0</v>
      </c>
      <c r="G87" s="1766">
        <f t="shared" si="3"/>
        <v>0</v>
      </c>
    </row>
    <row r="88" spans="1:7" x14ac:dyDescent="0.25">
      <c r="A88" s="1626"/>
      <c r="B88" s="1640"/>
      <c r="C88" s="1627"/>
      <c r="D88" s="1817"/>
      <c r="E88" s="1513">
        <f t="shared" si="2"/>
        <v>0</v>
      </c>
      <c r="F88" s="1906">
        <f t="shared" si="6"/>
        <v>0</v>
      </c>
      <c r="G88" s="1766">
        <f t="shared" si="3"/>
        <v>0</v>
      </c>
    </row>
    <row r="89" spans="1:7" x14ac:dyDescent="0.25">
      <c r="A89" s="1626"/>
      <c r="B89" s="1640"/>
      <c r="C89" s="1627"/>
      <c r="D89" s="1817"/>
      <c r="E89" s="1513">
        <f t="shared" si="2"/>
        <v>0</v>
      </c>
      <c r="F89" s="1906">
        <f t="shared" si="6"/>
        <v>0</v>
      </c>
      <c r="G89" s="1766">
        <f t="shared" si="3"/>
        <v>0</v>
      </c>
    </row>
    <row r="90" spans="1:7" x14ac:dyDescent="0.25">
      <c r="A90" s="1626"/>
      <c r="B90" s="1640"/>
      <c r="C90" s="1627"/>
      <c r="D90" s="1817"/>
      <c r="E90" s="1513">
        <f t="shared" si="2"/>
        <v>0</v>
      </c>
      <c r="F90" s="1906">
        <f t="shared" si="6"/>
        <v>0</v>
      </c>
      <c r="G90" s="1766">
        <f t="shared" si="3"/>
        <v>0</v>
      </c>
    </row>
    <row r="91" spans="1:7" x14ac:dyDescent="0.25">
      <c r="A91" s="1626"/>
      <c r="B91" s="1640"/>
      <c r="C91" s="1627"/>
      <c r="D91" s="1817"/>
      <c r="E91" s="1513">
        <f t="shared" si="2"/>
        <v>0</v>
      </c>
      <c r="F91" s="1906">
        <f t="shared" si="6"/>
        <v>0</v>
      </c>
      <c r="G91" s="1766">
        <f t="shared" si="3"/>
        <v>0</v>
      </c>
    </row>
    <row r="92" spans="1:7" x14ac:dyDescent="0.25">
      <c r="A92" s="1626"/>
      <c r="B92" s="1640"/>
      <c r="C92" s="1627"/>
      <c r="D92" s="1817"/>
      <c r="E92" s="1513">
        <f t="shared" si="2"/>
        <v>0</v>
      </c>
      <c r="F92" s="1906">
        <f t="shared" si="6"/>
        <v>0</v>
      </c>
      <c r="G92" s="1766">
        <f t="shared" si="3"/>
        <v>0</v>
      </c>
    </row>
    <row r="93" spans="1:7" x14ac:dyDescent="0.25">
      <c r="A93" s="1626"/>
      <c r="B93" s="1640"/>
      <c r="C93" s="1627"/>
      <c r="D93" s="1817"/>
      <c r="E93" s="1513">
        <f t="shared" ref="E93" si="7">IF(D93&lt;=25000,D93,IF(D93&gt;25000,25000,0))</f>
        <v>0</v>
      </c>
      <c r="F93" s="1906">
        <f t="shared" si="6"/>
        <v>0</v>
      </c>
      <c r="G93" s="1766">
        <f t="shared" ref="G93" si="8">IF(F93=0,0,D93-F93)</f>
        <v>0</v>
      </c>
    </row>
    <row r="94" spans="1:7" x14ac:dyDescent="0.25">
      <c r="A94" s="1626"/>
      <c r="B94" s="1640"/>
      <c r="C94" s="1627"/>
      <c r="D94" s="1817"/>
      <c r="E94" s="1513">
        <f t="shared" si="2"/>
        <v>0</v>
      </c>
      <c r="F94" s="1906">
        <f t="shared" si="6"/>
        <v>0</v>
      </c>
      <c r="G94" s="1766">
        <f t="shared" si="3"/>
        <v>0</v>
      </c>
    </row>
    <row r="95" spans="1:7" x14ac:dyDescent="0.25">
      <c r="A95" s="1626"/>
      <c r="B95" s="1640"/>
      <c r="C95" s="1627"/>
      <c r="D95" s="1817"/>
      <c r="E95" s="1513">
        <f t="shared" ref="E95:E98" si="9">IF(D95&lt;=25000,D95,IF(D95&gt;25000,25000,0))</f>
        <v>0</v>
      </c>
      <c r="F95" s="1906">
        <f t="shared" si="6"/>
        <v>0</v>
      </c>
      <c r="G95" s="1766">
        <f t="shared" ref="G95:G98" si="10">IF(F95=0,0,D95-F95)</f>
        <v>0</v>
      </c>
    </row>
    <row r="96" spans="1:7" x14ac:dyDescent="0.25">
      <c r="A96" s="1626"/>
      <c r="B96" s="1640"/>
      <c r="C96" s="1627"/>
      <c r="D96" s="1817"/>
      <c r="E96" s="1513">
        <f t="shared" si="9"/>
        <v>0</v>
      </c>
      <c r="F96" s="1906">
        <f t="shared" si="6"/>
        <v>0</v>
      </c>
      <c r="G96" s="1766">
        <f t="shared" si="10"/>
        <v>0</v>
      </c>
    </row>
    <row r="97" spans="1:7" x14ac:dyDescent="0.25">
      <c r="A97" s="1626"/>
      <c r="B97" s="1640"/>
      <c r="C97" s="1627"/>
      <c r="D97" s="1817"/>
      <c r="E97" s="1513">
        <f t="shared" si="9"/>
        <v>0</v>
      </c>
      <c r="F97" s="1906">
        <f t="shared" si="6"/>
        <v>0</v>
      </c>
      <c r="G97" s="1766">
        <f t="shared" si="10"/>
        <v>0</v>
      </c>
    </row>
    <row r="98" spans="1:7" x14ac:dyDescent="0.25">
      <c r="A98" s="1626"/>
      <c r="B98" s="1640"/>
      <c r="C98" s="1627"/>
      <c r="D98" s="1817"/>
      <c r="E98" s="1513">
        <f t="shared" si="9"/>
        <v>0</v>
      </c>
      <c r="F98" s="1906">
        <f t="shared" si="6"/>
        <v>0</v>
      </c>
      <c r="G98" s="1766">
        <f t="shared" si="10"/>
        <v>0</v>
      </c>
    </row>
    <row r="99" spans="1:7" x14ac:dyDescent="0.25">
      <c r="A99" s="1626"/>
      <c r="B99" s="1640"/>
      <c r="C99" s="1627"/>
      <c r="D99" s="1817"/>
      <c r="E99" s="1513">
        <f t="shared" ref="E99" si="11">IF(D99&lt;=25000,D99,IF(D99&gt;25000,25000,0))</f>
        <v>0</v>
      </c>
      <c r="F99" s="1906">
        <f t="shared" si="6"/>
        <v>0</v>
      </c>
      <c r="G99" s="1766">
        <f t="shared" ref="G99" si="12">IF(F99=0,0,D99-F99)</f>
        <v>0</v>
      </c>
    </row>
    <row r="100" spans="1:7" x14ac:dyDescent="0.25">
      <c r="A100" s="1626"/>
      <c r="B100" s="1640"/>
      <c r="C100" s="1627"/>
      <c r="D100" s="1817"/>
      <c r="E100" s="1513">
        <f t="shared" ref="E100:E112" si="13">IF(D100&lt;=25000,D100,IF(D100&gt;25000,25000,0))</f>
        <v>0</v>
      </c>
      <c r="F100" s="1906">
        <f t="shared" si="6"/>
        <v>0</v>
      </c>
      <c r="G100" s="1766">
        <f t="shared" ref="G100:G112" si="14">IF(F100=0,0,D100-F100)</f>
        <v>0</v>
      </c>
    </row>
    <row r="101" spans="1:7" x14ac:dyDescent="0.25">
      <c r="A101" s="1626"/>
      <c r="B101" s="1640"/>
      <c r="C101" s="1627"/>
      <c r="D101" s="1817"/>
      <c r="E101" s="1513">
        <f t="shared" si="13"/>
        <v>0</v>
      </c>
      <c r="F101" s="1906">
        <f t="shared" si="6"/>
        <v>0</v>
      </c>
      <c r="G101" s="1766">
        <f t="shared" si="14"/>
        <v>0</v>
      </c>
    </row>
    <row r="102" spans="1:7" x14ac:dyDescent="0.25">
      <c r="A102" s="1626"/>
      <c r="B102" s="1640"/>
      <c r="C102" s="1627"/>
      <c r="D102" s="1817"/>
      <c r="E102" s="1513">
        <f t="shared" si="13"/>
        <v>0</v>
      </c>
      <c r="F102" s="1906">
        <f t="shared" si="6"/>
        <v>0</v>
      </c>
      <c r="G102" s="1766">
        <f t="shared" si="14"/>
        <v>0</v>
      </c>
    </row>
    <row r="103" spans="1:7" x14ac:dyDescent="0.25">
      <c r="A103" s="1626"/>
      <c r="B103" s="1640"/>
      <c r="C103" s="1627"/>
      <c r="D103" s="1817"/>
      <c r="E103" s="1513">
        <f t="shared" si="13"/>
        <v>0</v>
      </c>
      <c r="F103" s="1906">
        <f t="shared" si="6"/>
        <v>0</v>
      </c>
      <c r="G103" s="1766">
        <f t="shared" si="14"/>
        <v>0</v>
      </c>
    </row>
    <row r="104" spans="1:7" x14ac:dyDescent="0.25">
      <c r="A104" s="1626"/>
      <c r="B104" s="1640"/>
      <c r="C104" s="1627"/>
      <c r="D104" s="1817"/>
      <c r="E104" s="1513">
        <f t="shared" si="13"/>
        <v>0</v>
      </c>
      <c r="F104" s="1906">
        <f t="shared" si="6"/>
        <v>0</v>
      </c>
      <c r="G104" s="1766">
        <f t="shared" si="14"/>
        <v>0</v>
      </c>
    </row>
    <row r="105" spans="1:7" x14ac:dyDescent="0.25">
      <c r="A105" s="1626"/>
      <c r="B105" s="1640"/>
      <c r="C105" s="1627"/>
      <c r="D105" s="1817"/>
      <c r="E105" s="1513">
        <f t="shared" si="13"/>
        <v>0</v>
      </c>
      <c r="F105" s="1906">
        <f t="shared" si="6"/>
        <v>0</v>
      </c>
      <c r="G105" s="1766">
        <f t="shared" si="14"/>
        <v>0</v>
      </c>
    </row>
    <row r="106" spans="1:7" x14ac:dyDescent="0.25">
      <c r="A106" s="1626"/>
      <c r="B106" s="1640"/>
      <c r="C106" s="1627"/>
      <c r="D106" s="1817"/>
      <c r="E106" s="1513">
        <f t="shared" si="13"/>
        <v>0</v>
      </c>
      <c r="F106" s="1906">
        <f t="shared" si="6"/>
        <v>0</v>
      </c>
      <c r="G106" s="1766">
        <f t="shared" si="14"/>
        <v>0</v>
      </c>
    </row>
    <row r="107" spans="1:7" x14ac:dyDescent="0.25">
      <c r="A107" s="1626"/>
      <c r="B107" s="1640"/>
      <c r="C107" s="1627"/>
      <c r="D107" s="1817"/>
      <c r="E107" s="1513">
        <f t="shared" si="13"/>
        <v>0</v>
      </c>
      <c r="F107" s="1906">
        <f t="shared" si="6"/>
        <v>0</v>
      </c>
      <c r="G107" s="1766">
        <f t="shared" si="14"/>
        <v>0</v>
      </c>
    </row>
    <row r="108" spans="1:7" x14ac:dyDescent="0.25">
      <c r="A108" s="1626"/>
      <c r="B108" s="1640"/>
      <c r="C108" s="1627"/>
      <c r="D108" s="1817"/>
      <c r="E108" s="1513">
        <f t="shared" si="13"/>
        <v>0</v>
      </c>
      <c r="F108" s="1906">
        <f t="shared" si="6"/>
        <v>0</v>
      </c>
      <c r="G108" s="1766">
        <f t="shared" si="14"/>
        <v>0</v>
      </c>
    </row>
    <row r="109" spans="1:7" x14ac:dyDescent="0.25">
      <c r="A109" s="1626"/>
      <c r="B109" s="1640"/>
      <c r="C109" s="1627"/>
      <c r="D109" s="1817"/>
      <c r="E109" s="1513">
        <f t="shared" si="13"/>
        <v>0</v>
      </c>
      <c r="F109" s="1906">
        <f t="shared" si="6"/>
        <v>0</v>
      </c>
      <c r="G109" s="1766">
        <f t="shared" si="14"/>
        <v>0</v>
      </c>
    </row>
    <row r="110" spans="1:7" x14ac:dyDescent="0.25">
      <c r="A110" s="1626"/>
      <c r="B110" s="1640"/>
      <c r="C110" s="1627"/>
      <c r="D110" s="1817"/>
      <c r="E110" s="1513">
        <f t="shared" si="13"/>
        <v>0</v>
      </c>
      <c r="F110" s="1906">
        <f t="shared" si="6"/>
        <v>0</v>
      </c>
      <c r="G110" s="1766">
        <f t="shared" si="14"/>
        <v>0</v>
      </c>
    </row>
    <row r="111" spans="1:7" x14ac:dyDescent="0.25">
      <c r="A111" s="1626"/>
      <c r="B111" s="1640"/>
      <c r="C111" s="1627"/>
      <c r="D111" s="1817"/>
      <c r="E111" s="1513">
        <f t="shared" si="13"/>
        <v>0</v>
      </c>
      <c r="F111" s="1906">
        <f t="shared" si="6"/>
        <v>0</v>
      </c>
      <c r="G111" s="1766">
        <f t="shared" si="14"/>
        <v>0</v>
      </c>
    </row>
    <row r="112" spans="1:7" x14ac:dyDescent="0.25">
      <c r="A112" s="1626"/>
      <c r="B112" s="1640"/>
      <c r="C112" s="1627"/>
      <c r="D112" s="1817"/>
      <c r="E112" s="1513">
        <f t="shared" si="13"/>
        <v>0</v>
      </c>
      <c r="F112" s="1906">
        <f t="shared" si="6"/>
        <v>0</v>
      </c>
      <c r="G112" s="1766">
        <f t="shared" si="14"/>
        <v>0</v>
      </c>
    </row>
    <row r="113" spans="1:7" x14ac:dyDescent="0.25">
      <c r="A113" s="1626"/>
      <c r="B113" s="1640"/>
      <c r="C113" s="1627"/>
      <c r="D113" s="1817"/>
      <c r="E113" s="1513">
        <f t="shared" ref="E113:E125" si="15">IF(D113&lt;=25000,D113,IF(D113&gt;25000,25000,0))</f>
        <v>0</v>
      </c>
      <c r="F113" s="1906">
        <f t="shared" si="6"/>
        <v>0</v>
      </c>
      <c r="G113" s="1766">
        <f t="shared" ref="G113:G125" si="16">IF(F113=0,0,D113-F113)</f>
        <v>0</v>
      </c>
    </row>
    <row r="114" spans="1:7" x14ac:dyDescent="0.25">
      <c r="A114" s="1626"/>
      <c r="B114" s="1640"/>
      <c r="C114" s="1627"/>
      <c r="D114" s="1817"/>
      <c r="E114" s="1513">
        <f t="shared" si="15"/>
        <v>0</v>
      </c>
      <c r="F114" s="1906">
        <f t="shared" si="6"/>
        <v>0</v>
      </c>
      <c r="G114" s="1766">
        <f t="shared" si="16"/>
        <v>0</v>
      </c>
    </row>
    <row r="115" spans="1:7" x14ac:dyDescent="0.25">
      <c r="A115" s="1626"/>
      <c r="B115" s="1640"/>
      <c r="C115" s="1627"/>
      <c r="D115" s="1817"/>
      <c r="E115" s="1513">
        <f t="shared" si="15"/>
        <v>0</v>
      </c>
      <c r="F115" s="1906">
        <f t="shared" si="6"/>
        <v>0</v>
      </c>
      <c r="G115" s="1766">
        <f t="shared" si="16"/>
        <v>0</v>
      </c>
    </row>
    <row r="116" spans="1:7" x14ac:dyDescent="0.25">
      <c r="A116" s="1626"/>
      <c r="B116" s="1640"/>
      <c r="C116" s="1627"/>
      <c r="D116" s="1817"/>
      <c r="E116" s="1513">
        <f t="shared" si="15"/>
        <v>0</v>
      </c>
      <c r="F116" s="1906">
        <f t="shared" si="6"/>
        <v>0</v>
      </c>
      <c r="G116" s="1766">
        <f t="shared" si="16"/>
        <v>0</v>
      </c>
    </row>
    <row r="117" spans="1:7" x14ac:dyDescent="0.25">
      <c r="A117" s="1626"/>
      <c r="B117" s="1640"/>
      <c r="C117" s="1627"/>
      <c r="D117" s="1817"/>
      <c r="E117" s="1513">
        <f t="shared" si="15"/>
        <v>0</v>
      </c>
      <c r="F117" s="1906">
        <f t="shared" si="6"/>
        <v>0</v>
      </c>
      <c r="G117" s="1766">
        <f t="shared" si="16"/>
        <v>0</v>
      </c>
    </row>
    <row r="118" spans="1:7" x14ac:dyDescent="0.25">
      <c r="A118" s="1626"/>
      <c r="B118" s="1640"/>
      <c r="C118" s="1627"/>
      <c r="D118" s="1817"/>
      <c r="E118" s="1513">
        <f t="shared" si="15"/>
        <v>0</v>
      </c>
      <c r="F118" s="1906">
        <f t="shared" si="6"/>
        <v>0</v>
      </c>
      <c r="G118" s="1766">
        <f t="shared" si="16"/>
        <v>0</v>
      </c>
    </row>
    <row r="119" spans="1:7" x14ac:dyDescent="0.25">
      <c r="A119" s="1626"/>
      <c r="B119" s="1640"/>
      <c r="C119" s="1627"/>
      <c r="D119" s="1817"/>
      <c r="E119" s="1513">
        <f t="shared" si="15"/>
        <v>0</v>
      </c>
      <c r="F119" s="1906">
        <f t="shared" si="6"/>
        <v>0</v>
      </c>
      <c r="G119" s="1766">
        <f t="shared" si="16"/>
        <v>0</v>
      </c>
    </row>
    <row r="120" spans="1:7" x14ac:dyDescent="0.25">
      <c r="A120" s="1626"/>
      <c r="B120" s="1640"/>
      <c r="C120" s="1627"/>
      <c r="D120" s="1817"/>
      <c r="E120" s="1513">
        <f t="shared" si="15"/>
        <v>0</v>
      </c>
      <c r="F120" s="1906">
        <f t="shared" si="6"/>
        <v>0</v>
      </c>
      <c r="G120" s="1766">
        <f t="shared" si="16"/>
        <v>0</v>
      </c>
    </row>
    <row r="121" spans="1:7" x14ac:dyDescent="0.25">
      <c r="A121" s="1626"/>
      <c r="B121" s="1640"/>
      <c r="C121" s="1627"/>
      <c r="D121" s="1817"/>
      <c r="E121" s="1513">
        <f t="shared" si="15"/>
        <v>0</v>
      </c>
      <c r="F121" s="1906">
        <f t="shared" si="6"/>
        <v>0</v>
      </c>
      <c r="G121" s="1766">
        <f t="shared" si="16"/>
        <v>0</v>
      </c>
    </row>
    <row r="122" spans="1:7" x14ac:dyDescent="0.25">
      <c r="A122" s="1626"/>
      <c r="B122" s="1640"/>
      <c r="C122" s="1627"/>
      <c r="D122" s="1817"/>
      <c r="E122" s="1513">
        <f t="shared" si="15"/>
        <v>0</v>
      </c>
      <c r="F122" s="1906">
        <f t="shared" si="6"/>
        <v>0</v>
      </c>
      <c r="G122" s="1766">
        <f t="shared" si="16"/>
        <v>0</v>
      </c>
    </row>
    <row r="123" spans="1:7" x14ac:dyDescent="0.25">
      <c r="A123" s="1626"/>
      <c r="B123" s="1640"/>
      <c r="C123" s="1627"/>
      <c r="D123" s="1817"/>
      <c r="E123" s="1513">
        <f t="shared" si="15"/>
        <v>0</v>
      </c>
      <c r="F123" s="1906">
        <f t="shared" si="6"/>
        <v>0</v>
      </c>
      <c r="G123" s="1766">
        <f t="shared" si="16"/>
        <v>0</v>
      </c>
    </row>
    <row r="124" spans="1:7" x14ac:dyDescent="0.25">
      <c r="A124" s="1626"/>
      <c r="B124" s="1640"/>
      <c r="C124" s="1627"/>
      <c r="D124" s="1817"/>
      <c r="E124" s="1513">
        <f t="shared" si="15"/>
        <v>0</v>
      </c>
      <c r="F124" s="1906">
        <f t="shared" si="6"/>
        <v>0</v>
      </c>
      <c r="G124" s="1766">
        <f t="shared" si="16"/>
        <v>0</v>
      </c>
    </row>
    <row r="125" spans="1:7" x14ac:dyDescent="0.25">
      <c r="A125" s="1626"/>
      <c r="B125" s="1640"/>
      <c r="C125" s="1627"/>
      <c r="D125" s="1817"/>
      <c r="E125" s="1513">
        <f t="shared" si="15"/>
        <v>0</v>
      </c>
      <c r="F125" s="1906">
        <f t="shared" si="6"/>
        <v>0</v>
      </c>
      <c r="G125" s="1766">
        <f t="shared" si="16"/>
        <v>0</v>
      </c>
    </row>
    <row r="126" spans="1:7" x14ac:dyDescent="0.25">
      <c r="A126" s="1626"/>
      <c r="B126" s="1640"/>
      <c r="C126" s="1627"/>
      <c r="D126" s="1817"/>
      <c r="E126" s="1513">
        <f t="shared" ref="E126:E134" si="17">IF(D126&lt;=25000,D126,IF(D126&gt;25000,25000,0))</f>
        <v>0</v>
      </c>
      <c r="F126" s="1906">
        <f t="shared" si="6"/>
        <v>0</v>
      </c>
      <c r="G126" s="1766">
        <f t="shared" ref="G126:G134" si="18">IF(F126=0,0,D126-F126)</f>
        <v>0</v>
      </c>
    </row>
    <row r="127" spans="1:7" x14ac:dyDescent="0.25">
      <c r="A127" s="1626"/>
      <c r="B127" s="1640"/>
      <c r="C127" s="1627"/>
      <c r="D127" s="1817"/>
      <c r="E127" s="1513">
        <f t="shared" si="17"/>
        <v>0</v>
      </c>
      <c r="F127" s="1906">
        <f t="shared" si="6"/>
        <v>0</v>
      </c>
      <c r="G127" s="1766">
        <f t="shared" si="18"/>
        <v>0</v>
      </c>
    </row>
    <row r="128" spans="1:7" x14ac:dyDescent="0.25">
      <c r="A128" s="1626"/>
      <c r="B128" s="1640"/>
      <c r="C128" s="1627"/>
      <c r="D128" s="1817"/>
      <c r="E128" s="1513">
        <f t="shared" si="17"/>
        <v>0</v>
      </c>
      <c r="F128" s="1906">
        <f t="shared" si="6"/>
        <v>0</v>
      </c>
      <c r="G128" s="1766">
        <f t="shared" si="18"/>
        <v>0</v>
      </c>
    </row>
    <row r="129" spans="1:7" x14ac:dyDescent="0.25">
      <c r="A129" s="1626"/>
      <c r="B129" s="1640"/>
      <c r="C129" s="1627"/>
      <c r="D129" s="1817"/>
      <c r="E129" s="1513">
        <f t="shared" si="17"/>
        <v>0</v>
      </c>
      <c r="F129" s="1906">
        <f t="shared" si="6"/>
        <v>0</v>
      </c>
      <c r="G129" s="1766">
        <f t="shared" si="18"/>
        <v>0</v>
      </c>
    </row>
    <row r="130" spans="1:7" x14ac:dyDescent="0.25">
      <c r="A130" s="1626"/>
      <c r="B130" s="1640"/>
      <c r="C130" s="1627"/>
      <c r="D130" s="1817"/>
      <c r="E130" s="1513">
        <f t="shared" si="17"/>
        <v>0</v>
      </c>
      <c r="F130" s="1906">
        <f t="shared" si="6"/>
        <v>0</v>
      </c>
      <c r="G130" s="1766">
        <f t="shared" si="18"/>
        <v>0</v>
      </c>
    </row>
    <row r="131" spans="1:7" x14ac:dyDescent="0.25">
      <c r="A131" s="1626"/>
      <c r="B131" s="1810"/>
      <c r="C131" s="1627"/>
      <c r="D131" s="1817"/>
      <c r="E131" s="1513">
        <f t="shared" si="17"/>
        <v>0</v>
      </c>
      <c r="F131" s="1906">
        <f t="shared" si="6"/>
        <v>0</v>
      </c>
      <c r="G131" s="1766">
        <f t="shared" si="18"/>
        <v>0</v>
      </c>
    </row>
    <row r="132" spans="1:7" x14ac:dyDescent="0.25">
      <c r="A132" s="1626"/>
      <c r="B132" s="1810"/>
      <c r="C132" s="1627"/>
      <c r="D132" s="1817"/>
      <c r="E132" s="1513">
        <f t="shared" si="17"/>
        <v>0</v>
      </c>
      <c r="F132" s="1906">
        <f t="shared" si="6"/>
        <v>0</v>
      </c>
      <c r="G132" s="1766">
        <f t="shared" si="18"/>
        <v>0</v>
      </c>
    </row>
    <row r="133" spans="1:7" x14ac:dyDescent="0.25">
      <c r="A133" s="1626"/>
      <c r="B133" s="1640"/>
      <c r="C133" s="1627"/>
      <c r="D133" s="1817"/>
      <c r="E133" s="1513">
        <f t="shared" si="17"/>
        <v>0</v>
      </c>
      <c r="F133" s="1906">
        <f t="shared" si="6"/>
        <v>0</v>
      </c>
      <c r="G133" s="1766">
        <f t="shared" si="18"/>
        <v>0</v>
      </c>
    </row>
    <row r="134" spans="1:7" x14ac:dyDescent="0.25">
      <c r="A134" s="1626"/>
      <c r="B134" s="1640"/>
      <c r="C134" s="1627"/>
      <c r="D134" s="1817"/>
      <c r="E134" s="1513">
        <f t="shared" si="17"/>
        <v>0</v>
      </c>
      <c r="F134" s="1906">
        <f t="shared" si="6"/>
        <v>0</v>
      </c>
      <c r="G134" s="1766">
        <f t="shared" si="18"/>
        <v>0</v>
      </c>
    </row>
    <row r="135" spans="1:7" x14ac:dyDescent="0.25">
      <c r="A135" s="1626"/>
      <c r="B135" s="1640"/>
      <c r="C135" s="1627"/>
      <c r="D135" s="1817"/>
      <c r="E135" s="1513">
        <f t="shared" ref="E135:E139" si="19">IF(D135&lt;=25000,D135,IF(D135&gt;25000,25000,0))</f>
        <v>0</v>
      </c>
      <c r="F135" s="1906">
        <f t="shared" si="6"/>
        <v>0</v>
      </c>
      <c r="G135" s="1766">
        <f t="shared" ref="G135:G139" si="20">IF(F135=0,0,D135-F135)</f>
        <v>0</v>
      </c>
    </row>
    <row r="136" spans="1:7" x14ac:dyDescent="0.25">
      <c r="A136" s="1626"/>
      <c r="B136" s="1640"/>
      <c r="C136" s="1627"/>
      <c r="D136" s="1817"/>
      <c r="E136" s="1513">
        <f t="shared" si="19"/>
        <v>0</v>
      </c>
      <c r="F136" s="1906">
        <f t="shared" si="6"/>
        <v>0</v>
      </c>
      <c r="G136" s="1766">
        <f t="shared" si="20"/>
        <v>0</v>
      </c>
    </row>
    <row r="137" spans="1:7" x14ac:dyDescent="0.25">
      <c r="A137" s="1626"/>
      <c r="B137" s="1640"/>
      <c r="C137" s="1627"/>
      <c r="D137" s="1817"/>
      <c r="E137" s="1513">
        <f t="shared" si="19"/>
        <v>0</v>
      </c>
      <c r="F137" s="1906">
        <f t="shared" si="6"/>
        <v>0</v>
      </c>
      <c r="G137" s="1766">
        <f t="shared" si="20"/>
        <v>0</v>
      </c>
    </row>
    <row r="138" spans="1:7" x14ac:dyDescent="0.25">
      <c r="A138" s="1626"/>
      <c r="B138" s="1640"/>
      <c r="C138" s="1627"/>
      <c r="D138" s="1817"/>
      <c r="E138" s="1513">
        <f t="shared" si="19"/>
        <v>0</v>
      </c>
      <c r="F138" s="1906">
        <f t="shared" si="6"/>
        <v>0</v>
      </c>
      <c r="G138" s="1766">
        <f t="shared" si="20"/>
        <v>0</v>
      </c>
    </row>
    <row r="139" spans="1:7" x14ac:dyDescent="0.25">
      <c r="A139" s="1626"/>
      <c r="B139" s="1640"/>
      <c r="C139" s="1627"/>
      <c r="D139" s="1817"/>
      <c r="E139" s="1513">
        <f t="shared" si="19"/>
        <v>0</v>
      </c>
      <c r="F139" s="1906">
        <f t="shared" si="6"/>
        <v>0</v>
      </c>
      <c r="G139" s="1766">
        <f t="shared" si="20"/>
        <v>0</v>
      </c>
    </row>
    <row r="140" spans="1:7" x14ac:dyDescent="0.25">
      <c r="A140" s="1626"/>
      <c r="B140" s="1639"/>
      <c r="C140" s="1627"/>
      <c r="D140" s="1817"/>
      <c r="E140" s="1513">
        <f t="shared" si="2"/>
        <v>0</v>
      </c>
      <c r="F140" s="1906">
        <f t="shared" si="6"/>
        <v>0</v>
      </c>
      <c r="G140" s="1766">
        <f t="shared" si="3"/>
        <v>0</v>
      </c>
    </row>
    <row r="141" spans="1:7" x14ac:dyDescent="0.25">
      <c r="A141" s="1769" t="s">
        <v>156</v>
      </c>
      <c r="B141" s="1770"/>
      <c r="C141" s="1771"/>
      <c r="D141" s="1767">
        <f>SUM(D17:D140)</f>
        <v>0</v>
      </c>
      <c r="E141" s="1514">
        <f t="shared" si="0"/>
        <v>0</v>
      </c>
      <c r="F141" s="1907">
        <f>SUM(F17:F140)</f>
        <v>0</v>
      </c>
      <c r="G141" s="1768">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13" colorId="8" zoomScale="110" zoomScaleNormal="110" workbookViewId="0">
      <selection activeCell="F43" sqref="F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49" t="s">
        <v>1679</v>
      </c>
      <c r="B5" s="2350"/>
      <c r="C5" s="2350"/>
      <c r="D5" s="2350"/>
      <c r="E5" s="2350"/>
      <c r="F5" s="2350"/>
      <c r="G5" s="2351"/>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c r="F10" s="947"/>
      <c r="G10" s="948"/>
      <c r="H10" s="162"/>
      <c r="I10" s="162"/>
    </row>
    <row r="11" spans="1:9" s="643" customFormat="1" ht="22.5" customHeight="1" x14ac:dyDescent="0.2">
      <c r="A11" s="2354" t="s">
        <v>1977</v>
      </c>
      <c r="B11" s="2355"/>
      <c r="C11" s="2355"/>
      <c r="D11" s="2356"/>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5691537</v>
      </c>
      <c r="F19" s="1772"/>
      <c r="G19" s="1774">
        <f>'Expenditures 15-22'!K33-SUM('Expenditures 15-22'!G33,'Expenditures 15-22'!I33)+'Expenditures 15-22'!D229</f>
        <v>5691537</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561566</v>
      </c>
      <c r="F21" s="1775"/>
      <c r="G21" s="1778">
        <f>'Expenditures 15-22'!K42-SUM('Expenditures 15-22'!G42,'Expenditures 15-22'!I42)+'Expenditures 15-22'!K120-SUM('Expenditures 15-22'!G120,'Expenditures 15-22'!I120)+'Expenditures 15-22'!K180-SUM('Expenditures 15-22'!G180,'Expenditures 15-22'!I180)+'Expenditures 15-22'!D238</f>
        <v>561566</v>
      </c>
      <c r="H21" s="960"/>
      <c r="I21" s="162"/>
    </row>
    <row r="22" spans="1:9" s="643" customFormat="1" ht="12" customHeight="1" x14ac:dyDescent="0.2">
      <c r="A22" s="967" t="s">
        <v>564</v>
      </c>
      <c r="B22" s="968"/>
      <c r="C22" s="966">
        <v>2200</v>
      </c>
      <c r="D22" s="1775"/>
      <c r="E22" s="1777">
        <f>'Expenditures 15-22'!K47-SUM('Expenditures 15-22'!G47,'Expenditures 15-22'!I47)+'Expenditures 15-22'!D243</f>
        <v>275860</v>
      </c>
      <c r="F22" s="1775"/>
      <c r="G22" s="1778">
        <f>'Expenditures 15-22'!K47-SUM('Expenditures 15-22'!G47,'Expenditures 15-22'!I47)+'Expenditures 15-22'!D243</f>
        <v>275860</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546040</v>
      </c>
      <c r="F23" s="1775"/>
      <c r="G23" s="1777">
        <f>'Expenditures 15-22'!K53-SUM('Expenditures 15-22'!G53,'Expenditures 15-22'!I53)+'Expenditures 15-22'!D257+'Expenditures 15-22'!K330-SUM('Expenditures 15-22'!G330,'Expenditures 15-22'!I330)</f>
        <v>546040</v>
      </c>
      <c r="H23" s="960"/>
      <c r="I23" s="162"/>
    </row>
    <row r="24" spans="1:9" s="643" customFormat="1" ht="12" customHeight="1" x14ac:dyDescent="0.2">
      <c r="A24" s="967" t="s">
        <v>566</v>
      </c>
      <c r="B24" s="968"/>
      <c r="C24" s="966">
        <v>2400</v>
      </c>
      <c r="D24" s="1775"/>
      <c r="E24" s="1777">
        <f>'Expenditures 15-22'!K57-SUM('Expenditures 15-22'!G57,'Expenditures 15-22'!I57)+'Expenditures 15-22'!D261</f>
        <v>611563</v>
      </c>
      <c r="F24" s="1775"/>
      <c r="G24" s="1778">
        <f>'Expenditures 15-22'!K57-SUM('Expenditures 15-22'!G57,'Expenditures 15-22'!I57)+'Expenditures 15-22'!D261</f>
        <v>611563</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62474</v>
      </c>
      <c r="E26" s="1777">
        <f>'Expenditures 15-22'!K122-SUM('Expenditures 15-22'!G122,'Expenditures 15-22'!I122)+E7</f>
        <v>0</v>
      </c>
      <c r="F26" s="1777">
        <f>'Expenditures 15-22'!K59-SUM('Expenditures 15-22'!G59,'Expenditures 15-22'!I59)+'Expenditures 15-22'!D263-E7</f>
        <v>62474</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94971</v>
      </c>
      <c r="E27" s="1777">
        <f>E8</f>
        <v>0</v>
      </c>
      <c r="F27" s="1777">
        <f>'Expenditures 15-22'!K60-SUM('Expenditures 15-22'!G60,'Expenditures 15-22'!I60)+'Expenditures 15-22'!D264-E8</f>
        <v>94971</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1192666</v>
      </c>
      <c r="F28" s="1779">
        <f>'Expenditures 15-22'!K61-SUM('Expenditures 15-22'!G61,'Expenditures 15-22'!I61)+'Expenditures 15-22'!K124-SUM('Expenditures 15-22'!G124,'Expenditures 15-22'!I124)+'Expenditures 15-22'!D266-E9</f>
        <v>1192666</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2629298</v>
      </c>
      <c r="F29" s="1775"/>
      <c r="G29" s="1778">
        <f>'Expenditures 15-22'!K62-SUM('Expenditures 15-22'!G62,'Expenditures 15-22'!I62)+'Expenditures 15-22'!K125-SUM('Expenditures 15-22'!G125,'Expenditures 15-22'!I125)+'Expenditures 15-22'!K182-SUM('Expenditures 15-22'!G182,'Expenditures 15-22'!I182)+'Expenditures 15-22'!D267</f>
        <v>2629298</v>
      </c>
      <c r="H29" s="958"/>
    </row>
    <row r="30" spans="1:9" ht="12" customHeight="1" x14ac:dyDescent="0.2">
      <c r="A30" s="967" t="s">
        <v>100</v>
      </c>
      <c r="B30" s="970"/>
      <c r="C30" s="966">
        <v>2560</v>
      </c>
      <c r="D30" s="1775"/>
      <c r="E30" s="1777">
        <f>'Expenditures 15-22'!K63-SUM('Expenditures 15-22'!G63,'Expenditures 15-22'!I63)+'Expenditures 15-22'!D268-E10</f>
        <v>236052</v>
      </c>
      <c r="F30" s="1775"/>
      <c r="G30" s="1777">
        <f>'Expenditures 15-22'!K63-SUM('Expenditures 15-22'!G63,'Expenditures 15-22'!I63)+'Expenditures 15-22'!D268-E10</f>
        <v>236052</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319948</v>
      </c>
      <c r="E37" s="1777">
        <f>E14</f>
        <v>0</v>
      </c>
      <c r="F37" s="1777">
        <f>'Expenditures 15-22'!K71-SUM('Expenditures 15-22'!G71,'Expenditures 15-22'!I71)+'Expenditures 15-22'!D276-E14</f>
        <v>319948</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0</v>
      </c>
      <c r="F40" s="1775"/>
      <c r="G40" s="1779">
        <f>-'Contracts Paid in CY 29'!G141</f>
        <v>0</v>
      </c>
    </row>
    <row r="41" spans="1:7" ht="12" customHeight="1" x14ac:dyDescent="0.2">
      <c r="A41" s="971" t="s">
        <v>156</v>
      </c>
      <c r="B41" s="972"/>
      <c r="C41" s="973"/>
      <c r="D41" s="1779">
        <f>SUM(D19:D39)</f>
        <v>477393</v>
      </c>
      <c r="E41" s="1779">
        <f>SUM(E19:E40)</f>
        <v>11744582</v>
      </c>
      <c r="F41" s="1779">
        <f>SUM(F19:F39)</f>
        <v>1670059</v>
      </c>
      <c r="G41" s="1779">
        <f>SUM(G19:G40)</f>
        <v>10551916</v>
      </c>
    </row>
    <row r="42" spans="1:7" x14ac:dyDescent="0.2">
      <c r="A42" s="960"/>
      <c r="B42" s="162"/>
      <c r="C42" s="974"/>
      <c r="D42" s="2352" t="s">
        <v>522</v>
      </c>
      <c r="E42" s="2353"/>
      <c r="F42" s="975" t="s">
        <v>523</v>
      </c>
      <c r="G42" s="976"/>
    </row>
    <row r="43" spans="1:7" ht="12" customHeight="1" x14ac:dyDescent="0.2">
      <c r="A43" s="960"/>
      <c r="B43" s="162"/>
      <c r="C43" s="974"/>
      <c r="D43" s="1780" t="s">
        <v>473</v>
      </c>
      <c r="E43" s="1781">
        <f>D41</f>
        <v>477393</v>
      </c>
      <c r="F43" s="1780" t="s">
        <v>473</v>
      </c>
      <c r="G43" s="1781">
        <f>F41</f>
        <v>1670059</v>
      </c>
    </row>
    <row r="44" spans="1:7" ht="12" customHeight="1" x14ac:dyDescent="0.2">
      <c r="A44" s="960"/>
      <c r="B44" s="162"/>
      <c r="C44" s="974"/>
      <c r="D44" s="1780" t="s">
        <v>474</v>
      </c>
      <c r="E44" s="1781">
        <f>E41</f>
        <v>11744582</v>
      </c>
      <c r="F44" s="1780" t="s">
        <v>474</v>
      </c>
      <c r="G44" s="1781">
        <f>G41</f>
        <v>10551916</v>
      </c>
    </row>
    <row r="45" spans="1:7" ht="12" customHeight="1" x14ac:dyDescent="0.2">
      <c r="A45" s="960"/>
      <c r="B45" s="162"/>
      <c r="C45" s="162"/>
      <c r="D45" s="1782" t="s">
        <v>1006</v>
      </c>
      <c r="E45" s="1783">
        <f>(E43/E44)</f>
        <v>4.064793451141982E-2</v>
      </c>
      <c r="F45" s="1782" t="s">
        <v>1006</v>
      </c>
      <c r="G45" s="1783">
        <f>(G43/G44)</f>
        <v>0.15827068752253146</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F31" sqref="F31"/>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0" t="s">
        <v>1379</v>
      </c>
      <c r="B1" s="2360"/>
      <c r="C1" s="2360"/>
      <c r="D1" s="2360"/>
      <c r="E1" s="2360"/>
      <c r="F1" s="2360"/>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61" t="s">
        <v>1546</v>
      </c>
      <c r="B5" s="2362"/>
      <c r="C5" s="2363"/>
      <c r="D5" s="2363"/>
      <c r="E5" s="2363"/>
      <c r="F5" s="2363"/>
    </row>
    <row r="6" spans="1:10" ht="12" customHeight="1" x14ac:dyDescent="0.25">
      <c r="A6" s="1823"/>
      <c r="B6" s="1824"/>
      <c r="C6" s="2364" t="str">
        <f>COVER!A17</f>
        <v>Richmond-Burton CHSD 157</v>
      </c>
      <c r="D6" s="2364"/>
      <c r="E6" s="2364"/>
      <c r="F6" s="1825"/>
    </row>
    <row r="7" spans="1:10" ht="11.25" customHeight="1" thickBot="1" x14ac:dyDescent="0.3">
      <c r="A7" s="1823"/>
      <c r="B7" s="1824"/>
      <c r="C7" s="2365">
        <f>COVER!A13</f>
        <v>44063157016</v>
      </c>
      <c r="D7" s="2365"/>
      <c r="E7" s="2365"/>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t="s">
        <v>2075</v>
      </c>
      <c r="D11" s="1838" t="s">
        <v>2075</v>
      </c>
      <c r="E11" s="1839"/>
      <c r="F11" s="1840" t="s">
        <v>2084</v>
      </c>
      <c r="H11" s="1851">
        <f>IF(C11="X",5,0)</f>
        <v>5</v>
      </c>
      <c r="I11" s="1851">
        <f>IF(D11="X",5,0)</f>
        <v>5</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2075</v>
      </c>
      <c r="D14" s="1838" t="s">
        <v>2075</v>
      </c>
      <c r="E14" s="1841"/>
      <c r="F14" s="1840" t="s">
        <v>2085</v>
      </c>
      <c r="H14" s="1851">
        <f t="shared" si="0"/>
        <v>5</v>
      </c>
      <c r="I14" s="1851">
        <f t="shared" si="1"/>
        <v>5</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2075</v>
      </c>
      <c r="D19" s="1838" t="s">
        <v>2075</v>
      </c>
      <c r="E19" s="1841"/>
      <c r="F19" s="1840" t="s">
        <v>2086</v>
      </c>
      <c r="H19" s="1851">
        <f t="shared" si="0"/>
        <v>5</v>
      </c>
      <c r="I19" s="1851">
        <f t="shared" si="1"/>
        <v>5</v>
      </c>
      <c r="J19" s="1851">
        <f t="shared" si="2"/>
        <v>0</v>
      </c>
    </row>
    <row r="20" spans="1:12" ht="12" customHeight="1" x14ac:dyDescent="0.2">
      <c r="A20" s="1836" t="s">
        <v>1528</v>
      </c>
      <c r="B20" s="1837"/>
      <c r="C20" s="1838" t="s">
        <v>2075</v>
      </c>
      <c r="D20" s="1838" t="s">
        <v>2075</v>
      </c>
      <c r="E20" s="1841"/>
      <c r="F20" s="1840" t="s">
        <v>2087</v>
      </c>
      <c r="H20" s="1851">
        <f t="shared" si="0"/>
        <v>5</v>
      </c>
      <c r="I20" s="1851">
        <f t="shared" si="1"/>
        <v>5</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t="s">
        <v>2075</v>
      </c>
      <c r="D25" s="1838" t="s">
        <v>2075</v>
      </c>
      <c r="E25" s="1841"/>
      <c r="F25" s="1840" t="s">
        <v>2084</v>
      </c>
      <c r="H25" s="1851">
        <f t="shared" si="0"/>
        <v>5</v>
      </c>
      <c r="I25" s="1851">
        <f t="shared" si="1"/>
        <v>5</v>
      </c>
      <c r="J25" s="1851">
        <f t="shared" si="2"/>
        <v>0</v>
      </c>
    </row>
    <row r="26" spans="1:12" ht="12" customHeight="1" x14ac:dyDescent="0.2">
      <c r="A26" s="1836" t="s">
        <v>1534</v>
      </c>
      <c r="B26" s="1837"/>
      <c r="C26" s="1838" t="s">
        <v>2075</v>
      </c>
      <c r="D26" s="1838" t="s">
        <v>2075</v>
      </c>
      <c r="E26" s="1841"/>
      <c r="F26" s="1840" t="s">
        <v>2088</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t="s">
        <v>2075</v>
      </c>
      <c r="D29" s="1838" t="s">
        <v>2075</v>
      </c>
      <c r="E29" s="1841"/>
      <c r="F29" s="1840" t="s">
        <v>2089</v>
      </c>
      <c r="H29" s="1851">
        <f t="shared" si="0"/>
        <v>5</v>
      </c>
      <c r="I29" s="1851">
        <f t="shared" si="1"/>
        <v>5</v>
      </c>
      <c r="J29" s="1851">
        <f t="shared" si="2"/>
        <v>0</v>
      </c>
    </row>
    <row r="30" spans="1:12" ht="12" customHeight="1" x14ac:dyDescent="0.2">
      <c r="A30" s="1836" t="s">
        <v>1538</v>
      </c>
      <c r="B30" s="1837"/>
      <c r="C30" s="1838" t="s">
        <v>2075</v>
      </c>
      <c r="D30" s="1838" t="s">
        <v>2075</v>
      </c>
      <c r="E30" s="1841"/>
      <c r="F30" s="1840" t="s">
        <v>2084</v>
      </c>
      <c r="H30" s="1851">
        <f t="shared" si="0"/>
        <v>5</v>
      </c>
      <c r="I30" s="1851">
        <f t="shared" si="1"/>
        <v>5</v>
      </c>
      <c r="J30" s="1851">
        <f t="shared" si="2"/>
        <v>0</v>
      </c>
    </row>
    <row r="31" spans="1:12" ht="12" customHeight="1" x14ac:dyDescent="0.2">
      <c r="A31" s="1836" t="s">
        <v>1539</v>
      </c>
      <c r="B31" s="1837"/>
      <c r="C31" s="1838" t="s">
        <v>2075</v>
      </c>
      <c r="D31" s="1838" t="s">
        <v>2075</v>
      </c>
      <c r="E31" s="1841"/>
      <c r="F31" s="1840" t="s">
        <v>2090</v>
      </c>
      <c r="H31" s="1851">
        <f t="shared" si="0"/>
        <v>5</v>
      </c>
      <c r="I31" s="1851">
        <f t="shared" si="1"/>
        <v>5</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45</v>
      </c>
      <c r="I34" s="1851">
        <f>SUM(I11:I32)</f>
        <v>45</v>
      </c>
      <c r="J34" s="1851">
        <f>SUM(J11:J32)</f>
        <v>0</v>
      </c>
      <c r="K34" s="1851">
        <f>SUM(H34:J34)</f>
        <v>90</v>
      </c>
    </row>
    <row r="35" spans="1:11" ht="12" customHeight="1" x14ac:dyDescent="0.2">
      <c r="A35" s="1844" t="s">
        <v>1392</v>
      </c>
      <c r="B35" s="1845"/>
      <c r="C35" s="2366"/>
      <c r="D35" s="2366"/>
      <c r="E35" s="2366"/>
      <c r="F35" s="2367"/>
    </row>
    <row r="36" spans="1:11" ht="12" customHeight="1" x14ac:dyDescent="0.2">
      <c r="A36" s="2357"/>
      <c r="B36" s="2358"/>
      <c r="C36" s="2358"/>
      <c r="D36" s="2358"/>
      <c r="E36" s="2358"/>
      <c r="F36" s="2359"/>
    </row>
    <row r="37" spans="1:11" ht="12" customHeight="1" x14ac:dyDescent="0.2">
      <c r="A37" s="2357"/>
      <c r="B37" s="2358"/>
      <c r="C37" s="2358"/>
      <c r="D37" s="2358"/>
      <c r="E37" s="2358"/>
      <c r="F37" s="2359"/>
    </row>
    <row r="38" spans="1:11" ht="12" customHeight="1" x14ac:dyDescent="0.2">
      <c r="A38" s="2371"/>
      <c r="B38" s="2372"/>
      <c r="C38" s="2372"/>
      <c r="D38" s="2372"/>
      <c r="E38" s="2372"/>
      <c r="F38" s="2373"/>
    </row>
    <row r="39" spans="1:11" ht="4.5" hidden="1" customHeight="1" x14ac:dyDescent="0.2">
      <c r="A39" s="1846"/>
      <c r="B39" s="1846"/>
      <c r="C39" s="1846"/>
      <c r="D39" s="1846"/>
      <c r="E39" s="1846"/>
      <c r="F39" s="1846"/>
    </row>
    <row r="40" spans="1:11" s="1843" customFormat="1" ht="12" customHeight="1" x14ac:dyDescent="0.25">
      <c r="A40" s="1847" t="s">
        <v>1391</v>
      </c>
      <c r="B40" s="1848"/>
      <c r="C40" s="2374"/>
      <c r="D40" s="2374"/>
      <c r="E40" s="2374"/>
      <c r="F40" s="2375"/>
      <c r="H40" s="1852"/>
      <c r="I40" s="1852"/>
      <c r="J40" s="1852"/>
      <c r="K40" s="1852"/>
    </row>
    <row r="41" spans="1:11" s="1843" customFormat="1" ht="12" customHeight="1" x14ac:dyDescent="0.25">
      <c r="A41" s="2376" t="s">
        <v>2083</v>
      </c>
      <c r="B41" s="2377"/>
      <c r="C41" s="2377"/>
      <c r="D41" s="2377"/>
      <c r="E41" s="2377"/>
      <c r="F41" s="2378"/>
      <c r="H41" s="1852"/>
      <c r="I41" s="1852"/>
      <c r="J41" s="1852"/>
      <c r="K41" s="1852"/>
    </row>
    <row r="42" spans="1:11" s="1843" customFormat="1" ht="12" customHeight="1" x14ac:dyDescent="0.25">
      <c r="A42" s="2376"/>
      <c r="B42" s="2377"/>
      <c r="C42" s="2377"/>
      <c r="D42" s="2377"/>
      <c r="E42" s="2377"/>
      <c r="F42" s="2378"/>
      <c r="H42" s="1852"/>
      <c r="I42" s="1852"/>
      <c r="J42" s="1852"/>
      <c r="K42" s="1852"/>
    </row>
    <row r="43" spans="1:11" s="1843" customFormat="1" ht="15" x14ac:dyDescent="0.25">
      <c r="A43" s="2368"/>
      <c r="B43" s="2369"/>
      <c r="C43" s="2369"/>
      <c r="D43" s="2369"/>
      <c r="E43" s="2369"/>
      <c r="F43" s="2370"/>
      <c r="H43" s="1852"/>
      <c r="I43" s="1852"/>
      <c r="J43" s="1852"/>
      <c r="K43" s="1852"/>
    </row>
    <row r="44" spans="1:11" s="1843" customFormat="1" ht="12" hidden="1" customHeight="1" x14ac:dyDescent="0.25">
      <c r="A44" s="2368"/>
      <c r="B44" s="2369"/>
      <c r="C44" s="2369"/>
      <c r="D44" s="2369"/>
      <c r="E44" s="2369"/>
      <c r="F44" s="237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G14" sqref="G14"/>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4" t="str">
        <f>COVER!A17</f>
        <v>Richmond-Burton CHSD 157</v>
      </c>
      <c r="J6" s="2385"/>
      <c r="Q6" s="1637"/>
    </row>
    <row r="7" spans="1:17" x14ac:dyDescent="0.2">
      <c r="A7" s="2386" t="s">
        <v>869</v>
      </c>
      <c r="B7" s="2387"/>
      <c r="C7" s="2387"/>
      <c r="D7" s="2387"/>
      <c r="E7" s="2388"/>
      <c r="F7" s="990"/>
      <c r="G7" s="982"/>
      <c r="H7" s="989" t="s">
        <v>372</v>
      </c>
      <c r="I7" s="2389">
        <f>COVER!A13</f>
        <v>44063157016</v>
      </c>
      <c r="J7" s="2389"/>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0" t="s">
        <v>481</v>
      </c>
      <c r="B11" s="2391"/>
      <c r="C11" s="2392"/>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126826</v>
      </c>
      <c r="F12" s="1012"/>
      <c r="G12" s="1784">
        <f t="shared" ref="G12:G18" si="0">SUM(E12:F12)</f>
        <v>126826</v>
      </c>
      <c r="H12" s="1013">
        <v>138000</v>
      </c>
      <c r="I12" s="1012"/>
      <c r="J12" s="1784">
        <f t="shared" ref="J12:J18" si="1">SUM(H12:I12)</f>
        <v>138000</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60890</v>
      </c>
      <c r="F15" s="1784">
        <f>'Expenditures 15-22'!K122</f>
        <v>0</v>
      </c>
      <c r="G15" s="1784">
        <f t="shared" si="0"/>
        <v>60890</v>
      </c>
      <c r="H15" s="1013">
        <v>59500</v>
      </c>
      <c r="I15" s="1013"/>
      <c r="J15" s="1784">
        <f t="shared" si="1"/>
        <v>59500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3" t="s">
        <v>7</v>
      </c>
      <c r="C18" s="2394"/>
      <c r="D18" s="2395"/>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187716</v>
      </c>
      <c r="F19" s="1786">
        <f t="shared" si="2"/>
        <v>0</v>
      </c>
      <c r="G19" s="1786">
        <f t="shared" si="2"/>
        <v>187716</v>
      </c>
      <c r="H19" s="1786">
        <f t="shared" si="2"/>
        <v>197500</v>
      </c>
      <c r="I19" s="1786">
        <f t="shared" si="2"/>
        <v>0</v>
      </c>
      <c r="J19" s="1786">
        <f t="shared" si="2"/>
        <v>197500</v>
      </c>
    </row>
    <row r="20" spans="1:10" ht="13.5" thickTop="1" x14ac:dyDescent="0.2">
      <c r="A20" s="1008">
        <v>9</v>
      </c>
      <c r="B20" s="2396" t="s">
        <v>1981</v>
      </c>
      <c r="C20" s="2396"/>
      <c r="D20" s="2397"/>
      <c r="E20" s="1019"/>
      <c r="F20" s="1019"/>
      <c r="G20" s="1019"/>
      <c r="H20" s="1019"/>
      <c r="I20" s="1019"/>
      <c r="J20" s="1787">
        <f>IF(AND(G19&gt;0,J19&gt;0),(((J19-G19)/G19)),"Enter Budget Data")</f>
        <v>5.2121289607705255E-2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2"/>
      <c r="D26" s="2402"/>
      <c r="E26" s="1023"/>
      <c r="F26" s="2401"/>
      <c r="G26" s="2401"/>
    </row>
    <row r="27" spans="1:10" x14ac:dyDescent="0.2">
      <c r="B27" s="1020"/>
      <c r="C27" s="1024" t="s">
        <v>1033</v>
      </c>
      <c r="D27" s="1025"/>
      <c r="E27" s="1026"/>
      <c r="F27" s="2398" t="s">
        <v>1509</v>
      </c>
      <c r="G27" s="2398"/>
    </row>
    <row r="28" spans="1:10" ht="28.5" customHeight="1" x14ac:dyDescent="0.2">
      <c r="B28" s="1020"/>
      <c r="C28" s="2400"/>
      <c r="D28" s="2400"/>
      <c r="E28" s="1027"/>
      <c r="F28" s="2400"/>
      <c r="G28" s="2400"/>
    </row>
    <row r="29" spans="1:10" x14ac:dyDescent="0.2">
      <c r="B29" s="1020"/>
      <c r="C29" s="1028" t="s">
        <v>1561</v>
      </c>
      <c r="E29" s="1029"/>
      <c r="F29" s="2399" t="s">
        <v>1510</v>
      </c>
      <c r="G29" s="2399"/>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1" t="s">
        <v>132</v>
      </c>
      <c r="D33" s="2382"/>
      <c r="E33" s="2382"/>
      <c r="F33" s="2382"/>
      <c r="G33" s="2382"/>
      <c r="H33" s="2382"/>
      <c r="I33" s="2382"/>
    </row>
    <row r="34" spans="1:10" ht="10.35" customHeight="1" x14ac:dyDescent="0.2">
      <c r="C34" s="2382"/>
      <c r="D34" s="2382"/>
      <c r="E34" s="2382"/>
      <c r="F34" s="2382"/>
      <c r="G34" s="2382"/>
      <c r="H34" s="2382"/>
      <c r="I34" s="2382"/>
    </row>
    <row r="35" spans="1:10" ht="7.5" customHeight="1" x14ac:dyDescent="0.2">
      <c r="C35" s="1035"/>
    </row>
    <row r="36" spans="1:10" ht="13.5" customHeight="1" x14ac:dyDescent="0.2">
      <c r="B36" s="1034"/>
      <c r="C36" s="2383" t="s">
        <v>1983</v>
      </c>
      <c r="D36" s="2382"/>
      <c r="E36" s="2382"/>
      <c r="F36" s="2382"/>
      <c r="G36" s="2382"/>
      <c r="H36" s="2382"/>
      <c r="I36" s="2382"/>
      <c r="J36" s="1036"/>
    </row>
    <row r="37" spans="1:10" ht="22.5" customHeight="1" x14ac:dyDescent="0.2">
      <c r="C37" s="2382"/>
      <c r="D37" s="2382"/>
      <c r="E37" s="2382"/>
      <c r="F37" s="2382"/>
      <c r="G37" s="2382"/>
      <c r="H37" s="2382"/>
      <c r="I37" s="2382"/>
      <c r="J37" s="1036"/>
    </row>
    <row r="38" spans="1:10" ht="7.5" customHeight="1" x14ac:dyDescent="0.2">
      <c r="C38" s="1035"/>
      <c r="D38" s="1037"/>
      <c r="E38" s="1038"/>
      <c r="F38" s="1039"/>
      <c r="G38" s="1038"/>
    </row>
    <row r="39" spans="1:10" ht="13.5" customHeight="1" x14ac:dyDescent="0.2">
      <c r="B39" s="1034"/>
      <c r="C39" s="2379" t="s">
        <v>882</v>
      </c>
      <c r="D39" s="2380"/>
      <c r="E39" s="2380"/>
      <c r="F39" s="2380"/>
      <c r="G39" s="2380"/>
      <c r="H39" s="2380"/>
      <c r="I39" s="2380"/>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C66"/>
  <sheetViews>
    <sheetView showGridLines="0" zoomScale="110" zoomScaleNormal="110" workbookViewId="0">
      <selection activeCell="C7" sqref="C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2077</v>
      </c>
      <c r="C5" s="329" t="s">
        <v>2079</v>
      </c>
    </row>
    <row r="6" spans="1:3" x14ac:dyDescent="0.2">
      <c r="A6" s="1041">
        <v>2</v>
      </c>
      <c r="B6" s="329" t="s">
        <v>2098</v>
      </c>
      <c r="C6" s="329" t="s">
        <v>2080</v>
      </c>
    </row>
    <row r="7" spans="1:3" x14ac:dyDescent="0.2">
      <c r="A7" s="1041">
        <v>3</v>
      </c>
      <c r="B7" s="329" t="s">
        <v>2099</v>
      </c>
      <c r="C7" s="329" t="s">
        <v>2100</v>
      </c>
    </row>
    <row r="8" spans="1:3" x14ac:dyDescent="0.2">
      <c r="A8" s="1041">
        <v>4</v>
      </c>
      <c r="B8" s="329" t="s">
        <v>2094</v>
      </c>
      <c r="C8" s="329" t="s">
        <v>2081</v>
      </c>
    </row>
    <row r="9" spans="1:3" x14ac:dyDescent="0.2">
      <c r="A9" s="1041">
        <v>5</v>
      </c>
      <c r="B9" s="329" t="s">
        <v>2078</v>
      </c>
      <c r="C9" s="329" t="s">
        <v>2082</v>
      </c>
    </row>
    <row r="10" spans="1:3" x14ac:dyDescent="0.2">
      <c r="A10" s="1042"/>
    </row>
    <row r="11" spans="1:3" x14ac:dyDescent="0.2">
      <c r="A11" s="1042"/>
    </row>
    <row r="12" spans="1:3" x14ac:dyDescent="0.2">
      <c r="A12" s="2007" t="s">
        <v>2095</v>
      </c>
    </row>
    <row r="13" spans="1:3" x14ac:dyDescent="0.2">
      <c r="A13" s="1042"/>
    </row>
    <row r="14" spans="1:3" x14ac:dyDescent="0.2">
      <c r="A14" s="1042">
        <v>6</v>
      </c>
      <c r="B14" s="329" t="s">
        <v>2096</v>
      </c>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c r="B65" s="258" t="str">
        <f>COVER!A17</f>
        <v>Richmond-Burton CHSD 157</v>
      </c>
    </row>
    <row r="66" spans="1:2" x14ac:dyDescent="0.2">
      <c r="B66" s="1043">
        <f>COVER!A13</f>
        <v>44063157016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24" sqref="C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3" t="s">
        <v>1685</v>
      </c>
      <c r="B18" s="240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438150</xdr:colOff>
                <xdr:row>4</xdr:row>
                <xdr:rowOff>152400</xdr:rowOff>
              </from>
              <to>
                <xdr:col>1</xdr:col>
                <xdr:colOff>1352550</xdr:colOff>
                <xdr:row>9</xdr:row>
                <xdr:rowOff>28575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F11" sqref="F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4" t="s">
        <v>1690</v>
      </c>
      <c r="B1" s="2405"/>
      <c r="C1" s="2405"/>
      <c r="D1" s="2405"/>
      <c r="E1" s="2405"/>
      <c r="F1" s="2406"/>
    </row>
    <row r="2" spans="1:8" ht="45" customHeight="1" x14ac:dyDescent="0.2">
      <c r="A2" s="2414" t="s">
        <v>1987</v>
      </c>
      <c r="B2" s="2415"/>
      <c r="C2" s="2415"/>
      <c r="D2" s="2415"/>
      <c r="E2" s="2415"/>
      <c r="F2" s="2416"/>
      <c r="G2" s="1047"/>
      <c r="H2" s="1047"/>
    </row>
    <row r="3" spans="1:8" ht="57" customHeight="1" x14ac:dyDescent="0.2">
      <c r="A3" s="2417" t="s">
        <v>1686</v>
      </c>
      <c r="B3" s="2418"/>
      <c r="C3" s="2418"/>
      <c r="D3" s="2418"/>
      <c r="E3" s="2418"/>
      <c r="F3" s="2419"/>
      <c r="G3" s="1047"/>
      <c r="H3" s="1047"/>
    </row>
    <row r="4" spans="1:8" ht="14.25" customHeight="1" x14ac:dyDescent="0.2">
      <c r="A4" s="2423" t="s">
        <v>1988</v>
      </c>
      <c r="B4" s="2424"/>
      <c r="C4" s="2424"/>
      <c r="D4" s="2424"/>
      <c r="E4" s="2424"/>
      <c r="F4" s="2425"/>
      <c r="G4" s="1047"/>
      <c r="H4" s="1047"/>
    </row>
    <row r="5" spans="1:8" ht="14.25" customHeight="1" x14ac:dyDescent="0.2">
      <c r="A5" s="2426" t="s">
        <v>1984</v>
      </c>
      <c r="B5" s="2427"/>
      <c r="C5" s="2427"/>
      <c r="D5" s="2427"/>
      <c r="E5" s="2427"/>
      <c r="F5" s="2428"/>
      <c r="G5" s="1047"/>
      <c r="H5" s="1047"/>
    </row>
    <row r="6" spans="1:8" s="1048" customFormat="1" ht="41.25" customHeight="1" x14ac:dyDescent="0.2">
      <c r="A6" s="2420" t="s">
        <v>1691</v>
      </c>
      <c r="B6" s="2421"/>
      <c r="C6" s="2421"/>
      <c r="D6" s="2421"/>
      <c r="E6" s="2421"/>
      <c r="F6" s="2422"/>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9938152</v>
      </c>
      <c r="C8" s="1788">
        <f>'Acct Summary 7-8'!D8</f>
        <v>1633450</v>
      </c>
      <c r="D8" s="1788">
        <f>'Acct Summary 7-8'!F8</f>
        <v>1839108</v>
      </c>
      <c r="E8" s="1788">
        <f>'Acct Summary 7-8'!I8</f>
        <v>165996</v>
      </c>
      <c r="F8" s="1788">
        <f>SUM(B8:E8)</f>
        <v>13576706</v>
      </c>
    </row>
    <row r="9" spans="1:8" s="1052" customFormat="1" ht="14.25" customHeight="1" thickBot="1" x14ac:dyDescent="0.25">
      <c r="A9" s="1051" t="s">
        <v>1369</v>
      </c>
      <c r="B9" s="1789">
        <f>'Acct Summary 7-8'!C17</f>
        <v>8513049</v>
      </c>
      <c r="C9" s="1789">
        <f>'Acct Summary 7-8'!D17</f>
        <v>1219448</v>
      </c>
      <c r="D9" s="1789">
        <f>'Acct Summary 7-8'!F17</f>
        <v>2494450</v>
      </c>
      <c r="E9" s="1788"/>
      <c r="F9" s="1788">
        <f>SUM(B9:E9)</f>
        <v>12226947</v>
      </c>
    </row>
    <row r="10" spans="1:8" s="1052" customFormat="1" ht="14.25" thickTop="1" thickBot="1" x14ac:dyDescent="0.25">
      <c r="A10" s="1053" t="s">
        <v>1370</v>
      </c>
      <c r="B10" s="1790">
        <f>(B8-B9)</f>
        <v>1425103</v>
      </c>
      <c r="C10" s="1790">
        <f>(C8-C9)</f>
        <v>414002</v>
      </c>
      <c r="D10" s="1790">
        <f>(D8-D9)</f>
        <v>-655342</v>
      </c>
      <c r="E10" s="1789">
        <f>(E8-E9)</f>
        <v>165996</v>
      </c>
      <c r="F10" s="1791">
        <f>SUM(F8-F9)</f>
        <v>1349759</v>
      </c>
    </row>
    <row r="11" spans="1:8" s="1052" customFormat="1" ht="14.25" thickTop="1" thickBot="1" x14ac:dyDescent="0.25">
      <c r="A11" s="1054" t="s">
        <v>1985</v>
      </c>
      <c r="B11" s="1792">
        <f>'Acct Summary 7-8'!C81</f>
        <v>15071013</v>
      </c>
      <c r="C11" s="1792">
        <f>'Acct Summary 7-8'!D81</f>
        <v>1750680</v>
      </c>
      <c r="D11" s="1792">
        <f>'Acct Summary 7-8'!F81</f>
        <v>148105</v>
      </c>
      <c r="E11" s="1792">
        <f>'Acct Summary 7-8'!I81</f>
        <v>1226595</v>
      </c>
      <c r="F11" s="1793">
        <f>SUM(B11:E11)</f>
        <v>18196393</v>
      </c>
    </row>
    <row r="12" spans="1:8" ht="16.5" customHeight="1" thickTop="1" x14ac:dyDescent="0.2">
      <c r="A12" s="1055"/>
      <c r="B12" s="1056"/>
      <c r="C12" s="2408" t="str">
        <f>IF(AND(F10&lt;0,F11&gt;=0,ABS(F10*3)&gt;ABS(F11)),A16,IF(AND(F10&lt;0,F11&gt;0,ABS(F10*3)&lt;=ABS(F11)),A17,IF(AND(F10&lt;0,F11&lt;0),A16,IF(F11=0,A19,A18))))</f>
        <v>Balanced - no deficit reduction plan is required.</v>
      </c>
      <c r="D12" s="2409"/>
      <c r="E12" s="2409"/>
      <c r="F12" s="2410"/>
    </row>
    <row r="13" spans="1:8" ht="19.5" customHeight="1" x14ac:dyDescent="0.2">
      <c r="A13" s="1057"/>
      <c r="B13" s="1058"/>
      <c r="C13" s="2408"/>
      <c r="D13" s="2409"/>
      <c r="E13" s="2409"/>
      <c r="F13" s="2410"/>
      <c r="H13" s="1047"/>
    </row>
    <row r="14" spans="1:8" ht="19.5" customHeight="1" x14ac:dyDescent="0.2">
      <c r="A14" s="1057"/>
      <c r="B14" s="1058"/>
      <c r="C14" s="2408"/>
      <c r="D14" s="2409"/>
      <c r="E14" s="2409"/>
      <c r="F14" s="2410"/>
      <c r="H14" s="1047"/>
    </row>
    <row r="15" spans="1:8" ht="17.25" customHeight="1" x14ac:dyDescent="0.2">
      <c r="A15" s="1057"/>
      <c r="B15" s="1058"/>
      <c r="C15" s="2411"/>
      <c r="D15" s="2412"/>
      <c r="E15" s="2412"/>
      <c r="F15" s="2413"/>
      <c r="H15" s="1047"/>
    </row>
    <row r="16" spans="1:8" s="310" customFormat="1" ht="51.75" hidden="1" customHeight="1" x14ac:dyDescent="0.2">
      <c r="A16" s="2407" t="s">
        <v>1687</v>
      </c>
      <c r="B16" s="2407"/>
      <c r="C16" s="2407"/>
      <c r="D16" s="2407"/>
      <c r="E16" s="2407"/>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80" sqref="D80"/>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29" t="s">
        <v>665</v>
      </c>
      <c r="B3" s="2430"/>
      <c r="C3" s="2430"/>
      <c r="D3" s="2431"/>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0" t="s">
        <v>1504</v>
      </c>
      <c r="D7" s="2441"/>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2" t="s">
        <v>1008</v>
      </c>
      <c r="B15" s="2433"/>
      <c r="C15" s="2433"/>
      <c r="D15" s="2434"/>
    </row>
    <row r="16" spans="1:4" s="643" customFormat="1" ht="24" customHeight="1" x14ac:dyDescent="0.2">
      <c r="A16" s="2435" t="s">
        <v>663</v>
      </c>
      <c r="B16" s="2436"/>
      <c r="C16" s="2436"/>
      <c r="D16" s="2437"/>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4" t="s">
        <v>314</v>
      </c>
      <c r="D21" s="2445"/>
    </row>
    <row r="22" spans="1:10" ht="12.75" x14ac:dyDescent="0.2">
      <c r="A22" s="1112"/>
      <c r="B22" s="1113">
        <v>2</v>
      </c>
      <c r="C22" s="2442" t="s">
        <v>1524</v>
      </c>
      <c r="D22" s="2443"/>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6" t="s">
        <v>536</v>
      </c>
      <c r="D43" s="2447"/>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8" t="s">
        <v>784</v>
      </c>
      <c r="D56" s="2439"/>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38" t="s">
        <v>1696</v>
      </c>
      <c r="D70" s="2439"/>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PLEASE ENTER CONTRACTS PAID IN CURRENT YEAR.</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L43" sqref="L43"/>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44063157016</v>
      </c>
    </row>
    <row r="3" spans="1:2" x14ac:dyDescent="0.2">
      <c r="A3" t="s">
        <v>956</v>
      </c>
      <c r="B3" s="138" t="str">
        <f>COVER!A15</f>
        <v>MCHENRY</v>
      </c>
    </row>
    <row r="4" spans="1:2" x14ac:dyDescent="0.2">
      <c r="A4" t="s">
        <v>1007</v>
      </c>
      <c r="B4" s="138" t="str">
        <f>COVER!A17</f>
        <v>Richmond-Burton CHSD 157</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4017704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15071013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15071013</v>
      </c>
      <c r="D92" s="2" t="str">
        <f t="shared" si="0"/>
        <v>Error?</v>
      </c>
    </row>
    <row r="93" spans="1:4" x14ac:dyDescent="0.2">
      <c r="A93" s="5">
        <v>32</v>
      </c>
      <c r="B93" s="138">
        <f>'Assets-Liab 5-6'!C41</f>
        <v>15071013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461072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1750740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60</v>
      </c>
      <c r="C122" s="2" t="s">
        <v>573</v>
      </c>
      <c r="D122" s="2" t="str">
        <f t="shared" si="0"/>
        <v>Error?</v>
      </c>
    </row>
    <row r="123" spans="1:4" x14ac:dyDescent="0.2">
      <c r="A123" s="5">
        <v>62</v>
      </c>
      <c r="B123" s="138">
        <f>'Assets-Liab 5-6'!D39</f>
        <v>1750680</v>
      </c>
      <c r="D123" s="2" t="str">
        <f t="shared" si="0"/>
        <v>Error?</v>
      </c>
    </row>
    <row r="124" spans="1:4" x14ac:dyDescent="0.2">
      <c r="A124" s="5">
        <v>63</v>
      </c>
      <c r="B124" s="138">
        <f>'Assets-Liab 5-6'!D41</f>
        <v>1750740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538</v>
      </c>
      <c r="D129" s="2" t="str">
        <f t="shared" si="1"/>
        <v>Error?</v>
      </c>
    </row>
    <row r="130" spans="1:4" x14ac:dyDescent="0.2">
      <c r="A130" s="5">
        <v>69</v>
      </c>
      <c r="B130" s="138">
        <f>'Assets-Liab 5-6'!E12</f>
        <v>0</v>
      </c>
      <c r="D130" s="2" t="str">
        <f t="shared" si="1"/>
        <v>Error?</v>
      </c>
    </row>
    <row r="131" spans="1:4" x14ac:dyDescent="0.2">
      <c r="A131" s="5">
        <v>70</v>
      </c>
      <c r="B131" s="138">
        <f>'Assets-Liab 5-6'!E13</f>
        <v>45130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45130</v>
      </c>
      <c r="D140" s="2" t="str">
        <f t="shared" si="1"/>
        <v>Error?</v>
      </c>
    </row>
    <row r="141" spans="1:4" x14ac:dyDescent="0.2">
      <c r="A141" s="5">
        <v>80</v>
      </c>
      <c r="B141" s="138">
        <f>'Assets-Liab 5-6'!E41</f>
        <v>45130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1724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148105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148105</v>
      </c>
      <c r="D170" s="2" t="str">
        <f t="shared" si="1"/>
        <v>Error?</v>
      </c>
    </row>
    <row r="171" spans="1:4" x14ac:dyDescent="0.2">
      <c r="A171" s="5">
        <v>110</v>
      </c>
      <c r="B171" s="138">
        <f>'Assets-Liab 5-6'!F41</f>
        <v>148105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173374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658321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658321</v>
      </c>
      <c r="D189" s="2" t="str">
        <f t="shared" si="1"/>
        <v>Error?</v>
      </c>
    </row>
    <row r="190" spans="1:4" x14ac:dyDescent="0.2">
      <c r="A190" s="5">
        <v>129</v>
      </c>
      <c r="B190" s="138">
        <f>'Assets-Liab 5-6'!G41</f>
        <v>658321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51556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195762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195762</v>
      </c>
      <c r="D212" s="2" t="str">
        <f t="shared" si="2"/>
        <v>Error?</v>
      </c>
    </row>
    <row r="213" spans="1:4" x14ac:dyDescent="0.2">
      <c r="A213" s="12">
        <v>152</v>
      </c>
      <c r="B213" s="138">
        <f>'Assets-Liab 5-6'!H41</f>
        <v>195762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81500</v>
      </c>
      <c r="D273" s="2" t="str">
        <f t="shared" si="3"/>
        <v>Error?</v>
      </c>
    </row>
    <row r="274" spans="1:4" x14ac:dyDescent="0.2">
      <c r="A274" s="5">
        <v>213</v>
      </c>
      <c r="B274" s="138">
        <f>'Assets-Liab 5-6'!M17</f>
        <v>25403896</v>
      </c>
      <c r="D274" s="2" t="str">
        <f t="shared" si="3"/>
        <v>Error?</v>
      </c>
    </row>
    <row r="275" spans="1:4" x14ac:dyDescent="0.2">
      <c r="A275" s="5">
        <v>214</v>
      </c>
      <c r="B275" s="138">
        <f>'Assets-Liab 5-6'!M18</f>
        <v>1548856</v>
      </c>
      <c r="D275" s="2" t="str">
        <f t="shared" si="3"/>
        <v>Error?</v>
      </c>
    </row>
    <row r="276" spans="1:4" x14ac:dyDescent="0.2">
      <c r="A276" s="5">
        <v>215</v>
      </c>
      <c r="B276" s="138">
        <f>'Assets-Liab 5-6'!M19</f>
        <v>5348358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32433918</v>
      </c>
      <c r="C279" s="2" t="s">
        <v>573</v>
      </c>
      <c r="D279" s="2" t="str">
        <f t="shared" si="3"/>
        <v>Error?</v>
      </c>
    </row>
    <row r="280" spans="1:4" x14ac:dyDescent="0.2">
      <c r="A280" s="5">
        <v>219</v>
      </c>
      <c r="B280" s="138">
        <f>'Assets-Liab 5-6'!M40</f>
        <v>32433918</v>
      </c>
      <c r="D280" s="2" t="str">
        <f t="shared" si="3"/>
        <v>Error?</v>
      </c>
    </row>
    <row r="281" spans="1:4" x14ac:dyDescent="0.2">
      <c r="A281" s="5">
        <v>220</v>
      </c>
      <c r="B281" s="138">
        <f>'Assets-Liab 5-6'!M41</f>
        <v>32433918</v>
      </c>
      <c r="C281" s="2" t="s">
        <v>573</v>
      </c>
      <c r="D281" s="2" t="str">
        <f t="shared" si="3"/>
        <v>Error?</v>
      </c>
    </row>
    <row r="282" spans="1:4" x14ac:dyDescent="0.2">
      <c r="A282" s="5">
        <v>221</v>
      </c>
      <c r="B282" s="138">
        <f>'Assets-Liab 5-6'!N21</f>
        <v>45130</v>
      </c>
      <c r="D282" s="2" t="str">
        <f t="shared" si="3"/>
        <v>Error?</v>
      </c>
    </row>
    <row r="283" spans="1:4" x14ac:dyDescent="0.2">
      <c r="A283" s="5">
        <v>222</v>
      </c>
      <c r="B283" s="138">
        <f>'Assets-Liab 5-6'!N22</f>
        <v>2304870</v>
      </c>
      <c r="D283" s="2" t="str">
        <f t="shared" si="3"/>
        <v>Error?</v>
      </c>
    </row>
    <row r="284" spans="1:4" x14ac:dyDescent="0.2">
      <c r="A284" s="5">
        <v>223</v>
      </c>
      <c r="B284" s="138">
        <f>'Assets-Liab 5-6'!N23</f>
        <v>2350000</v>
      </c>
      <c r="C284" s="2" t="s">
        <v>573</v>
      </c>
      <c r="D284" s="2" t="str">
        <f t="shared" si="3"/>
        <v>Error?</v>
      </c>
    </row>
    <row r="285" spans="1:4" x14ac:dyDescent="0.2">
      <c r="A285" s="5">
        <v>224</v>
      </c>
      <c r="B285" s="138">
        <f>'Assets-Liab 5-6'!N36</f>
        <v>2350000</v>
      </c>
      <c r="D285" s="2" t="str">
        <f t="shared" si="3"/>
        <v>Error?</v>
      </c>
    </row>
    <row r="286" spans="1:4" x14ac:dyDescent="0.2">
      <c r="A286" s="10">
        <v>225</v>
      </c>
      <c r="D286" s="2" t="str">
        <f t="shared" si="3"/>
        <v>OK</v>
      </c>
    </row>
    <row r="287" spans="1:4" x14ac:dyDescent="0.2">
      <c r="A287" s="5">
        <v>226</v>
      </c>
      <c r="B287" s="138">
        <f>'Assets-Liab 5-6'!N37</f>
        <v>2350000</v>
      </c>
      <c r="C287" s="2" t="s">
        <v>573</v>
      </c>
      <c r="D287" s="2" t="str">
        <f t="shared" si="3"/>
        <v>Error?</v>
      </c>
    </row>
    <row r="288" spans="1:4" x14ac:dyDescent="0.2">
      <c r="A288" s="5">
        <v>227</v>
      </c>
      <c r="B288" s="138">
        <f>'Assets-Liab 5-6'!N41</f>
        <v>2350000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2842158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610405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4178212</v>
      </c>
      <c r="C720" s="2" t="s">
        <v>573</v>
      </c>
      <c r="D720" s="2" t="str">
        <f t="shared" si="10"/>
        <v>Error?</v>
      </c>
    </row>
    <row r="721" spans="1:4" x14ac:dyDescent="0.2">
      <c r="A721" s="5">
        <v>660</v>
      </c>
      <c r="B721" s="138">
        <f>'Expenditures 15-22'!C36</f>
        <v>120586</v>
      </c>
      <c r="D721" s="2" t="str">
        <f t="shared" si="10"/>
        <v>Error?</v>
      </c>
    </row>
    <row r="722" spans="1:4" x14ac:dyDescent="0.2">
      <c r="A722" s="5">
        <v>661</v>
      </c>
      <c r="B722" s="138">
        <f>'Expenditures 15-22'!C37</f>
        <v>193514</v>
      </c>
      <c r="D722" s="2" t="str">
        <f t="shared" si="10"/>
        <v>Error?</v>
      </c>
    </row>
    <row r="723" spans="1:4" x14ac:dyDescent="0.2">
      <c r="A723" s="5">
        <v>662</v>
      </c>
      <c r="B723" s="138">
        <f>'Expenditures 15-22'!C38</f>
        <v>28343</v>
      </c>
      <c r="D723" s="2" t="str">
        <f t="shared" si="10"/>
        <v>Error?</v>
      </c>
    </row>
    <row r="724" spans="1:4" x14ac:dyDescent="0.2">
      <c r="A724" s="5">
        <v>663</v>
      </c>
      <c r="B724" s="138">
        <f>'Expenditures 15-22'!C39</f>
        <v>67383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409826</v>
      </c>
      <c r="C727" s="2" t="s">
        <v>573</v>
      </c>
      <c r="D727" s="2" t="str">
        <f t="shared" si="10"/>
        <v>Error?</v>
      </c>
    </row>
    <row r="728" spans="1:4" x14ac:dyDescent="0.2">
      <c r="A728" s="5">
        <v>667</v>
      </c>
      <c r="B728" s="138">
        <f>'Expenditures 15-22'!C44</f>
        <v>20598</v>
      </c>
      <c r="D728" s="2" t="str">
        <f t="shared" si="10"/>
        <v>Error?</v>
      </c>
    </row>
    <row r="729" spans="1:4" x14ac:dyDescent="0.2">
      <c r="A729" s="5">
        <v>668</v>
      </c>
      <c r="B729" s="138">
        <f>'Expenditures 15-22'!C45</f>
        <v>102048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122646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71736</v>
      </c>
      <c r="D733" s="2" t="str">
        <f t="shared" si="10"/>
        <v>Error?</v>
      </c>
    </row>
    <row r="734" spans="1:4" x14ac:dyDescent="0.2">
      <c r="A734" s="5">
        <v>673</v>
      </c>
      <c r="B734" s="138">
        <f>'Expenditures 15-22'!C53</f>
        <v>71736</v>
      </c>
      <c r="C734" s="2" t="s">
        <v>573</v>
      </c>
      <c r="D734" s="2" t="str">
        <f t="shared" si="10"/>
        <v>Error?</v>
      </c>
    </row>
    <row r="735" spans="1:4" x14ac:dyDescent="0.2">
      <c r="A735" s="5">
        <v>674</v>
      </c>
      <c r="B735" s="138">
        <f>'Expenditures 15-22'!C55</f>
        <v>419971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419971</v>
      </c>
      <c r="C737" s="2" t="s">
        <v>573</v>
      </c>
      <c r="D737" s="2" t="str">
        <f t="shared" si="10"/>
        <v>Error?</v>
      </c>
    </row>
    <row r="738" spans="1:4" x14ac:dyDescent="0.2">
      <c r="A738" s="5">
        <v>677</v>
      </c>
      <c r="B738" s="138">
        <f>'Expenditures 15-22'!C59</f>
        <v>57547</v>
      </c>
      <c r="D738" s="2" t="str">
        <f t="shared" si="10"/>
        <v>Error?</v>
      </c>
    </row>
    <row r="739" spans="1:4" x14ac:dyDescent="0.2">
      <c r="A739" s="5">
        <v>678</v>
      </c>
      <c r="B739" s="138">
        <f>'Expenditures 15-22'!C60</f>
        <v>17890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18147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93584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78254</v>
      </c>
      <c r="D751" s="2" t="str">
        <f t="shared" si="10"/>
        <v>Error?</v>
      </c>
    </row>
    <row r="752" spans="1:4" x14ac:dyDescent="0.2">
      <c r="A752" s="10">
        <v>691</v>
      </c>
      <c r="D752" s="2" t="str">
        <f t="shared" si="10"/>
        <v>OK</v>
      </c>
    </row>
    <row r="753" spans="1:4" x14ac:dyDescent="0.2">
      <c r="A753" s="5">
        <v>692</v>
      </c>
      <c r="B753" s="138">
        <f>'Expenditures 15-22'!C72</f>
        <v>78254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1196017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5374229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424095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42720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609097</v>
      </c>
      <c r="C778" s="2" t="s">
        <v>573</v>
      </c>
      <c r="D778" s="2" t="str">
        <f t="shared" si="11"/>
        <v>Error?</v>
      </c>
    </row>
    <row r="779" spans="1:4" x14ac:dyDescent="0.2">
      <c r="A779" s="5">
        <v>718</v>
      </c>
      <c r="B779" s="138">
        <f>'Expenditures 15-22'!D36</f>
        <v>16089</v>
      </c>
      <c r="D779" s="2" t="str">
        <f t="shared" si="11"/>
        <v>Error?</v>
      </c>
    </row>
    <row r="780" spans="1:4" x14ac:dyDescent="0.2">
      <c r="A780" s="5">
        <v>719</v>
      </c>
      <c r="B780" s="138">
        <f>'Expenditures 15-22'!D37</f>
        <v>17790</v>
      </c>
      <c r="D780" s="2" t="str">
        <f t="shared" si="11"/>
        <v>Error?</v>
      </c>
    </row>
    <row r="781" spans="1:4" x14ac:dyDescent="0.2">
      <c r="A781" s="5">
        <v>720</v>
      </c>
      <c r="B781" s="138">
        <f>'Expenditures 15-22'!D38</f>
        <v>3049</v>
      </c>
      <c r="D781" s="2" t="str">
        <f t="shared" si="11"/>
        <v>Error?</v>
      </c>
    </row>
    <row r="782" spans="1:4" x14ac:dyDescent="0.2">
      <c r="A782" s="5">
        <v>721</v>
      </c>
      <c r="B782" s="138">
        <f>'Expenditures 15-22'!D39</f>
        <v>7269</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44197</v>
      </c>
      <c r="C785" s="2" t="s">
        <v>573</v>
      </c>
      <c r="D785" s="2" t="str">
        <f t="shared" si="11"/>
        <v>Error?</v>
      </c>
    </row>
    <row r="786" spans="1:4" x14ac:dyDescent="0.2">
      <c r="A786" s="5">
        <v>725</v>
      </c>
      <c r="B786" s="138">
        <f>'Expenditures 15-22'!D44</f>
        <v>10421</v>
      </c>
      <c r="D786" s="2" t="str">
        <f t="shared" si="11"/>
        <v>Error?</v>
      </c>
    </row>
    <row r="787" spans="1:4" x14ac:dyDescent="0.2">
      <c r="A787" s="5">
        <v>726</v>
      </c>
      <c r="B787" s="138">
        <f>'Expenditures 15-22'!D45</f>
        <v>18520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28941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20637</v>
      </c>
      <c r="D791" s="2" t="str">
        <f t="shared" si="11"/>
        <v>Error?</v>
      </c>
    </row>
    <row r="792" spans="1:4" x14ac:dyDescent="0.2">
      <c r="A792" s="5">
        <v>731</v>
      </c>
      <c r="B792" s="138">
        <f>'Expenditures 15-22'!D53</f>
        <v>20637</v>
      </c>
      <c r="C792" s="2" t="s">
        <v>573</v>
      </c>
      <c r="D792" s="2" t="str">
        <f t="shared" si="11"/>
        <v>Error?</v>
      </c>
    </row>
    <row r="793" spans="1:4" x14ac:dyDescent="0.2">
      <c r="A793" s="5">
        <v>732</v>
      </c>
      <c r="B793" s="138">
        <f>'Expenditures 15-22'!D55</f>
        <v>84614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84614</v>
      </c>
      <c r="C795" s="2" t="s">
        <v>573</v>
      </c>
      <c r="D795" s="2" t="str">
        <f t="shared" si="11"/>
        <v>Error?</v>
      </c>
    </row>
    <row r="796" spans="1:4" x14ac:dyDescent="0.2">
      <c r="A796" s="5">
        <v>735</v>
      </c>
      <c r="B796" s="138">
        <f>'Expenditures 15-22'!D59</f>
        <v>1824</v>
      </c>
      <c r="D796" s="2" t="str">
        <f t="shared" si="11"/>
        <v>Error?</v>
      </c>
    </row>
    <row r="797" spans="1:4" x14ac:dyDescent="0.2">
      <c r="A797" s="5">
        <v>736</v>
      </c>
      <c r="B797" s="138">
        <f>'Expenditures 15-22'!D60</f>
        <v>2008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8931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12763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25660</v>
      </c>
      <c r="D809" s="2" t="str">
        <f t="shared" si="11"/>
        <v>Error?</v>
      </c>
    </row>
    <row r="810" spans="1:4" x14ac:dyDescent="0.2">
      <c r="A810" s="10">
        <v>749</v>
      </c>
      <c r="D810" s="2" t="str">
        <f t="shared" si="11"/>
        <v>OK</v>
      </c>
    </row>
    <row r="811" spans="1:4" x14ac:dyDescent="0.2">
      <c r="A811" s="5">
        <v>750</v>
      </c>
      <c r="B811" s="138">
        <f>'Expenditures 15-22'!D72</f>
        <v>25660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216812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825909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111975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79511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276941</v>
      </c>
      <c r="C836" s="2" t="s">
        <v>573</v>
      </c>
      <c r="D836" s="2" t="str">
        <f t="shared" si="12"/>
        <v>Error?</v>
      </c>
    </row>
    <row r="837" spans="1:4" x14ac:dyDescent="0.2">
      <c r="A837" s="5">
        <v>776</v>
      </c>
      <c r="B837" s="138">
        <f>'Expenditures 15-22'!E36</f>
        <v>3876</v>
      </c>
      <c r="D837" s="2" t="str">
        <f t="shared" si="12"/>
        <v>Error?</v>
      </c>
    </row>
    <row r="838" spans="1:4" x14ac:dyDescent="0.2">
      <c r="A838" s="5">
        <v>777</v>
      </c>
      <c r="B838" s="138">
        <f>'Expenditures 15-22'!E37</f>
        <v>3255</v>
      </c>
      <c r="D838" s="2" t="str">
        <f t="shared" si="12"/>
        <v>Error?</v>
      </c>
    </row>
    <row r="839" spans="1:4" x14ac:dyDescent="0.2">
      <c r="A839" s="5">
        <v>778</v>
      </c>
      <c r="B839" s="138">
        <f>'Expenditures 15-22'!E38</f>
        <v>511</v>
      </c>
      <c r="D839" s="2" t="str">
        <f t="shared" si="12"/>
        <v>Error?</v>
      </c>
    </row>
    <row r="840" spans="1:4" x14ac:dyDescent="0.2">
      <c r="A840" s="5">
        <v>779</v>
      </c>
      <c r="B840" s="138">
        <f>'Expenditures 15-22'!E39</f>
        <v>39367</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47009</v>
      </c>
      <c r="C843" s="2" t="s">
        <v>573</v>
      </c>
      <c r="D843" s="2" t="str">
        <f t="shared" si="12"/>
        <v>Error?</v>
      </c>
    </row>
    <row r="844" spans="1:4" x14ac:dyDescent="0.2">
      <c r="A844" s="5">
        <v>783</v>
      </c>
      <c r="B844" s="138">
        <f>'Expenditures 15-22'!E44</f>
        <v>46906</v>
      </c>
      <c r="D844" s="2" t="str">
        <f t="shared" si="12"/>
        <v>Error?</v>
      </c>
    </row>
    <row r="845" spans="1:4" x14ac:dyDescent="0.2">
      <c r="A845" s="5">
        <v>784</v>
      </c>
      <c r="B845" s="138">
        <f>'Expenditures 15-22'!E45</f>
        <v>15978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62884</v>
      </c>
      <c r="C847" s="2" t="s">
        <v>573</v>
      </c>
      <c r="D847" s="2" t="str">
        <f t="shared" si="12"/>
        <v>Error?</v>
      </c>
    </row>
    <row r="848" spans="1:4" x14ac:dyDescent="0.2">
      <c r="A848" s="5">
        <v>787</v>
      </c>
      <c r="B848" s="138">
        <f>'Expenditures 15-22'!E49</f>
        <v>345413</v>
      </c>
      <c r="D848" s="2" t="str">
        <f t="shared" si="12"/>
        <v>Error?</v>
      </c>
    </row>
    <row r="849" spans="1:4" x14ac:dyDescent="0.2">
      <c r="A849" s="5">
        <v>788</v>
      </c>
      <c r="B849" s="138">
        <f>'Expenditures 15-22'!E50</f>
        <v>28440</v>
      </c>
      <c r="D849" s="2" t="str">
        <f t="shared" si="12"/>
        <v>Error?</v>
      </c>
    </row>
    <row r="850" spans="1:4" x14ac:dyDescent="0.2">
      <c r="A850" s="5">
        <v>789</v>
      </c>
      <c r="B850" s="138">
        <f>'Expenditures 15-22'!E53</f>
        <v>374432</v>
      </c>
      <c r="C850" s="2" t="s">
        <v>573</v>
      </c>
      <c r="D850" s="2" t="str">
        <f t="shared" si="12"/>
        <v>Error?</v>
      </c>
    </row>
    <row r="851" spans="1:4" x14ac:dyDescent="0.2">
      <c r="A851" s="5">
        <v>790</v>
      </c>
      <c r="B851" s="138">
        <f>'Expenditures 15-22'!E55</f>
        <v>32404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32404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61791</v>
      </c>
      <c r="D855" s="2" t="str">
        <f t="shared" si="12"/>
        <v>Error?</v>
      </c>
    </row>
    <row r="856" spans="1:4" x14ac:dyDescent="0.2">
      <c r="A856" s="5">
        <v>795</v>
      </c>
      <c r="B856" s="138">
        <f>'Expenditures 15-22'!E61</f>
        <v>49025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204642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315458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91335</v>
      </c>
      <c r="D867" s="2" t="str">
        <f t="shared" si="12"/>
        <v>Error?</v>
      </c>
    </row>
    <row r="868" spans="1:4" x14ac:dyDescent="0.2">
      <c r="A868" s="10">
        <v>807</v>
      </c>
      <c r="D868" s="2" t="str">
        <f t="shared" si="12"/>
        <v>OK</v>
      </c>
    </row>
    <row r="869" spans="1:4" x14ac:dyDescent="0.2">
      <c r="A869" s="5">
        <v>808</v>
      </c>
      <c r="B869" s="138">
        <f>'Expenditures 15-22'!E72</f>
        <v>91335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923522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1200463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222389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87191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321113</v>
      </c>
      <c r="C894" s="2" t="s">
        <v>573</v>
      </c>
      <c r="D894" s="2" t="str">
        <f t="shared" si="12"/>
        <v>Error?</v>
      </c>
    </row>
    <row r="895" spans="1:4" x14ac:dyDescent="0.2">
      <c r="A895" s="5">
        <v>834</v>
      </c>
      <c r="B895" s="138">
        <f>'Expenditures 15-22'!F36</f>
        <v>465</v>
      </c>
      <c r="D895" s="2" t="str">
        <f t="shared" ref="D895:D958" si="13">IF(ISBLANK(B895),"OK",IF(A895-B895=0,"OK","Error?"))</f>
        <v>Error?</v>
      </c>
    </row>
    <row r="896" spans="1:4" x14ac:dyDescent="0.2">
      <c r="A896" s="5">
        <v>835</v>
      </c>
      <c r="B896" s="138">
        <f>'Expenditures 15-22'!F37</f>
        <v>37941</v>
      </c>
      <c r="D896" s="2" t="str">
        <f t="shared" si="13"/>
        <v>Error?</v>
      </c>
    </row>
    <row r="897" spans="1:4" x14ac:dyDescent="0.2">
      <c r="A897" s="5">
        <v>836</v>
      </c>
      <c r="B897" s="138">
        <f>'Expenditures 15-22'!F38</f>
        <v>1630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40036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19931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19931</v>
      </c>
      <c r="C905" s="2" t="s">
        <v>573</v>
      </c>
      <c r="D905" s="2" t="str">
        <f t="shared" si="13"/>
        <v>Error?</v>
      </c>
    </row>
    <row r="906" spans="1:4" x14ac:dyDescent="0.2">
      <c r="A906" s="5">
        <v>845</v>
      </c>
      <c r="B906" s="138">
        <f>'Expenditures 15-22'!F49</f>
        <v>23881</v>
      </c>
      <c r="D906" s="2" t="str">
        <f t="shared" si="13"/>
        <v>Error?</v>
      </c>
    </row>
    <row r="907" spans="1:4" x14ac:dyDescent="0.2">
      <c r="A907" s="5">
        <v>846</v>
      </c>
      <c r="B907" s="138">
        <f>'Expenditures 15-22'!F50</f>
        <v>4240</v>
      </c>
      <c r="D907" s="2" t="str">
        <f t="shared" si="13"/>
        <v>Error?</v>
      </c>
    </row>
    <row r="908" spans="1:4" x14ac:dyDescent="0.2">
      <c r="A908" s="5">
        <v>847</v>
      </c>
      <c r="B908" s="138">
        <f>'Expenditures 15-22'!F53</f>
        <v>28121</v>
      </c>
      <c r="C908" s="2" t="s">
        <v>573</v>
      </c>
      <c r="D908" s="2" t="str">
        <f t="shared" si="13"/>
        <v>Error?</v>
      </c>
    </row>
    <row r="909" spans="1:4" x14ac:dyDescent="0.2">
      <c r="A909" s="5">
        <v>848</v>
      </c>
      <c r="B909" s="138">
        <f>'Expenditures 15-22'!F55</f>
        <v>53633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53633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2066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1120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3186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67825</v>
      </c>
      <c r="D925" s="2" t="str">
        <f t="shared" si="13"/>
        <v>Error?</v>
      </c>
    </row>
    <row r="926" spans="1:4" x14ac:dyDescent="0.2">
      <c r="A926" s="10">
        <v>865</v>
      </c>
      <c r="D926" s="2" t="str">
        <f t="shared" si="13"/>
        <v>OK</v>
      </c>
    </row>
    <row r="927" spans="1:4" x14ac:dyDescent="0.2">
      <c r="A927" s="5">
        <v>866</v>
      </c>
      <c r="B927" s="138">
        <f>'Expenditures 15-22'!F72</f>
        <v>67825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212732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533845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4599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14613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1440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1440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2393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2393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12638</v>
      </c>
      <c r="D983" s="2" t="str">
        <f t="shared" si="14"/>
        <v>Error?</v>
      </c>
    </row>
    <row r="984" spans="1:4" x14ac:dyDescent="0.2">
      <c r="A984" s="10">
        <v>923</v>
      </c>
      <c r="D984" s="2" t="str">
        <f t="shared" si="14"/>
        <v>OK</v>
      </c>
    </row>
    <row r="985" spans="1:4" x14ac:dyDescent="0.2">
      <c r="A985" s="5">
        <v>924</v>
      </c>
      <c r="B985" s="138">
        <f>'Expenditures 15-22'!G72</f>
        <v>12638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16471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31084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14925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16799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200220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2044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2044</v>
      </c>
      <c r="C1017" s="2" t="s">
        <v>573</v>
      </c>
      <c r="D1017" s="2" t="str">
        <f t="shared" si="14"/>
        <v>Error?</v>
      </c>
    </row>
    <row r="1018" spans="1:4" x14ac:dyDescent="0.2">
      <c r="A1018" s="5">
        <v>957</v>
      </c>
      <c r="B1018" s="138">
        <f>'Expenditures 15-22'!H44</f>
        <v>29315</v>
      </c>
      <c r="D1018" s="2" t="str">
        <f t="shared" si="14"/>
        <v>Error?</v>
      </c>
    </row>
    <row r="1019" spans="1:4" x14ac:dyDescent="0.2">
      <c r="A1019" s="5">
        <v>958</v>
      </c>
      <c r="B1019" s="138">
        <f>'Expenditures 15-22'!H45</f>
        <v>2650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31965</v>
      </c>
      <c r="C1021" s="2" t="s">
        <v>573</v>
      </c>
      <c r="D1021" s="2" t="str">
        <f t="shared" si="14"/>
        <v>Error?</v>
      </c>
    </row>
    <row r="1022" spans="1:4" x14ac:dyDescent="0.2">
      <c r="A1022" s="5">
        <v>961</v>
      </c>
      <c r="B1022" s="138">
        <f>'Expenditures 15-22'!H49</f>
        <v>48294</v>
      </c>
      <c r="D1022" s="2" t="str">
        <f t="shared" si="14"/>
        <v>Error?</v>
      </c>
    </row>
    <row r="1023" spans="1:4" x14ac:dyDescent="0.2">
      <c r="A1023" s="5">
        <v>962</v>
      </c>
      <c r="B1023" s="138">
        <f>'Expenditures 15-22'!H50</f>
        <v>1773</v>
      </c>
      <c r="D1023" s="2" t="str">
        <f t="shared" ref="D1023:D1086" si="15">IF(ISBLANK(B1023),"OK",IF(A1023-B1023=0,"OK","Error?"))</f>
        <v>Error?</v>
      </c>
    </row>
    <row r="1024" spans="1:4" x14ac:dyDescent="0.2">
      <c r="A1024" s="5">
        <v>963</v>
      </c>
      <c r="B1024" s="138">
        <f>'Expenditures 15-22'!H53</f>
        <v>50067</v>
      </c>
      <c r="C1024" s="2" t="s">
        <v>573</v>
      </c>
      <c r="D1024" s="2" t="str">
        <f t="shared" si="15"/>
        <v>Error?</v>
      </c>
    </row>
    <row r="1025" spans="1:4" x14ac:dyDescent="0.2">
      <c r="A1025" s="5">
        <v>964</v>
      </c>
      <c r="B1025" s="138">
        <f>'Expenditures 15-22'!H55</f>
        <v>3740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3740</v>
      </c>
      <c r="C1027" s="2" t="s">
        <v>573</v>
      </c>
      <c r="D1027" s="2" t="str">
        <f t="shared" si="15"/>
        <v>Error?</v>
      </c>
    </row>
    <row r="1028" spans="1:4" x14ac:dyDescent="0.2">
      <c r="A1028" s="5">
        <v>967</v>
      </c>
      <c r="B1028" s="138">
        <f>'Expenditures 15-22'!H59</f>
        <v>1519</v>
      </c>
      <c r="D1028" s="2" t="str">
        <f t="shared" si="15"/>
        <v>Error?</v>
      </c>
    </row>
    <row r="1029" spans="1:4" x14ac:dyDescent="0.2">
      <c r="A1029" s="5">
        <v>968</v>
      </c>
      <c r="B1029" s="138">
        <f>'Expenditures 15-22'!H60</f>
        <v>4386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5905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33184</v>
      </c>
      <c r="D1041" s="2" t="str">
        <f t="shared" si="15"/>
        <v>Error?</v>
      </c>
    </row>
    <row r="1042" spans="1:4" x14ac:dyDescent="0.2">
      <c r="A1042" s="10">
        <v>981</v>
      </c>
      <c r="D1042" s="2" t="str">
        <f t="shared" si="15"/>
        <v>OK</v>
      </c>
    </row>
    <row r="1043" spans="1:4" x14ac:dyDescent="0.2">
      <c r="A1043" s="5">
        <v>982</v>
      </c>
      <c r="B1043" s="138">
        <f>'Expenditures 15-22'!H72</f>
        <v>33184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126905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220394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547519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3625556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841225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5600196</v>
      </c>
      <c r="C1108" s="2" t="s">
        <v>573</v>
      </c>
      <c r="D1108" s="2" t="str">
        <f t="shared" si="16"/>
        <v>Error?</v>
      </c>
    </row>
    <row r="1109" spans="1:4" x14ac:dyDescent="0.2">
      <c r="A1109" s="5">
        <v>1048</v>
      </c>
      <c r="B1109" s="138">
        <f>'Expenditures 15-22'!K36</f>
        <v>141016</v>
      </c>
      <c r="C1109" s="2" t="s">
        <v>573</v>
      </c>
      <c r="D1109" s="2" t="str">
        <f t="shared" si="16"/>
        <v>Error?</v>
      </c>
    </row>
    <row r="1110" spans="1:4" x14ac:dyDescent="0.2">
      <c r="A1110" s="5">
        <v>1049</v>
      </c>
      <c r="B1110" s="138">
        <f>'Expenditures 15-22'!K37</f>
        <v>254544</v>
      </c>
      <c r="C1110" s="2" t="s">
        <v>573</v>
      </c>
      <c r="D1110" s="2" t="str">
        <f t="shared" si="16"/>
        <v>Error?</v>
      </c>
    </row>
    <row r="1111" spans="1:4" x14ac:dyDescent="0.2">
      <c r="A1111" s="5">
        <v>1050</v>
      </c>
      <c r="B1111" s="138">
        <f>'Expenditures 15-22'!K38</f>
        <v>33533</v>
      </c>
      <c r="C1111" s="2" t="s">
        <v>573</v>
      </c>
      <c r="D1111" s="2" t="str">
        <f t="shared" si="16"/>
        <v>Error?</v>
      </c>
    </row>
    <row r="1112" spans="1:4" x14ac:dyDescent="0.2">
      <c r="A1112" s="5">
        <v>1051</v>
      </c>
      <c r="B1112" s="138">
        <f>'Expenditures 15-22'!K39</f>
        <v>114019</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543112</v>
      </c>
      <c r="C1115" s="2" t="s">
        <v>573</v>
      </c>
      <c r="D1115" s="2" t="str">
        <f t="shared" si="16"/>
        <v>Error?</v>
      </c>
    </row>
    <row r="1116" spans="1:4" x14ac:dyDescent="0.2">
      <c r="A1116" s="5">
        <v>1055</v>
      </c>
      <c r="B1116" s="138">
        <f>'Expenditures 15-22'!K44</f>
        <v>107240</v>
      </c>
      <c r="C1116" s="2" t="s">
        <v>573</v>
      </c>
      <c r="D1116" s="2" t="str">
        <f t="shared" si="16"/>
        <v>Error?</v>
      </c>
    </row>
    <row r="1117" spans="1:4" x14ac:dyDescent="0.2">
      <c r="A1117" s="5">
        <v>1056</v>
      </c>
      <c r="B1117" s="138">
        <f>'Expenditures 15-22'!K45</f>
        <v>160567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267807</v>
      </c>
      <c r="C1119" s="2" t="s">
        <v>573</v>
      </c>
      <c r="D1119" s="2" t="str">
        <f t="shared" si="16"/>
        <v>Error?</v>
      </c>
    </row>
    <row r="1120" spans="1:4" x14ac:dyDescent="0.2">
      <c r="A1120" s="5">
        <v>1059</v>
      </c>
      <c r="B1120" s="138">
        <f>'Expenditures 15-22'!K49</f>
        <v>417588</v>
      </c>
      <c r="C1120" s="2" t="s">
        <v>573</v>
      </c>
      <c r="D1120" s="2" t="str">
        <f t="shared" si="16"/>
        <v>Error?</v>
      </c>
    </row>
    <row r="1121" spans="1:4" x14ac:dyDescent="0.2">
      <c r="A1121" s="5">
        <v>1060</v>
      </c>
      <c r="B1121" s="138">
        <f>'Expenditures 15-22'!K50</f>
        <v>126826</v>
      </c>
      <c r="C1121" s="2" t="s">
        <v>573</v>
      </c>
      <c r="D1121" s="2" t="str">
        <f t="shared" si="16"/>
        <v>Error?</v>
      </c>
    </row>
    <row r="1122" spans="1:4" x14ac:dyDescent="0.2">
      <c r="A1122" s="5">
        <v>1061</v>
      </c>
      <c r="B1122" s="138">
        <f>'Expenditures 15-22'!K53</f>
        <v>544993</v>
      </c>
      <c r="C1122" s="2" t="s">
        <v>573</v>
      </c>
      <c r="D1122" s="2" t="str">
        <f t="shared" si="16"/>
        <v>Error?</v>
      </c>
    </row>
    <row r="1123" spans="1:4" x14ac:dyDescent="0.2">
      <c r="A1123" s="5">
        <v>1062</v>
      </c>
      <c r="B1123" s="138">
        <f>'Expenditures 15-22'!K55</f>
        <v>594362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594362</v>
      </c>
      <c r="C1125" s="2" t="s">
        <v>573</v>
      </c>
      <c r="D1125" s="2" t="str">
        <f t="shared" si="16"/>
        <v>Error?</v>
      </c>
    </row>
    <row r="1126" spans="1:4" x14ac:dyDescent="0.2">
      <c r="A1126" s="5">
        <v>1065</v>
      </c>
      <c r="B1126" s="138">
        <f>'Expenditures 15-22'!K59</f>
        <v>60890</v>
      </c>
      <c r="C1126" s="2" t="s">
        <v>573</v>
      </c>
      <c r="D1126" s="2" t="str">
        <f t="shared" si="16"/>
        <v>Error?</v>
      </c>
    </row>
    <row r="1127" spans="1:4" x14ac:dyDescent="0.2">
      <c r="A1127" s="5">
        <v>1066</v>
      </c>
      <c r="B1127" s="138">
        <f>'Expenditures 15-22'!K60</f>
        <v>90534</v>
      </c>
      <c r="C1127" s="2" t="s">
        <v>573</v>
      </c>
      <c r="D1127" s="2" t="str">
        <f t="shared" si="16"/>
        <v>Error?</v>
      </c>
    </row>
    <row r="1128" spans="1:4" x14ac:dyDescent="0.2">
      <c r="A1128" s="5">
        <v>1067</v>
      </c>
      <c r="B1128" s="138">
        <f>'Expenditures 15-22'!K61</f>
        <v>49025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232840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433289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308896</v>
      </c>
      <c r="C1139" s="2" t="s">
        <v>573</v>
      </c>
      <c r="D1139" s="2" t="str">
        <f t="shared" si="16"/>
        <v>Error?</v>
      </c>
    </row>
    <row r="1140" spans="1:4" x14ac:dyDescent="0.2">
      <c r="A1140" s="10">
        <v>1079</v>
      </c>
      <c r="D1140" s="2" t="str">
        <f t="shared" si="16"/>
        <v>OK</v>
      </c>
    </row>
    <row r="1141" spans="1:4" x14ac:dyDescent="0.2">
      <c r="A1141" s="5">
        <v>1080</v>
      </c>
      <c r="B1141" s="138">
        <f>'Expenditures 15-22'!K72</f>
        <v>308896</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2692459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220394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8513049</v>
      </c>
      <c r="C1152" s="2" t="s">
        <v>573</v>
      </c>
      <c r="D1152" s="2" t="str">
        <f t="shared" si="17"/>
        <v>Error?</v>
      </c>
    </row>
    <row r="1153" spans="1:4" x14ac:dyDescent="0.2">
      <c r="A1153" s="5">
        <v>1092</v>
      </c>
      <c r="B1153" s="138">
        <f>'Expenditures 15-22'!K115</f>
        <v>1425103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197317</v>
      </c>
      <c r="D1221" s="2" t="str">
        <f t="shared" si="18"/>
        <v>Error?</v>
      </c>
    </row>
    <row r="1222" spans="1:4" x14ac:dyDescent="0.2">
      <c r="A1222" s="10">
        <v>1161</v>
      </c>
      <c r="D1222" s="2" t="str">
        <f t="shared" si="18"/>
        <v>OK</v>
      </c>
    </row>
    <row r="1223" spans="1:4" x14ac:dyDescent="0.2">
      <c r="A1223" s="5">
        <v>1162</v>
      </c>
      <c r="B1223" s="138">
        <f>'Expenditures 15-22'!C127</f>
        <v>197317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197317</v>
      </c>
      <c r="C1225" s="2" t="s">
        <v>573</v>
      </c>
      <c r="D1225" s="2" t="str">
        <f t="shared" si="18"/>
        <v>Error?</v>
      </c>
    </row>
    <row r="1226" spans="1:4" x14ac:dyDescent="0.2">
      <c r="A1226" s="5">
        <v>1165</v>
      </c>
      <c r="B1226" s="138">
        <f>'Expenditures 15-22'!C151</f>
        <v>197317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18667</v>
      </c>
      <c r="D1229" s="2" t="str">
        <f t="shared" si="18"/>
        <v>Error?</v>
      </c>
    </row>
    <row r="1230" spans="1:4" x14ac:dyDescent="0.2">
      <c r="A1230" s="10">
        <v>1169</v>
      </c>
      <c r="D1230" s="2" t="str">
        <f t="shared" si="18"/>
        <v>OK</v>
      </c>
    </row>
    <row r="1231" spans="1:4" x14ac:dyDescent="0.2">
      <c r="A1231" s="5">
        <v>1170</v>
      </c>
      <c r="B1231" s="138">
        <f>'Expenditures 15-22'!D127</f>
        <v>18667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18667</v>
      </c>
      <c r="C1233" s="2" t="s">
        <v>573</v>
      </c>
      <c r="D1233" s="2" t="str">
        <f t="shared" si="18"/>
        <v>Error?</v>
      </c>
    </row>
    <row r="1234" spans="1:4" x14ac:dyDescent="0.2">
      <c r="A1234" s="5">
        <v>1173</v>
      </c>
      <c r="B1234" s="138">
        <f>'Expenditures 15-22'!D151</f>
        <v>18667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457558</v>
      </c>
      <c r="D1237" s="2" t="str">
        <f t="shared" si="18"/>
        <v>Error?</v>
      </c>
    </row>
    <row r="1238" spans="1:4" x14ac:dyDescent="0.2">
      <c r="A1238" s="10">
        <v>1177</v>
      </c>
      <c r="D1238" s="2" t="str">
        <f t="shared" si="18"/>
        <v>OK</v>
      </c>
    </row>
    <row r="1239" spans="1:4" x14ac:dyDescent="0.2">
      <c r="A1239" s="5">
        <v>1178</v>
      </c>
      <c r="B1239" s="138">
        <f>'Expenditures 15-22'!E127</f>
        <v>457558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457558</v>
      </c>
      <c r="C1241" s="2" t="s">
        <v>573</v>
      </c>
      <c r="D1241" s="2" t="str">
        <f t="shared" si="18"/>
        <v>Error?</v>
      </c>
    </row>
    <row r="1242" spans="1:4" x14ac:dyDescent="0.2">
      <c r="A1242" s="5">
        <v>1181</v>
      </c>
      <c r="B1242" s="138">
        <f>'Expenditures 15-22'!E151</f>
        <v>457558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438008</v>
      </c>
      <c r="D1245" s="2" t="str">
        <f t="shared" si="18"/>
        <v>Error?</v>
      </c>
    </row>
    <row r="1246" spans="1:4" x14ac:dyDescent="0.2">
      <c r="A1246" s="10">
        <v>1185</v>
      </c>
      <c r="D1246" s="2" t="str">
        <f t="shared" si="18"/>
        <v>OK</v>
      </c>
    </row>
    <row r="1247" spans="1:4" x14ac:dyDescent="0.2">
      <c r="A1247" s="5">
        <v>1186</v>
      </c>
      <c r="B1247" s="138">
        <f>'Expenditures 15-22'!F127</f>
        <v>438008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438008</v>
      </c>
      <c r="C1249" s="2" t="s">
        <v>573</v>
      </c>
      <c r="D1249" s="2" t="str">
        <f t="shared" si="18"/>
        <v>Error?</v>
      </c>
    </row>
    <row r="1250" spans="1:4" x14ac:dyDescent="0.2">
      <c r="A1250" s="5">
        <v>1189</v>
      </c>
      <c r="B1250" s="138">
        <f>'Expenditures 15-22'!F151</f>
        <v>438008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107823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107823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107823</v>
      </c>
      <c r="C1258" s="2" t="s">
        <v>573</v>
      </c>
      <c r="D1258" s="2" t="str">
        <f t="shared" si="18"/>
        <v>Error?</v>
      </c>
    </row>
    <row r="1259" spans="1:4" x14ac:dyDescent="0.2">
      <c r="A1259" s="5">
        <v>1198</v>
      </c>
      <c r="B1259" s="138">
        <f>'Expenditures 15-22'!G151</f>
        <v>107823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v>
      </c>
      <c r="D1262" s="2" t="str">
        <f t="shared" si="18"/>
        <v>Error?</v>
      </c>
    </row>
    <row r="1263" spans="1:4" x14ac:dyDescent="0.2">
      <c r="A1263" s="10">
        <v>1202</v>
      </c>
      <c r="D1263" s="2" t="str">
        <f t="shared" si="18"/>
        <v>OK</v>
      </c>
    </row>
    <row r="1264" spans="1:4" x14ac:dyDescent="0.2">
      <c r="A1264" s="5">
        <v>1203</v>
      </c>
      <c r="B1264" s="138">
        <f>'Expenditures 15-22'!H127</f>
        <v>75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75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1219448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1219448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1219448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1219448</v>
      </c>
      <c r="C1288" s="2" t="s">
        <v>573</v>
      </c>
      <c r="D1288" s="2" t="str">
        <f t="shared" si="19"/>
        <v>Error?</v>
      </c>
    </row>
    <row r="1289" spans="1:4" x14ac:dyDescent="0.2">
      <c r="A1289" s="5">
        <v>1228</v>
      </c>
      <c r="B1289" s="138">
        <f>'Expenditures 15-22'!K152</f>
        <v>414002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93330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1785000</v>
      </c>
      <c r="D1315" s="2" t="str">
        <f t="shared" si="19"/>
        <v>Error?</v>
      </c>
    </row>
    <row r="1316" spans="1:4" x14ac:dyDescent="0.2">
      <c r="A1316" s="5">
        <v>1255</v>
      </c>
      <c r="B1316" s="138">
        <f>'Expenditures 15-22'!H171</f>
        <v>1750</v>
      </c>
      <c r="D1316" s="2" t="str">
        <f t="shared" si="19"/>
        <v>Error?</v>
      </c>
    </row>
    <row r="1317" spans="1:4" x14ac:dyDescent="0.2">
      <c r="A1317" s="5">
        <v>1256</v>
      </c>
      <c r="B1317" s="138">
        <f>'Expenditures 15-22'!H172</f>
        <v>1880080</v>
      </c>
      <c r="C1317" s="2" t="s">
        <v>573</v>
      </c>
      <c r="D1317" s="2" t="str">
        <f t="shared" si="19"/>
        <v>Error?</v>
      </c>
    </row>
    <row r="1318" spans="1:4" x14ac:dyDescent="0.2">
      <c r="A1318" s="5">
        <v>1257</v>
      </c>
      <c r="B1318" s="138">
        <f>'Expenditures 15-22'!H174</f>
        <v>1880080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93330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1785000</v>
      </c>
      <c r="C1329" s="2" t="s">
        <v>573</v>
      </c>
      <c r="D1329" s="2" t="str">
        <f t="shared" si="19"/>
        <v>Error?</v>
      </c>
    </row>
    <row r="1330" spans="1:4" x14ac:dyDescent="0.2">
      <c r="A1330" s="5">
        <v>1269</v>
      </c>
      <c r="B1330" s="138">
        <f>'Expenditures 15-22'!K171</f>
        <v>1750</v>
      </c>
      <c r="C1330" s="2" t="s">
        <v>573</v>
      </c>
      <c r="D1330" s="2" t="str">
        <f t="shared" si="19"/>
        <v>Error?</v>
      </c>
    </row>
    <row r="1331" spans="1:4" x14ac:dyDescent="0.2">
      <c r="A1331" s="5">
        <v>1270</v>
      </c>
      <c r="B1331" s="138">
        <f>'Expenditures 15-22'!K172</f>
        <v>1880080</v>
      </c>
      <c r="C1331" s="2" t="s">
        <v>573</v>
      </c>
      <c r="D1331" s="2" t="str">
        <f t="shared" si="19"/>
        <v>Error?</v>
      </c>
    </row>
    <row r="1332" spans="1:4" x14ac:dyDescent="0.2">
      <c r="A1332" s="5">
        <v>1271</v>
      </c>
      <c r="B1332" s="138">
        <f>'Expenditures 15-22'!K174</f>
        <v>1880080</v>
      </c>
      <c r="C1332" s="2" t="s">
        <v>573</v>
      </c>
      <c r="D1332" s="2" t="str">
        <f t="shared" si="19"/>
        <v>Error?</v>
      </c>
    </row>
    <row r="1333" spans="1:4" x14ac:dyDescent="0.2">
      <c r="A1333" s="5">
        <v>1272</v>
      </c>
      <c r="B1333" s="138">
        <f>'Expenditures 15-22'!K175</f>
        <v>-221392</v>
      </c>
      <c r="C1333" s="2" t="s">
        <v>573</v>
      </c>
      <c r="D1333" s="2" t="str">
        <f t="shared" si="19"/>
        <v>Error?</v>
      </c>
    </row>
    <row r="1334" spans="1:4" x14ac:dyDescent="0.2">
      <c r="A1334" s="10">
        <v>1273</v>
      </c>
      <c r="D1334" s="2" t="str">
        <f t="shared" si="19"/>
        <v>OK</v>
      </c>
    </row>
    <row r="1335" spans="1:4" x14ac:dyDescent="0.2">
      <c r="A1335" s="5">
        <v>1274</v>
      </c>
      <c r="B1335" s="138">
        <f>'Expenditures 15-22'!C182</f>
        <v>804385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804385</v>
      </c>
      <c r="C1339" s="2" t="s">
        <v>573</v>
      </c>
      <c r="D1339" s="2" t="str">
        <f t="shared" si="19"/>
        <v>Error?</v>
      </c>
    </row>
    <row r="1340" spans="1:4" x14ac:dyDescent="0.2">
      <c r="A1340" s="5">
        <v>1279</v>
      </c>
      <c r="B1340" s="138">
        <f>'Expenditures 15-22'!C210</f>
        <v>804385</v>
      </c>
      <c r="C1340" s="2" t="s">
        <v>573</v>
      </c>
      <c r="D1340" s="2" t="str">
        <f t="shared" si="19"/>
        <v>Error?</v>
      </c>
    </row>
    <row r="1341" spans="1:4" x14ac:dyDescent="0.2">
      <c r="A1341" s="5">
        <v>1280</v>
      </c>
      <c r="B1341" s="138">
        <f>'Expenditures 15-22'!D182</f>
        <v>238271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238271</v>
      </c>
      <c r="C1345" s="2" t="s">
        <v>573</v>
      </c>
      <c r="D1345" s="2" t="str">
        <f t="shared" si="20"/>
        <v>Error?</v>
      </c>
    </row>
    <row r="1346" spans="1:4" x14ac:dyDescent="0.2">
      <c r="A1346" s="5">
        <v>1285</v>
      </c>
      <c r="B1346" s="138">
        <f>'Expenditures 15-22'!D210</f>
        <v>238271</v>
      </c>
      <c r="C1346" s="2" t="s">
        <v>573</v>
      </c>
      <c r="D1346" s="2" t="str">
        <f t="shared" si="20"/>
        <v>Error?</v>
      </c>
    </row>
    <row r="1347" spans="1:4" x14ac:dyDescent="0.2">
      <c r="A1347" s="5">
        <v>1286</v>
      </c>
      <c r="B1347" s="138">
        <f>'Expenditures 15-22'!E182</f>
        <v>1243602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1243602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1243602</v>
      </c>
      <c r="C1353" s="2" t="s">
        <v>573</v>
      </c>
      <c r="D1353" s="2" t="str">
        <f t="shared" si="20"/>
        <v>Error?</v>
      </c>
    </row>
    <row r="1354" spans="1:4" x14ac:dyDescent="0.2">
      <c r="A1354" s="5">
        <v>1293</v>
      </c>
      <c r="B1354" s="138">
        <f>'Expenditures 15-22'!F182</f>
        <v>206674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206674</v>
      </c>
      <c r="C1358" s="2" t="s">
        <v>573</v>
      </c>
      <c r="D1358" s="2" t="str">
        <f t="shared" si="20"/>
        <v>Error?</v>
      </c>
    </row>
    <row r="1359" spans="1:4" x14ac:dyDescent="0.2">
      <c r="A1359" s="5">
        <v>1298</v>
      </c>
      <c r="B1359" s="138">
        <f>'Expenditures 15-22'!F210</f>
        <v>206674</v>
      </c>
      <c r="C1359" s="2" t="s">
        <v>573</v>
      </c>
      <c r="D1359" s="2" t="str">
        <f t="shared" si="20"/>
        <v>Error?</v>
      </c>
    </row>
    <row r="1360" spans="1:4" x14ac:dyDescent="0.2">
      <c r="A1360" s="5">
        <v>1299</v>
      </c>
      <c r="B1360" s="138">
        <f>'Expenditures 15-22'!G182</f>
        <v>583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583</v>
      </c>
      <c r="C1364" s="2" t="s">
        <v>573</v>
      </c>
      <c r="D1364" s="2" t="str">
        <f t="shared" si="20"/>
        <v>Error?</v>
      </c>
    </row>
    <row r="1365" spans="1:4" x14ac:dyDescent="0.2">
      <c r="A1365" s="5">
        <v>1304</v>
      </c>
      <c r="B1365" s="138">
        <f>'Expenditures 15-22'!G210</f>
        <v>583</v>
      </c>
      <c r="C1365" s="2" t="s">
        <v>573</v>
      </c>
      <c r="D1365" s="2" t="str">
        <f t="shared" si="20"/>
        <v>Error?</v>
      </c>
    </row>
    <row r="1366" spans="1:4" x14ac:dyDescent="0.2">
      <c r="A1366" s="5">
        <v>1305</v>
      </c>
      <c r="B1366" s="138">
        <f>'Expenditures 15-22'!H182</f>
        <v>935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935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935</v>
      </c>
      <c r="C1376" s="2" t="s">
        <v>573</v>
      </c>
      <c r="D1376" s="2" t="str">
        <f t="shared" si="20"/>
        <v>Error?</v>
      </c>
    </row>
    <row r="1377" spans="1:4" x14ac:dyDescent="0.2">
      <c r="A1377" s="5">
        <v>1316</v>
      </c>
      <c r="B1377" s="138">
        <f>'Expenditures 15-22'!K182</f>
        <v>2494450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2494450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2494450</v>
      </c>
      <c r="C1388" s="2" t="s">
        <v>573</v>
      </c>
      <c r="D1388" s="2" t="str">
        <f t="shared" si="20"/>
        <v>Error?</v>
      </c>
    </row>
    <row r="1389" spans="1:4" x14ac:dyDescent="0.2">
      <c r="A1389" s="5">
        <v>1328</v>
      </c>
      <c r="B1389" s="138">
        <f>'Expenditures 15-22'!K211</f>
        <v>-655342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26363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105954</v>
      </c>
      <c r="C1410" s="2" t="s">
        <v>573</v>
      </c>
      <c r="D1410" s="2" t="str">
        <f t="shared" si="21"/>
        <v>Error?</v>
      </c>
    </row>
    <row r="1411" spans="1:4" x14ac:dyDescent="0.2">
      <c r="A1411" s="5">
        <v>1350</v>
      </c>
      <c r="B1411" s="138">
        <f>'Expenditures 15-22'!D232</f>
        <v>2479</v>
      </c>
      <c r="D1411" s="2" t="str">
        <f t="shared" si="21"/>
        <v>Error?</v>
      </c>
    </row>
    <row r="1412" spans="1:4" x14ac:dyDescent="0.2">
      <c r="A1412" s="5">
        <v>1351</v>
      </c>
      <c r="B1412" s="138">
        <f>'Expenditures 15-22'!D233</f>
        <v>8903</v>
      </c>
      <c r="D1412" s="2" t="str">
        <f t="shared" si="21"/>
        <v>Error?</v>
      </c>
    </row>
    <row r="1413" spans="1:4" x14ac:dyDescent="0.2">
      <c r="A1413" s="5">
        <v>1352</v>
      </c>
      <c r="B1413" s="138">
        <f>'Expenditures 15-22'!D234</f>
        <v>5281</v>
      </c>
      <c r="D1413" s="2" t="str">
        <f t="shared" si="21"/>
        <v>Error?</v>
      </c>
    </row>
    <row r="1414" spans="1:4" x14ac:dyDescent="0.2">
      <c r="A1414" s="5">
        <v>1353</v>
      </c>
      <c r="B1414" s="138">
        <f>'Expenditures 15-22'!D235</f>
        <v>1791</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18454</v>
      </c>
      <c r="C1417" s="2" t="s">
        <v>573</v>
      </c>
      <c r="D1417" s="2" t="str">
        <f t="shared" si="21"/>
        <v>Error?</v>
      </c>
    </row>
    <row r="1418" spans="1:4" x14ac:dyDescent="0.2">
      <c r="A1418" s="5">
        <v>1357</v>
      </c>
      <c r="B1418" s="138">
        <f>'Expenditures 15-22'!D240</f>
        <v>2884</v>
      </c>
      <c r="D1418" s="2" t="str">
        <f t="shared" si="21"/>
        <v>Error?</v>
      </c>
    </row>
    <row r="1419" spans="1:4" x14ac:dyDescent="0.2">
      <c r="A1419" s="5">
        <v>1358</v>
      </c>
      <c r="B1419" s="138">
        <f>'Expenditures 15-22'!D241</f>
        <v>6609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9493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1047</v>
      </c>
      <c r="D1423" s="2" t="str">
        <f t="shared" si="21"/>
        <v>Error?</v>
      </c>
    </row>
    <row r="1424" spans="1:4" x14ac:dyDescent="0.2">
      <c r="A1424" s="5">
        <v>1363</v>
      </c>
      <c r="B1424" s="138">
        <f>'Expenditures 15-22'!D257</f>
        <v>1047</v>
      </c>
      <c r="C1424" s="2" t="s">
        <v>573</v>
      </c>
      <c r="D1424" s="2" t="str">
        <f t="shared" si="21"/>
        <v>Error?</v>
      </c>
    </row>
    <row r="1425" spans="1:4" x14ac:dyDescent="0.2">
      <c r="A1425" s="5">
        <v>1364</v>
      </c>
      <c r="B1425" s="138">
        <f>'Expenditures 15-22'!D259</f>
        <v>17201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17201</v>
      </c>
      <c r="C1427" s="2" t="s">
        <v>573</v>
      </c>
      <c r="D1427" s="2" t="str">
        <f t="shared" si="21"/>
        <v>Error?</v>
      </c>
    </row>
    <row r="1428" spans="1:4" x14ac:dyDescent="0.2">
      <c r="A1428" s="5">
        <v>1367</v>
      </c>
      <c r="B1428" s="138">
        <f>'Expenditures 15-22'!D263</f>
        <v>1584</v>
      </c>
      <c r="D1428" s="2" t="str">
        <f t="shared" si="21"/>
        <v>Error?</v>
      </c>
    </row>
    <row r="1429" spans="1:4" x14ac:dyDescent="0.2">
      <c r="A1429" s="5">
        <v>1368</v>
      </c>
      <c r="B1429" s="138">
        <f>'Expenditures 15-22'!D264</f>
        <v>6830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32016</v>
      </c>
      <c r="D1431" s="2" t="str">
        <f t="shared" si="21"/>
        <v>Error?</v>
      </c>
    </row>
    <row r="1432" spans="1:4" x14ac:dyDescent="0.2">
      <c r="A1432" s="5">
        <v>1371</v>
      </c>
      <c r="B1432" s="138">
        <f>'Expenditures 15-22'!D267</f>
        <v>135431</v>
      </c>
      <c r="D1432" s="2" t="str">
        <f t="shared" si="21"/>
        <v>Error?</v>
      </c>
    </row>
    <row r="1433" spans="1:4" x14ac:dyDescent="0.2">
      <c r="A1433" s="5">
        <v>1372</v>
      </c>
      <c r="B1433" s="138">
        <f>'Expenditures 15-22'!D268</f>
        <v>3212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179073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23690</v>
      </c>
      <c r="D1442" s="2" t="str">
        <f t="shared" si="21"/>
        <v>Error?</v>
      </c>
    </row>
    <row r="1443" spans="1:4" x14ac:dyDescent="0.2">
      <c r="A1443" s="10">
        <v>1382</v>
      </c>
      <c r="D1443" s="2" t="str">
        <f t="shared" si="21"/>
        <v>OK</v>
      </c>
    </row>
    <row r="1444" spans="1:4" x14ac:dyDescent="0.2">
      <c r="A1444" s="5">
        <v>1383</v>
      </c>
      <c r="B1444" s="138">
        <f>'Expenditures 15-22'!D277</f>
        <v>23690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248958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354912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26363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105954</v>
      </c>
      <c r="C1474" s="2" t="s">
        <v>573</v>
      </c>
      <c r="D1474" s="2" t="str">
        <f t="shared" si="22"/>
        <v>Error?</v>
      </c>
    </row>
    <row r="1475" spans="1:4" x14ac:dyDescent="0.2">
      <c r="A1475" s="5">
        <v>1414</v>
      </c>
      <c r="B1475" s="138">
        <f>'Expenditures 15-22'!K232</f>
        <v>2479</v>
      </c>
      <c r="C1475" s="2" t="s">
        <v>573</v>
      </c>
      <c r="D1475" s="2" t="str">
        <f t="shared" si="22"/>
        <v>Error?</v>
      </c>
    </row>
    <row r="1476" spans="1:4" x14ac:dyDescent="0.2">
      <c r="A1476" s="5">
        <v>1415</v>
      </c>
      <c r="B1476" s="138">
        <f>'Expenditures 15-22'!K233</f>
        <v>8903</v>
      </c>
      <c r="C1476" s="2" t="s">
        <v>573</v>
      </c>
      <c r="D1476" s="2" t="str">
        <f t="shared" si="22"/>
        <v>Error?</v>
      </c>
    </row>
    <row r="1477" spans="1:4" x14ac:dyDescent="0.2">
      <c r="A1477" s="5">
        <v>1416</v>
      </c>
      <c r="B1477" s="138">
        <f>'Expenditures 15-22'!K234</f>
        <v>5281</v>
      </c>
      <c r="C1477" s="2" t="s">
        <v>573</v>
      </c>
      <c r="D1477" s="2" t="str">
        <f t="shared" si="22"/>
        <v>Error?</v>
      </c>
    </row>
    <row r="1478" spans="1:4" x14ac:dyDescent="0.2">
      <c r="A1478" s="5">
        <v>1417</v>
      </c>
      <c r="B1478" s="138">
        <f>'Expenditures 15-22'!K235</f>
        <v>1791</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18454</v>
      </c>
      <c r="C1481" s="2" t="s">
        <v>573</v>
      </c>
      <c r="D1481" s="2" t="str">
        <f t="shared" si="22"/>
        <v>Error?</v>
      </c>
    </row>
    <row r="1482" spans="1:4" x14ac:dyDescent="0.2">
      <c r="A1482" s="5">
        <v>1421</v>
      </c>
      <c r="B1482" s="138">
        <f>'Expenditures 15-22'!K240</f>
        <v>2884</v>
      </c>
      <c r="C1482" s="2" t="s">
        <v>573</v>
      </c>
      <c r="D1482" s="2" t="str">
        <f t="shared" si="22"/>
        <v>Error?</v>
      </c>
    </row>
    <row r="1483" spans="1:4" x14ac:dyDescent="0.2">
      <c r="A1483" s="5">
        <v>1422</v>
      </c>
      <c r="B1483" s="138">
        <f>'Expenditures 15-22'!K241</f>
        <v>6609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9493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1047</v>
      </c>
      <c r="C1487" s="2" t="s">
        <v>573</v>
      </c>
      <c r="D1487" s="2" t="str">
        <f t="shared" si="22"/>
        <v>Error?</v>
      </c>
    </row>
    <row r="1488" spans="1:4" x14ac:dyDescent="0.2">
      <c r="A1488" s="5">
        <v>1427</v>
      </c>
      <c r="B1488" s="138">
        <f>'Expenditures 15-22'!K257</f>
        <v>1047</v>
      </c>
      <c r="C1488" s="2" t="s">
        <v>573</v>
      </c>
      <c r="D1488" s="2" t="str">
        <f t="shared" si="22"/>
        <v>Error?</v>
      </c>
    </row>
    <row r="1489" spans="1:4" x14ac:dyDescent="0.2">
      <c r="A1489" s="5">
        <v>1428</v>
      </c>
      <c r="B1489" s="138">
        <f>'Expenditures 15-22'!K259</f>
        <v>17201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17201</v>
      </c>
      <c r="C1491" s="2" t="s">
        <v>573</v>
      </c>
      <c r="D1491" s="2" t="str">
        <f t="shared" si="22"/>
        <v>Error?</v>
      </c>
    </row>
    <row r="1492" spans="1:4" x14ac:dyDescent="0.2">
      <c r="A1492" s="5">
        <v>1431</v>
      </c>
      <c r="B1492" s="138">
        <f>'Expenditures 15-22'!K263</f>
        <v>1584</v>
      </c>
      <c r="C1492" s="2" t="s">
        <v>573</v>
      </c>
      <c r="D1492" s="2" t="str">
        <f t="shared" si="22"/>
        <v>Error?</v>
      </c>
    </row>
    <row r="1493" spans="1:4" x14ac:dyDescent="0.2">
      <c r="A1493" s="5">
        <v>1432</v>
      </c>
      <c r="B1493" s="138">
        <f>'Expenditures 15-22'!K264</f>
        <v>6830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32016</v>
      </c>
      <c r="C1495" s="2" t="s">
        <v>573</v>
      </c>
      <c r="D1495" s="2" t="str">
        <f t="shared" si="22"/>
        <v>Error?</v>
      </c>
    </row>
    <row r="1496" spans="1:4" x14ac:dyDescent="0.2">
      <c r="A1496" s="5">
        <v>1435</v>
      </c>
      <c r="B1496" s="138">
        <f>'Expenditures 15-22'!K267</f>
        <v>135431</v>
      </c>
      <c r="C1496" s="2" t="s">
        <v>573</v>
      </c>
      <c r="D1496" s="2" t="str">
        <f t="shared" si="22"/>
        <v>Error?</v>
      </c>
    </row>
    <row r="1497" spans="1:4" x14ac:dyDescent="0.2">
      <c r="A1497" s="5">
        <v>1436</v>
      </c>
      <c r="B1497" s="138">
        <f>'Expenditures 15-22'!K268</f>
        <v>3212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179073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23690</v>
      </c>
      <c r="C1506" s="2" t="s">
        <v>573</v>
      </c>
      <c r="D1506" s="2" t="str">
        <f t="shared" si="22"/>
        <v>Error?</v>
      </c>
    </row>
    <row r="1507" spans="1:4" x14ac:dyDescent="0.2">
      <c r="A1507" s="10">
        <v>1446</v>
      </c>
      <c r="D1507" s="2" t="str">
        <f t="shared" si="22"/>
        <v>OK</v>
      </c>
    </row>
    <row r="1508" spans="1:4" x14ac:dyDescent="0.2">
      <c r="A1508" s="5">
        <v>1447</v>
      </c>
      <c r="B1508" s="138">
        <f>'Expenditures 15-22'!K277</f>
        <v>23690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248958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354912</v>
      </c>
      <c r="C1517" s="2" t="s">
        <v>573</v>
      </c>
      <c r="D1517" s="2" t="str">
        <f t="shared" si="22"/>
        <v>Error?</v>
      </c>
    </row>
    <row r="1518" spans="1:4" x14ac:dyDescent="0.2">
      <c r="A1518" s="5">
        <v>1457</v>
      </c>
      <c r="B1518" s="138">
        <f>'Expenditures 15-22'!K296</f>
        <v>-20022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26028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13645910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15071013</v>
      </c>
      <c r="C1630" s="2" t="s">
        <v>573</v>
      </c>
      <c r="D1630" s="2" t="str">
        <f t="shared" si="24"/>
        <v>Error?</v>
      </c>
    </row>
    <row r="1631" spans="1:4" x14ac:dyDescent="0.2">
      <c r="A1631" s="5">
        <v>1570</v>
      </c>
      <c r="B1631" s="138">
        <f>'Acct Summary 7-8'!D79</f>
        <v>1541678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1750680</v>
      </c>
      <c r="C1644" s="2" t="s">
        <v>573</v>
      </c>
      <c r="D1644" s="2" t="str">
        <f t="shared" si="24"/>
        <v>Error?</v>
      </c>
    </row>
    <row r="1645" spans="1:4" x14ac:dyDescent="0.2">
      <c r="A1645" s="5">
        <v>1584</v>
      </c>
      <c r="B1645" s="138">
        <f>'Acct Summary 7-8'!E79</f>
        <v>61522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45130</v>
      </c>
      <c r="C1658" s="2" t="s">
        <v>573</v>
      </c>
      <c r="D1658" s="2" t="str">
        <f t="shared" si="24"/>
        <v>Error?</v>
      </c>
    </row>
    <row r="1659" spans="1:4" x14ac:dyDescent="0.2">
      <c r="A1659" s="5">
        <v>1598</v>
      </c>
      <c r="B1659" s="138">
        <f>'Acct Summary 7-8'!F79</f>
        <v>803447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148105</v>
      </c>
      <c r="C1672" s="2" t="s">
        <v>573</v>
      </c>
      <c r="D1672" s="2" t="str">
        <f t="shared" si="25"/>
        <v>Error?</v>
      </c>
    </row>
    <row r="1673" spans="1:4" x14ac:dyDescent="0.2">
      <c r="A1673" s="5">
        <v>1612</v>
      </c>
      <c r="B1673" s="138">
        <f>'Acct Summary 7-8'!G79</f>
        <v>678343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658321</v>
      </c>
      <c r="C1686" s="2" t="s">
        <v>573</v>
      </c>
      <c r="D1686" s="2" t="str">
        <f t="shared" si="25"/>
        <v>Error?</v>
      </c>
    </row>
    <row r="1687" spans="1:4" x14ac:dyDescent="0.2">
      <c r="A1687" s="5">
        <v>1626</v>
      </c>
      <c r="B1687" s="138">
        <f>'Acct Summary 7-8'!H79</f>
        <v>169734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195762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7361058</v>
      </c>
      <c r="C1744" s="2" t="s">
        <v>573</v>
      </c>
      <c r="D1744" s="2" t="str">
        <f t="shared" si="26"/>
        <v>Error?</v>
      </c>
    </row>
    <row r="1745" spans="1:5" x14ac:dyDescent="0.2">
      <c r="A1745" s="5">
        <v>1684</v>
      </c>
      <c r="B1745" s="138">
        <f>'Tax Sched 23'!B5</f>
        <v>1614561</v>
      </c>
      <c r="C1745" s="2" t="s">
        <v>573</v>
      </c>
      <c r="D1745" s="2" t="str">
        <f t="shared" si="26"/>
        <v>Error?</v>
      </c>
    </row>
    <row r="1746" spans="1:5" x14ac:dyDescent="0.2">
      <c r="A1746" s="5">
        <v>1685</v>
      </c>
      <c r="B1746" s="138">
        <f>'Tax Sched 23'!B6</f>
        <v>1656810</v>
      </c>
      <c r="C1746" s="2" t="s">
        <v>573</v>
      </c>
      <c r="D1746" s="2" t="str">
        <f t="shared" si="26"/>
        <v>Error?</v>
      </c>
    </row>
    <row r="1747" spans="1:5" x14ac:dyDescent="0.2">
      <c r="A1747" s="5">
        <v>1686</v>
      </c>
      <c r="B1747" s="138">
        <f>'Tax Sched 23'!B7</f>
        <v>496796</v>
      </c>
      <c r="C1747" s="2" t="s">
        <v>573</v>
      </c>
      <c r="D1747" s="2" t="str">
        <f t="shared" si="26"/>
        <v>Error?</v>
      </c>
    </row>
    <row r="1748" spans="1:5" x14ac:dyDescent="0.2">
      <c r="A1748" s="5">
        <v>1687</v>
      </c>
      <c r="B1748" s="138">
        <f>'Tax Sched 23'!B8</f>
        <v>94904</v>
      </c>
      <c r="C1748" s="2" t="s">
        <v>573</v>
      </c>
      <c r="D1748" s="2" t="str">
        <f t="shared" si="26"/>
        <v>Error?</v>
      </c>
    </row>
    <row r="1749" spans="1:5" x14ac:dyDescent="0.2">
      <c r="A1749" s="5">
        <v>1688</v>
      </c>
      <c r="B1749" s="138">
        <f>'Tax Sched 23'!B10</f>
        <v>157635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109866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11586537</v>
      </c>
      <c r="C1759" s="2" t="s">
        <v>573</v>
      </c>
      <c r="D1759" s="2" t="str">
        <f t="shared" si="26"/>
        <v>Error?</v>
      </c>
    </row>
    <row r="1760" spans="1:5" x14ac:dyDescent="0.2">
      <c r="A1760" s="5">
        <v>1699</v>
      </c>
      <c r="B1760" s="138">
        <f>'Tax Sched 23'!D4</f>
        <v>3469221</v>
      </c>
      <c r="C1760" s="2" t="s">
        <v>573</v>
      </c>
      <c r="D1760" s="2" t="str">
        <f t="shared" si="26"/>
        <v>Error?</v>
      </c>
    </row>
    <row r="1761" spans="1:5" x14ac:dyDescent="0.2">
      <c r="A1761" s="5">
        <v>1700</v>
      </c>
      <c r="B1761" s="138">
        <f>'Tax Sched 23'!D5</f>
        <v>760931</v>
      </c>
      <c r="C1761" s="2" t="s">
        <v>573</v>
      </c>
      <c r="D1761" s="2" t="str">
        <f t="shared" si="26"/>
        <v>Error?</v>
      </c>
    </row>
    <row r="1762" spans="1:5" s="8" customFormat="1" x14ac:dyDescent="0.2">
      <c r="A1762" s="5">
        <v>1701</v>
      </c>
      <c r="B1762" s="138">
        <f>'Tax Sched 23'!D6</f>
        <v>780246</v>
      </c>
      <c r="C1762" s="2" t="s">
        <v>573</v>
      </c>
      <c r="D1762" s="2" t="str">
        <f t="shared" si="26"/>
        <v>Error?</v>
      </c>
      <c r="E1762" s="9"/>
    </row>
    <row r="1763" spans="1:5" x14ac:dyDescent="0.2">
      <c r="A1763" s="5">
        <v>1702</v>
      </c>
      <c r="B1763" s="138">
        <f>'Tax Sched 23'!D7</f>
        <v>234138</v>
      </c>
      <c r="C1763" s="2" t="s">
        <v>573</v>
      </c>
      <c r="D1763" s="2" t="str">
        <f t="shared" si="26"/>
        <v>Error?</v>
      </c>
    </row>
    <row r="1764" spans="1:5" x14ac:dyDescent="0.2">
      <c r="A1764" s="5">
        <v>1703</v>
      </c>
      <c r="B1764" s="138">
        <f>'Tax Sched 23'!D8</f>
        <v>45026</v>
      </c>
      <c r="C1764" s="2" t="s">
        <v>573</v>
      </c>
      <c r="D1764" s="2" t="str">
        <f t="shared" si="26"/>
        <v>Error?</v>
      </c>
    </row>
    <row r="1765" spans="1:5" x14ac:dyDescent="0.2">
      <c r="A1765" s="5">
        <v>1704</v>
      </c>
      <c r="B1765" s="138">
        <f>'Tax Sched 23'!D10</f>
        <v>74292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51777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5460660</v>
      </c>
      <c r="C1775" s="2" t="s">
        <v>573</v>
      </c>
      <c r="D1775" s="2" t="str">
        <f t="shared" si="26"/>
        <v>Error?</v>
      </c>
    </row>
    <row r="1776" spans="1:5" x14ac:dyDescent="0.2">
      <c r="A1776" s="5">
        <v>1715</v>
      </c>
      <c r="B1776" s="138">
        <f>'Tax Sched 23'!C4</f>
        <v>3891837</v>
      </c>
      <c r="D1776" s="2" t="str">
        <f t="shared" si="26"/>
        <v>Error?</v>
      </c>
    </row>
    <row r="1777" spans="1:4" x14ac:dyDescent="0.2">
      <c r="A1777" s="5">
        <v>1716</v>
      </c>
      <c r="B1777" s="138">
        <f>'Tax Sched 23'!C5</f>
        <v>853630</v>
      </c>
      <c r="D1777" s="2" t="str">
        <f t="shared" si="26"/>
        <v>Error?</v>
      </c>
    </row>
    <row r="1778" spans="1:4" x14ac:dyDescent="0.2">
      <c r="A1778" s="5">
        <v>1717</v>
      </c>
      <c r="B1778" s="138">
        <f>'Tax Sched 23'!C6</f>
        <v>876564</v>
      </c>
      <c r="D1778" s="2" t="str">
        <f t="shared" si="26"/>
        <v>Error?</v>
      </c>
    </row>
    <row r="1779" spans="1:4" x14ac:dyDescent="0.2">
      <c r="A1779" s="5">
        <v>1718</v>
      </c>
      <c r="B1779" s="138">
        <f>'Tax Sched 23'!C7</f>
        <v>262658</v>
      </c>
      <c r="D1779" s="2" t="str">
        <f t="shared" si="26"/>
        <v>Error?</v>
      </c>
    </row>
    <row r="1780" spans="1:4" x14ac:dyDescent="0.2">
      <c r="A1780" s="5">
        <v>1719</v>
      </c>
      <c r="B1780" s="138">
        <f>'Tax Sched 23'!C8</f>
        <v>49878</v>
      </c>
      <c r="D1780" s="2" t="str">
        <f t="shared" si="26"/>
        <v>Error?</v>
      </c>
    </row>
    <row r="1781" spans="1:4" x14ac:dyDescent="0.2">
      <c r="A1781" s="5">
        <v>1720</v>
      </c>
      <c r="B1781" s="138">
        <f>'Tax Sched 23'!C10</f>
        <v>83343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58089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6125877</v>
      </c>
      <c r="C1791" s="2" t="s">
        <v>573</v>
      </c>
      <c r="D1791" s="2" t="str">
        <f t="shared" ref="D1791:D1854" si="27">IF(ISBLANK(B1791),"OK",IF(A1791-B1791=0,"OK","Error?"))</f>
        <v>Error?</v>
      </c>
    </row>
    <row r="1792" spans="1:4" x14ac:dyDescent="0.2">
      <c r="A1792" s="5">
        <v>1731</v>
      </c>
      <c r="B1792" s="138">
        <f>'Tax Sched 23'!F4</f>
        <v>3652888</v>
      </c>
      <c r="C1792" s="2" t="s">
        <v>573</v>
      </c>
      <c r="D1792" s="2" t="str">
        <f t="shared" si="27"/>
        <v>Error?</v>
      </c>
    </row>
    <row r="1793" spans="1:4" x14ac:dyDescent="0.2">
      <c r="A1793" s="5">
        <v>1732</v>
      </c>
      <c r="B1793" s="138">
        <f>'Tax Sched 23'!F5</f>
        <v>801218</v>
      </c>
      <c r="C1793" s="2" t="s">
        <v>573</v>
      </c>
      <c r="D1793" s="2" t="str">
        <f t="shared" si="27"/>
        <v>Error?</v>
      </c>
    </row>
    <row r="1794" spans="1:4" x14ac:dyDescent="0.2">
      <c r="A1794" s="5">
        <v>1733</v>
      </c>
      <c r="B1794" s="138">
        <f>'Tax Sched 23'!F6</f>
        <v>822745</v>
      </c>
      <c r="C1794" s="2" t="s">
        <v>573</v>
      </c>
      <c r="D1794" s="2" t="str">
        <f t="shared" si="27"/>
        <v>Error?</v>
      </c>
    </row>
    <row r="1795" spans="1:4" x14ac:dyDescent="0.2">
      <c r="A1795" s="5">
        <v>1734</v>
      </c>
      <c r="B1795" s="138">
        <f>'Tax Sched 23'!F7</f>
        <v>246531</v>
      </c>
      <c r="C1795" s="2" t="s">
        <v>573</v>
      </c>
      <c r="D1795" s="2" t="str">
        <f t="shared" si="27"/>
        <v>Error?</v>
      </c>
    </row>
    <row r="1796" spans="1:4" x14ac:dyDescent="0.2">
      <c r="A1796" s="5">
        <v>1735</v>
      </c>
      <c r="B1796" s="138">
        <f>'Tax Sched 23'!F8</f>
        <v>46815</v>
      </c>
      <c r="C1796" s="2" t="s">
        <v>573</v>
      </c>
      <c r="D1796" s="2" t="str">
        <f t="shared" si="27"/>
        <v>Error?</v>
      </c>
    </row>
    <row r="1797" spans="1:4" x14ac:dyDescent="0.2">
      <c r="A1797" s="5">
        <v>1736</v>
      </c>
      <c r="B1797" s="138">
        <f>'Tax Sched 23'!F10</f>
        <v>78227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54523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5749762</v>
      </c>
      <c r="C1807" s="2" t="s">
        <v>573</v>
      </c>
      <c r="D1807" s="2" t="str">
        <f t="shared" si="27"/>
        <v>Error?</v>
      </c>
    </row>
    <row r="1808" spans="1:4" x14ac:dyDescent="0.2">
      <c r="A1808" s="5">
        <v>1747</v>
      </c>
      <c r="B1808" s="138">
        <f>'Tax Sched 23'!E4</f>
        <v>7544725</v>
      </c>
      <c r="D1808" s="2" t="str">
        <f t="shared" si="27"/>
        <v>Error?</v>
      </c>
    </row>
    <row r="1809" spans="1:4" x14ac:dyDescent="0.2">
      <c r="A1809" s="5">
        <v>1748</v>
      </c>
      <c r="B1809" s="138">
        <f>'Tax Sched 23'!E5</f>
        <v>1654848</v>
      </c>
      <c r="D1809" s="2" t="str">
        <f t="shared" si="27"/>
        <v>Error?</v>
      </c>
    </row>
    <row r="1810" spans="1:4" x14ac:dyDescent="0.2">
      <c r="A1810" s="5">
        <v>1749</v>
      </c>
      <c r="B1810" s="138">
        <f>'Tax Sched 23'!E6</f>
        <v>1699309</v>
      </c>
      <c r="D1810" s="2" t="str">
        <f t="shared" si="27"/>
        <v>Error?</v>
      </c>
    </row>
    <row r="1811" spans="1:4" x14ac:dyDescent="0.2">
      <c r="A1811" s="5">
        <v>1750</v>
      </c>
      <c r="B1811" s="138">
        <f>'Tax Sched 23'!E7</f>
        <v>509189</v>
      </c>
      <c r="D1811" s="2" t="str">
        <f t="shared" si="27"/>
        <v>Error?</v>
      </c>
    </row>
    <row r="1812" spans="1:4" x14ac:dyDescent="0.2">
      <c r="A1812" s="5">
        <v>1751</v>
      </c>
      <c r="B1812" s="138">
        <f>'Tax Sched 23'!E8</f>
        <v>96693</v>
      </c>
      <c r="D1812" s="2" t="str">
        <f t="shared" si="27"/>
        <v>Error?</v>
      </c>
    </row>
    <row r="1813" spans="1:4" x14ac:dyDescent="0.2">
      <c r="A1813" s="5">
        <v>1752</v>
      </c>
      <c r="B1813" s="138">
        <f>'Tax Sched 23'!E10</f>
        <v>161570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112612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11875639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4135000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109866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109866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109866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81500</v>
      </c>
      <c r="D2008" s="2" t="str">
        <f t="shared" si="30"/>
        <v>Error?</v>
      </c>
    </row>
    <row r="2009" spans="1:4" x14ac:dyDescent="0.2">
      <c r="A2009" s="5">
        <v>1948</v>
      </c>
      <c r="B2009" s="138">
        <f>'Cap Outlay Deprec 26'!C8</f>
        <v>25403896</v>
      </c>
      <c r="D2009" s="2" t="str">
        <f t="shared" si="30"/>
        <v>Error?</v>
      </c>
    </row>
    <row r="2010" spans="1:4" x14ac:dyDescent="0.2">
      <c r="A2010" s="5">
        <v>1949</v>
      </c>
      <c r="B2010" s="138">
        <f>'Cap Outlay Deprec 26'!C10</f>
        <v>1528226</v>
      </c>
      <c r="D2010" s="2" t="str">
        <f t="shared" si="30"/>
        <v>Error?</v>
      </c>
    </row>
    <row r="2011" spans="1:4" x14ac:dyDescent="0.2">
      <c r="A2011" s="5">
        <v>1950</v>
      </c>
      <c r="B2011" s="138">
        <f>'Cap Outlay Deprec 26'!C12</f>
        <v>5099296</v>
      </c>
      <c r="D2011" s="2" t="str">
        <f t="shared" si="30"/>
        <v>Error?</v>
      </c>
    </row>
    <row r="2012" spans="1:4" x14ac:dyDescent="0.2">
      <c r="A2012" s="5">
        <v>1951</v>
      </c>
      <c r="B2012" s="138">
        <f>'Cap Outlay Deprec 26'!C13</f>
        <v>181510</v>
      </c>
      <c r="D2012" s="2" t="str">
        <f t="shared" si="30"/>
        <v>Error?</v>
      </c>
    </row>
    <row r="2013" spans="1:4" x14ac:dyDescent="0.2">
      <c r="A2013" s="5">
        <v>1952</v>
      </c>
      <c r="B2013" s="138">
        <f>'Cap Outlay Deprec 26'!C16</f>
        <v>32294428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20630</v>
      </c>
      <c r="D2016" s="2" t="str">
        <f t="shared" si="30"/>
        <v>Error?</v>
      </c>
    </row>
    <row r="2017" spans="1:4" x14ac:dyDescent="0.2">
      <c r="A2017" s="5">
        <v>1956</v>
      </c>
      <c r="B2017" s="138">
        <f>'Cap Outlay Deprec 26'!D12</f>
        <v>67552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139490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81500</v>
      </c>
      <c r="C2026" s="2" t="s">
        <v>573</v>
      </c>
      <c r="D2026" s="2" t="str">
        <f t="shared" si="30"/>
        <v>Error?</v>
      </c>
    </row>
    <row r="2027" spans="1:4" x14ac:dyDescent="0.2">
      <c r="A2027" s="5">
        <v>1966</v>
      </c>
      <c r="B2027" s="138">
        <f>'Cap Outlay Deprec 26'!F8</f>
        <v>25403896</v>
      </c>
      <c r="C2027" s="2" t="s">
        <v>573</v>
      </c>
      <c r="D2027" s="2" t="str">
        <f t="shared" si="30"/>
        <v>Error?</v>
      </c>
    </row>
    <row r="2028" spans="1:4" x14ac:dyDescent="0.2">
      <c r="A2028" s="5">
        <v>1967</v>
      </c>
      <c r="B2028" s="138">
        <f>'Cap Outlay Deprec 26'!F10</f>
        <v>1548856</v>
      </c>
      <c r="C2028" s="2" t="s">
        <v>573</v>
      </c>
      <c r="D2028" s="2" t="str">
        <f t="shared" si="30"/>
        <v>Error?</v>
      </c>
    </row>
    <row r="2029" spans="1:4" x14ac:dyDescent="0.2">
      <c r="A2029" s="5">
        <v>1968</v>
      </c>
      <c r="B2029" s="138">
        <f>'Cap Outlay Deprec 26'!F12</f>
        <v>5166848</v>
      </c>
      <c r="C2029" s="2" t="s">
        <v>573</v>
      </c>
      <c r="D2029" s="2" t="str">
        <f t="shared" si="30"/>
        <v>Error?</v>
      </c>
    </row>
    <row r="2030" spans="1:4" x14ac:dyDescent="0.2">
      <c r="A2030" s="5">
        <v>1969</v>
      </c>
      <c r="B2030" s="138">
        <f>'Cap Outlay Deprec 26'!F13</f>
        <v>181510</v>
      </c>
      <c r="C2030" s="2" t="s">
        <v>573</v>
      </c>
      <c r="D2030" s="2" t="str">
        <f t="shared" si="30"/>
        <v>Error?</v>
      </c>
    </row>
    <row r="2031" spans="1:4" x14ac:dyDescent="0.2">
      <c r="A2031" s="5">
        <v>1970</v>
      </c>
      <c r="B2031" s="138">
        <f>'Cap Outlay Deprec 26'!F16</f>
        <v>32433918</v>
      </c>
      <c r="C2031" s="2" t="s">
        <v>573</v>
      </c>
      <c r="D2031" s="2" t="str">
        <f t="shared" si="30"/>
        <v>Error?</v>
      </c>
    </row>
    <row r="2032" spans="1:4" x14ac:dyDescent="0.2">
      <c r="A2032" s="10">
        <v>1971</v>
      </c>
      <c r="D2032" s="2" t="str">
        <f t="shared" si="30"/>
        <v>OK</v>
      </c>
    </row>
    <row r="2033" spans="1:4" x14ac:dyDescent="0.2">
      <c r="A2033" s="5">
        <v>1972</v>
      </c>
      <c r="B2033" s="138">
        <f>'Cap Outlay Deprec 26'!H8</f>
        <v>7205036</v>
      </c>
      <c r="D2033" s="2" t="str">
        <f t="shared" si="30"/>
        <v>Error?</v>
      </c>
    </row>
    <row r="2034" spans="1:4" x14ac:dyDescent="0.2">
      <c r="A2034" s="5">
        <v>1973</v>
      </c>
      <c r="B2034" s="138">
        <f>'Cap Outlay Deprec 26'!H10</f>
        <v>818353</v>
      </c>
      <c r="D2034" s="2" t="str">
        <f t="shared" si="30"/>
        <v>Error?</v>
      </c>
    </row>
    <row r="2035" spans="1:4" x14ac:dyDescent="0.2">
      <c r="A2035" s="5">
        <v>1974</v>
      </c>
      <c r="B2035" s="138">
        <f>'Cap Outlay Deprec 26'!H12</f>
        <v>4495513</v>
      </c>
      <c r="D2035" s="2" t="str">
        <f t="shared" si="30"/>
        <v>Error?</v>
      </c>
    </row>
    <row r="2036" spans="1:4" x14ac:dyDescent="0.2">
      <c r="A2036" s="5">
        <v>1975</v>
      </c>
      <c r="B2036" s="138">
        <f>'Cap Outlay Deprec 26'!H13</f>
        <v>123487</v>
      </c>
      <c r="D2036" s="2" t="str">
        <f t="shared" si="30"/>
        <v>Error?</v>
      </c>
    </row>
    <row r="2037" spans="1:4" x14ac:dyDescent="0.2">
      <c r="A2037" s="5">
        <v>1976</v>
      </c>
      <c r="B2037" s="138">
        <f>'Cap Outlay Deprec 26'!H16</f>
        <v>12642389</v>
      </c>
      <c r="C2037" s="2" t="s">
        <v>573</v>
      </c>
      <c r="D2037" s="2" t="str">
        <f t="shared" si="30"/>
        <v>Error?</v>
      </c>
    </row>
    <row r="2038" spans="1:4" x14ac:dyDescent="0.2">
      <c r="A2038" s="10">
        <v>1977</v>
      </c>
      <c r="D2038" s="2" t="str">
        <f t="shared" si="30"/>
        <v>OK</v>
      </c>
    </row>
    <row r="2039" spans="1:4" x14ac:dyDescent="0.2">
      <c r="A2039" s="5">
        <v>1978</v>
      </c>
      <c r="B2039" s="138">
        <f>'Cap Outlay Deprec 26'!I8</f>
        <v>508352</v>
      </c>
      <c r="D2039" s="2" t="str">
        <f t="shared" si="30"/>
        <v>Error?</v>
      </c>
    </row>
    <row r="2040" spans="1:4" x14ac:dyDescent="0.2">
      <c r="A2040" s="5">
        <v>1979</v>
      </c>
      <c r="B2040" s="138">
        <f>'Cap Outlay Deprec 26'!I10</f>
        <v>84714</v>
      </c>
      <c r="D2040" s="2" t="str">
        <f t="shared" si="30"/>
        <v>Error?</v>
      </c>
    </row>
    <row r="2041" spans="1:4" x14ac:dyDescent="0.2">
      <c r="A2041" s="5">
        <v>1980</v>
      </c>
      <c r="B2041" s="138">
        <f>'Cap Outlay Deprec 26'!I12</f>
        <v>152986</v>
      </c>
      <c r="D2041" s="2" t="str">
        <f t="shared" si="30"/>
        <v>Error?</v>
      </c>
    </row>
    <row r="2042" spans="1:4" x14ac:dyDescent="0.2">
      <c r="A2042" s="5">
        <v>1981</v>
      </c>
      <c r="B2042" s="138">
        <f>'Cap Outlay Deprec 26'!I13</f>
        <v>24002</v>
      </c>
      <c r="D2042" s="2" t="str">
        <f t="shared" si="30"/>
        <v>Error?</v>
      </c>
    </row>
    <row r="2043" spans="1:4" x14ac:dyDescent="0.2">
      <c r="A2043" s="5">
        <v>1982</v>
      </c>
      <c r="B2043" s="138">
        <f>'Cap Outlay Deprec 26'!I16</f>
        <v>770054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7713388</v>
      </c>
      <c r="C2051" s="2" t="s">
        <v>573</v>
      </c>
      <c r="D2051" s="2" t="str">
        <f t="shared" si="31"/>
        <v>Error?</v>
      </c>
    </row>
    <row r="2052" spans="1:4" x14ac:dyDescent="0.2">
      <c r="A2052" s="5">
        <v>1991</v>
      </c>
      <c r="B2052" s="138">
        <f>'Cap Outlay Deprec 26'!K10</f>
        <v>903067</v>
      </c>
      <c r="C2052" s="2" t="s">
        <v>573</v>
      </c>
      <c r="D2052" s="2" t="str">
        <f t="shared" si="31"/>
        <v>Error?</v>
      </c>
    </row>
    <row r="2053" spans="1:4" x14ac:dyDescent="0.2">
      <c r="A2053" s="5">
        <v>1992</v>
      </c>
      <c r="B2053" s="138">
        <f>'Cap Outlay Deprec 26'!K12</f>
        <v>4648499</v>
      </c>
      <c r="C2053" s="2" t="s">
        <v>573</v>
      </c>
      <c r="D2053" s="2" t="str">
        <f t="shared" si="31"/>
        <v>Error?</v>
      </c>
    </row>
    <row r="2054" spans="1:4" x14ac:dyDescent="0.2">
      <c r="A2054" s="5">
        <v>1993</v>
      </c>
      <c r="B2054" s="138">
        <f>'Cap Outlay Deprec 26'!K13</f>
        <v>147489</v>
      </c>
      <c r="C2054" s="2" t="s">
        <v>573</v>
      </c>
      <c r="D2054" s="2" t="str">
        <f t="shared" si="31"/>
        <v>Error?</v>
      </c>
    </row>
    <row r="2055" spans="1:4" x14ac:dyDescent="0.2">
      <c r="A2055" s="5">
        <v>1994</v>
      </c>
      <c r="B2055" s="138">
        <f>'Cap Outlay Deprec 26'!K16</f>
        <v>13412443</v>
      </c>
      <c r="C2055" s="2" t="s">
        <v>573</v>
      </c>
      <c r="D2055" s="2" t="str">
        <f t="shared" si="31"/>
        <v>Error?</v>
      </c>
    </row>
    <row r="2056" spans="1:4" x14ac:dyDescent="0.2">
      <c r="A2056" s="5">
        <v>1995</v>
      </c>
      <c r="B2056" s="138">
        <f>'Cap Outlay Deprec 26'!L5</f>
        <v>81500</v>
      </c>
      <c r="C2056" s="2" t="s">
        <v>573</v>
      </c>
      <c r="D2056" s="2" t="str">
        <f t="shared" si="31"/>
        <v>Error?</v>
      </c>
    </row>
    <row r="2057" spans="1:4" x14ac:dyDescent="0.2">
      <c r="A2057" s="5">
        <v>1996</v>
      </c>
      <c r="B2057" s="138">
        <f>'Cap Outlay Deprec 26'!L8</f>
        <v>17690508</v>
      </c>
      <c r="C2057" s="2" t="s">
        <v>573</v>
      </c>
      <c r="D2057" s="2" t="str">
        <f t="shared" si="31"/>
        <v>Error?</v>
      </c>
    </row>
    <row r="2058" spans="1:4" x14ac:dyDescent="0.2">
      <c r="A2058" s="5">
        <v>1997</v>
      </c>
      <c r="B2058" s="138">
        <f>'Cap Outlay Deprec 26'!L10</f>
        <v>645789</v>
      </c>
      <c r="C2058" s="2" t="s">
        <v>573</v>
      </c>
      <c r="D2058" s="2" t="str">
        <f t="shared" si="31"/>
        <v>Error?</v>
      </c>
    </row>
    <row r="2059" spans="1:4" x14ac:dyDescent="0.2">
      <c r="A2059" s="5">
        <v>1998</v>
      </c>
      <c r="B2059" s="138">
        <f>'Cap Outlay Deprec 26'!L12</f>
        <v>518349</v>
      </c>
      <c r="C2059" s="2" t="s">
        <v>573</v>
      </c>
      <c r="D2059" s="2" t="str">
        <f t="shared" si="31"/>
        <v>Error?</v>
      </c>
    </row>
    <row r="2060" spans="1:4" x14ac:dyDescent="0.2">
      <c r="A2060" s="5">
        <v>1999</v>
      </c>
      <c r="B2060" s="138">
        <f>'Cap Outlay Deprec 26'!L13</f>
        <v>34021</v>
      </c>
      <c r="C2060" s="2" t="s">
        <v>573</v>
      </c>
      <c r="D2060" s="2" t="str">
        <f t="shared" si="31"/>
        <v>Error?</v>
      </c>
    </row>
    <row r="2061" spans="1:4" x14ac:dyDescent="0.2">
      <c r="A2061" s="5">
        <v>2000</v>
      </c>
      <c r="B2061" s="138">
        <f>'Cap Outlay Deprec 26'!L16</f>
        <v>19021475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1246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1246</v>
      </c>
      <c r="C2088" s="2" t="s">
        <v>573</v>
      </c>
      <c r="D2088" s="2" t="str">
        <f t="shared" si="31"/>
        <v>Error?</v>
      </c>
    </row>
    <row r="2089" spans="1:4" x14ac:dyDescent="0.2">
      <c r="A2089" s="5">
        <v>2028</v>
      </c>
      <c r="B2089" s="138">
        <f>'Expenditures 15-22'!K92</f>
        <v>219148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8315366</v>
      </c>
      <c r="C2551" s="2" t="s">
        <v>573</v>
      </c>
      <c r="D2551" s="2" t="str">
        <f t="shared" si="38"/>
        <v>Error?</v>
      </c>
    </row>
    <row r="2552" spans="1:4" x14ac:dyDescent="0.2">
      <c r="A2552" s="10">
        <v>2491</v>
      </c>
      <c r="D2552" s="2" t="str">
        <f t="shared" si="38"/>
        <v>OK</v>
      </c>
    </row>
    <row r="2553" spans="1:4" x14ac:dyDescent="0.2">
      <c r="A2553" s="5">
        <v>2492</v>
      </c>
      <c r="B2553" s="138">
        <f>'Acct Summary 7-8'!C6</f>
        <v>1479142</v>
      </c>
      <c r="C2553" s="2" t="s">
        <v>573</v>
      </c>
      <c r="D2553" s="2" t="str">
        <f t="shared" si="38"/>
        <v>Error?</v>
      </c>
    </row>
    <row r="2554" spans="1:4" x14ac:dyDescent="0.2">
      <c r="A2554" s="5">
        <v>2493</v>
      </c>
      <c r="B2554" s="138">
        <f>'Acct Summary 7-8'!C7</f>
        <v>143644</v>
      </c>
      <c r="C2554" s="2" t="s">
        <v>573</v>
      </c>
      <c r="D2554" s="2" t="str">
        <f t="shared" si="38"/>
        <v>Error?</v>
      </c>
    </row>
    <row r="2555" spans="1:4" x14ac:dyDescent="0.2">
      <c r="A2555" s="5">
        <v>2494</v>
      </c>
      <c r="B2555" s="138">
        <f>'Acct Summary 7-8'!C8</f>
        <v>9938152</v>
      </c>
      <c r="C2555" s="2" t="s">
        <v>573</v>
      </c>
      <c r="D2555" s="2" t="str">
        <f t="shared" si="38"/>
        <v>Error?</v>
      </c>
    </row>
    <row r="2556" spans="1:4" x14ac:dyDescent="0.2">
      <c r="A2556" s="5">
        <v>2495</v>
      </c>
      <c r="B2556" s="138">
        <f>'Acct Summary 7-8'!C12</f>
        <v>5600196</v>
      </c>
      <c r="C2556" s="2" t="s">
        <v>573</v>
      </c>
      <c r="D2556" s="2" t="str">
        <f t="shared" si="38"/>
        <v>Error?</v>
      </c>
    </row>
    <row r="2557" spans="1:4" x14ac:dyDescent="0.2">
      <c r="A2557" s="5">
        <v>2496</v>
      </c>
      <c r="B2557" s="138">
        <f>'Acct Summary 7-8'!C13</f>
        <v>2692459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220394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8513049</v>
      </c>
      <c r="C2561" s="2" t="s">
        <v>573</v>
      </c>
      <c r="D2561" s="2" t="str">
        <f t="shared" si="39"/>
        <v>Error?</v>
      </c>
    </row>
    <row r="2562" spans="1:4" x14ac:dyDescent="0.2">
      <c r="A2562" s="5">
        <v>2501</v>
      </c>
      <c r="B2562" s="138">
        <f>'Acct Summary 7-8'!C20</f>
        <v>1425103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1633450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1633450</v>
      </c>
      <c r="C2568" s="2" t="s">
        <v>573</v>
      </c>
      <c r="D2568" s="2" t="str">
        <f t="shared" si="39"/>
        <v>Error?</v>
      </c>
    </row>
    <row r="2569" spans="1:4" x14ac:dyDescent="0.2">
      <c r="A2569" s="5">
        <v>2508</v>
      </c>
      <c r="B2569" s="138">
        <f>'Acct Summary 7-8'!D13</f>
        <v>1219448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1219448</v>
      </c>
      <c r="C2573" s="2" t="s">
        <v>573</v>
      </c>
      <c r="D2573" s="2" t="str">
        <f t="shared" si="39"/>
        <v>Error?</v>
      </c>
    </row>
    <row r="2574" spans="1:4" x14ac:dyDescent="0.2">
      <c r="A2574" s="5">
        <v>2513</v>
      </c>
      <c r="B2574" s="138">
        <f>'Acct Summary 7-8'!D20</f>
        <v>414002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1228557</v>
      </c>
      <c r="C2591" s="2" t="s">
        <v>573</v>
      </c>
      <c r="D2591" s="2" t="str">
        <f t="shared" si="39"/>
        <v>Error?</v>
      </c>
    </row>
    <row r="2592" spans="1:4" x14ac:dyDescent="0.2">
      <c r="A2592" s="10">
        <v>2531</v>
      </c>
      <c r="D2592" s="2" t="str">
        <f t="shared" si="39"/>
        <v>OK</v>
      </c>
    </row>
    <row r="2593" spans="1:4" x14ac:dyDescent="0.2">
      <c r="A2593" s="5">
        <v>2532</v>
      </c>
      <c r="B2593" s="138">
        <f>'Acct Summary 7-8'!F6</f>
        <v>610551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1839108</v>
      </c>
      <c r="C2595" s="2" t="s">
        <v>573</v>
      </c>
      <c r="D2595" s="2" t="str">
        <f t="shared" si="39"/>
        <v>Error?</v>
      </c>
    </row>
    <row r="2596" spans="1:4" x14ac:dyDescent="0.2">
      <c r="A2596" s="5">
        <v>2535</v>
      </c>
      <c r="B2596" s="138">
        <f>'Acct Summary 7-8'!F13</f>
        <v>2494450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2494450</v>
      </c>
      <c r="C2600" s="2" t="s">
        <v>573</v>
      </c>
      <c r="D2600" s="2" t="str">
        <f t="shared" si="39"/>
        <v>Error?</v>
      </c>
    </row>
    <row r="2601" spans="1:4" x14ac:dyDescent="0.2">
      <c r="A2601" s="5">
        <v>2540</v>
      </c>
      <c r="B2601" s="138">
        <f>'Acct Summary 7-8'!F20</f>
        <v>-655342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334890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334890</v>
      </c>
      <c r="C2606" s="2" t="s">
        <v>573</v>
      </c>
      <c r="D2606" s="2" t="str">
        <f t="shared" si="39"/>
        <v>Error?</v>
      </c>
    </row>
    <row r="2607" spans="1:4" x14ac:dyDescent="0.2">
      <c r="A2607" s="5">
        <v>2546</v>
      </c>
      <c r="B2607" s="138">
        <f>'Acct Summary 7-8'!G12</f>
        <v>105954</v>
      </c>
      <c r="C2607" s="2" t="s">
        <v>573</v>
      </c>
      <c r="D2607" s="2" t="str">
        <f t="shared" si="39"/>
        <v>Error?</v>
      </c>
    </row>
    <row r="2608" spans="1:4" x14ac:dyDescent="0.2">
      <c r="A2608" s="5">
        <v>2547</v>
      </c>
      <c r="B2608" s="138">
        <f>'Acct Summary 7-8'!G13</f>
        <v>248958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354912</v>
      </c>
      <c r="C2612" s="2" t="s">
        <v>573</v>
      </c>
      <c r="D2612" s="2" t="str">
        <f t="shared" si="39"/>
        <v>Error?</v>
      </c>
    </row>
    <row r="2613" spans="1:4" x14ac:dyDescent="0.2">
      <c r="A2613" s="5">
        <v>2552</v>
      </c>
      <c r="B2613" s="138">
        <f>'Acct Summary 7-8'!G20</f>
        <v>-20022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1658688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1658688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1880080</v>
      </c>
      <c r="C2634" s="2" t="s">
        <v>573</v>
      </c>
      <c r="D2634" s="2" t="str">
        <f t="shared" si="40"/>
        <v>Error?</v>
      </c>
    </row>
    <row r="2635" spans="1:4" x14ac:dyDescent="0.2">
      <c r="A2635" s="5">
        <v>2574</v>
      </c>
      <c r="B2635" s="138">
        <f>'Acct Summary 7-8'!E17</f>
        <v>1880080</v>
      </c>
      <c r="C2635" s="2" t="s">
        <v>573</v>
      </c>
      <c r="D2635" s="2" t="str">
        <f t="shared" si="40"/>
        <v>Error?</v>
      </c>
    </row>
    <row r="2636" spans="1:4" x14ac:dyDescent="0.2">
      <c r="A2636" s="5">
        <v>2575</v>
      </c>
      <c r="B2636" s="138">
        <f>'Acct Summary 7-8'!E20</f>
        <v>-221392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26028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26028</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26028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51308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323034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1226595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93202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1226595</v>
      </c>
      <c r="D2912" s="2" t="str">
        <f t="shared" si="44"/>
        <v>Error?</v>
      </c>
    </row>
    <row r="2913" spans="1:4" x14ac:dyDescent="0.2">
      <c r="A2913" s="5">
        <v>2852</v>
      </c>
      <c r="B2913" s="138">
        <f>'Assets-Liab 5-6'!I41</f>
        <v>1226595</v>
      </c>
      <c r="C2913" s="2" t="s">
        <v>573</v>
      </c>
      <c r="D2913" s="2" t="str">
        <f t="shared" si="44"/>
        <v>Error?</v>
      </c>
    </row>
    <row r="2914" spans="1:4" x14ac:dyDescent="0.2">
      <c r="A2914" s="5">
        <v>2853</v>
      </c>
      <c r="B2914" s="138">
        <f>'Assets-Liab 5-6'!L33</f>
        <v>93202</v>
      </c>
      <c r="D2914" s="2" t="str">
        <f t="shared" si="44"/>
        <v>Error?</v>
      </c>
    </row>
    <row r="2915" spans="1:4" x14ac:dyDescent="0.2">
      <c r="A2915" s="10">
        <v>2854</v>
      </c>
      <c r="D2915" s="2" t="str">
        <f t="shared" si="44"/>
        <v>OK</v>
      </c>
    </row>
    <row r="2916" spans="1:4" x14ac:dyDescent="0.2">
      <c r="A2916" s="5">
        <v>2855</v>
      </c>
      <c r="B2916" s="138">
        <f>'Assets-Liab 5-6'!L34</f>
        <v>93202</v>
      </c>
      <c r="C2916" s="2" t="s">
        <v>573</v>
      </c>
      <c r="D2916" s="2" t="str">
        <f t="shared" si="44"/>
        <v>Error?</v>
      </c>
    </row>
    <row r="2917" spans="1:4" x14ac:dyDescent="0.2">
      <c r="A2917" s="5">
        <v>2856</v>
      </c>
      <c r="B2917" s="138">
        <f>'Assets-Liab 5-6'!L41</f>
        <v>93202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1246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1246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165996</v>
      </c>
      <c r="C3225" s="2" t="s">
        <v>573</v>
      </c>
      <c r="D3225" s="2" t="str">
        <f t="shared" si="49"/>
        <v>Error?</v>
      </c>
    </row>
    <row r="3226" spans="1:4" x14ac:dyDescent="0.2">
      <c r="A3226" s="5">
        <v>3165</v>
      </c>
      <c r="B3226" s="138">
        <f>'Acct Summary 7-8'!I8</f>
        <v>165996</v>
      </c>
      <c r="C3226" s="2" t="s">
        <v>573</v>
      </c>
      <c r="D3226" s="2" t="str">
        <f t="shared" si="49"/>
        <v>Error?</v>
      </c>
    </row>
    <row r="3227" spans="1:4" x14ac:dyDescent="0.2">
      <c r="A3227" s="5">
        <v>3166</v>
      </c>
      <c r="B3227" s="138">
        <f>'Acct Summary 7-8'!I20</f>
        <v>165996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1425103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205000</v>
      </c>
      <c r="D3236" s="2" t="str">
        <f t="shared" si="49"/>
        <v>Error?</v>
      </c>
    </row>
    <row r="3237" spans="1:4" x14ac:dyDescent="0.2">
      <c r="A3237" s="5">
        <v>3176</v>
      </c>
      <c r="B3237" s="138">
        <f>'Acct Summary 7-8'!D76</f>
        <v>205000</v>
      </c>
      <c r="C3237" s="2" t="s">
        <v>573</v>
      </c>
      <c r="D3237" s="2" t="str">
        <f t="shared" si="49"/>
        <v>Error?</v>
      </c>
    </row>
    <row r="3238" spans="1:4" x14ac:dyDescent="0.2">
      <c r="A3238" s="5">
        <v>3177</v>
      </c>
      <c r="B3238" s="138">
        <f>'Acct Summary 7-8'!D77</f>
        <v>-205000</v>
      </c>
      <c r="C3238" s="2" t="s">
        <v>573</v>
      </c>
      <c r="D3238" s="2" t="str">
        <f t="shared" si="49"/>
        <v>Error?</v>
      </c>
    </row>
    <row r="3239" spans="1:4" x14ac:dyDescent="0.2">
      <c r="A3239" s="5">
        <v>3178</v>
      </c>
      <c r="B3239" s="138">
        <f>'Acct Summary 7-8'!D78</f>
        <v>209002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-655342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-20022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205000</v>
      </c>
      <c r="D3273" s="2" t="str">
        <f t="shared" si="50"/>
        <v>Error?</v>
      </c>
    </row>
    <row r="3274" spans="1:4" x14ac:dyDescent="0.2">
      <c r="A3274" s="5">
        <v>3213</v>
      </c>
      <c r="B3274" s="138">
        <f>'Acct Summary 7-8'!E44</f>
        <v>205000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205000</v>
      </c>
      <c r="C3277" s="2" t="s">
        <v>573</v>
      </c>
      <c r="D3277" s="2" t="str">
        <f t="shared" si="50"/>
        <v>Error?</v>
      </c>
    </row>
    <row r="3278" spans="1:4" x14ac:dyDescent="0.2">
      <c r="A3278" s="5">
        <v>3217</v>
      </c>
      <c r="B3278" s="138">
        <f>'Acct Summary 7-8'!E78</f>
        <v>-16392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26028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165996</v>
      </c>
      <c r="C3320" s="2" t="s">
        <v>573</v>
      </c>
      <c r="D3320" s="2" t="str">
        <f t="shared" si="50"/>
        <v>Error?</v>
      </c>
    </row>
    <row r="3321" spans="1:4" x14ac:dyDescent="0.2">
      <c r="A3321" s="5">
        <v>3260</v>
      </c>
      <c r="B3321" s="138">
        <f>'Acct Summary 7-8'!I79</f>
        <v>1060599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1226595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635944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134103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85205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11533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4323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871108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40312</v>
      </c>
      <c r="D3387" s="2" t="str">
        <f t="shared" si="51"/>
        <v>Error?</v>
      </c>
    </row>
    <row r="3388" spans="1:4" x14ac:dyDescent="0.2">
      <c r="A3388" s="5">
        <v>3327</v>
      </c>
      <c r="B3388" s="138">
        <f>'Expenditures 15-22'!D217</f>
        <v>37978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40312</v>
      </c>
      <c r="C3390" s="2" t="s">
        <v>573</v>
      </c>
      <c r="D3390" s="2" t="str">
        <f t="shared" si="51"/>
        <v>Error?</v>
      </c>
    </row>
    <row r="3391" spans="1:4" x14ac:dyDescent="0.2">
      <c r="A3391" s="5">
        <v>3330</v>
      </c>
      <c r="B3391" s="138">
        <f>'Expenditures 15-22'!K217</f>
        <v>37978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11053309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1289668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44592</v>
      </c>
      <c r="D3417" s="2" t="str">
        <f t="shared" si="52"/>
        <v>Error?</v>
      </c>
    </row>
    <row r="3418" spans="1:4" x14ac:dyDescent="0.2">
      <c r="A3418" s="10">
        <v>3357</v>
      </c>
      <c r="D3418" s="2" t="str">
        <f t="shared" si="52"/>
        <v>OK</v>
      </c>
    </row>
    <row r="3419" spans="1:4" x14ac:dyDescent="0.2">
      <c r="A3419" s="5">
        <v>3358</v>
      </c>
      <c r="B3419" s="138">
        <f>'Assets-Liab 5-6'!F4</f>
        <v>146381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484947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144206</v>
      </c>
      <c r="D3425" s="2" t="str">
        <f t="shared" si="52"/>
        <v>Error?</v>
      </c>
    </row>
    <row r="3426" spans="1:4" x14ac:dyDescent="0.2">
      <c r="A3426" s="10">
        <v>3365</v>
      </c>
      <c r="D3426" s="2" t="str">
        <f t="shared" si="52"/>
        <v>OK</v>
      </c>
    </row>
    <row r="3427" spans="1:4" x14ac:dyDescent="0.2">
      <c r="A3427" s="5">
        <v>3366</v>
      </c>
      <c r="B3427" s="138">
        <f>'Assets-Liab 5-6'!I4</f>
        <v>903561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93202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94907</v>
      </c>
      <c r="C3446" s="2" t="s">
        <v>573</v>
      </c>
      <c r="D3446" s="2" t="str">
        <f t="shared" si="52"/>
        <v>Error?</v>
      </c>
    </row>
    <row r="3447" spans="1:4" x14ac:dyDescent="0.2">
      <c r="A3447" s="5">
        <v>3386</v>
      </c>
      <c r="B3447" s="138">
        <f>'Tax Sched 23'!D16</f>
        <v>45029</v>
      </c>
      <c r="C3447" s="2" t="s">
        <v>573</v>
      </c>
      <c r="D3447" s="2" t="str">
        <f t="shared" si="52"/>
        <v>Error?</v>
      </c>
    </row>
    <row r="3448" spans="1:4" x14ac:dyDescent="0.2">
      <c r="A3448" s="5">
        <v>3387</v>
      </c>
      <c r="B3448" s="138">
        <f>'Tax Sched 23'!C16</f>
        <v>49878</v>
      </c>
      <c r="D3448" s="2" t="str">
        <f t="shared" si="52"/>
        <v>Error?</v>
      </c>
    </row>
    <row r="3449" spans="1:4" x14ac:dyDescent="0.2">
      <c r="A3449" s="5">
        <v>3388</v>
      </c>
      <c r="B3449" s="138">
        <f>'Tax Sched 23'!F16</f>
        <v>46815</v>
      </c>
      <c r="C3449" s="2" t="s">
        <v>573</v>
      </c>
      <c r="D3449" s="2" t="str">
        <f t="shared" si="52"/>
        <v>Error?</v>
      </c>
    </row>
    <row r="3450" spans="1:4" x14ac:dyDescent="0.2">
      <c r="A3450" s="5">
        <v>3389</v>
      </c>
      <c r="B3450" s="138">
        <f>'Tax Sched 23'!E16</f>
        <v>96693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51308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51308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51308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3330795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13268947</v>
      </c>
      <c r="C4122" s="2" t="s">
        <v>573</v>
      </c>
      <c r="D4122" s="2" t="str">
        <f t="shared" si="63"/>
        <v>Error?</v>
      </c>
    </row>
    <row r="4123" spans="1:4" x14ac:dyDescent="0.2">
      <c r="A4123" s="5">
        <v>4062</v>
      </c>
      <c r="B4123" s="138">
        <f>'Acct Summary 7-8'!D10</f>
        <v>1633450</v>
      </c>
      <c r="C4123" s="2" t="s">
        <v>573</v>
      </c>
      <c r="D4123" s="2" t="str">
        <f t="shared" si="63"/>
        <v>Error?</v>
      </c>
    </row>
    <row r="4124" spans="1:4" x14ac:dyDescent="0.2">
      <c r="A4124" s="5">
        <v>4063</v>
      </c>
      <c r="B4124" s="138">
        <f>'Acct Summary 7-8'!E10</f>
        <v>1658688</v>
      </c>
      <c r="C4124" s="2" t="s">
        <v>573</v>
      </c>
      <c r="D4124" s="2" t="str">
        <f t="shared" si="63"/>
        <v>Error?</v>
      </c>
    </row>
    <row r="4125" spans="1:4" x14ac:dyDescent="0.2">
      <c r="A4125" s="5">
        <v>4064</v>
      </c>
      <c r="B4125" s="138">
        <f>'Acct Summary 7-8'!F10</f>
        <v>1839108</v>
      </c>
      <c r="C4125" s="2" t="s">
        <v>573</v>
      </c>
      <c r="D4125" s="2" t="str">
        <f t="shared" si="63"/>
        <v>Error?</v>
      </c>
    </row>
    <row r="4126" spans="1:4" x14ac:dyDescent="0.2">
      <c r="A4126" s="5">
        <v>4065</v>
      </c>
      <c r="B4126" s="138">
        <f>'Acct Summary 7-8'!G10</f>
        <v>334890</v>
      </c>
      <c r="C4126" s="2" t="s">
        <v>573</v>
      </c>
      <c r="D4126" s="2" t="str">
        <f t="shared" si="63"/>
        <v>Error?</v>
      </c>
    </row>
    <row r="4127" spans="1:4" x14ac:dyDescent="0.2">
      <c r="A4127" s="5">
        <v>4066</v>
      </c>
      <c r="B4127" s="138">
        <f>'Acct Summary 7-8'!H10</f>
        <v>26028</v>
      </c>
      <c r="C4127" s="2" t="s">
        <v>573</v>
      </c>
      <c r="D4127" s="2" t="str">
        <f t="shared" si="63"/>
        <v>Error?</v>
      </c>
    </row>
    <row r="4128" spans="1:4" x14ac:dyDescent="0.2">
      <c r="A4128" s="5">
        <v>4067</v>
      </c>
      <c r="B4128" s="138">
        <f>'Acct Summary 7-8'!I10</f>
        <v>165996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3330795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11843844</v>
      </c>
      <c r="C4136" s="2" t="s">
        <v>573</v>
      </c>
      <c r="D4136" s="2" t="str">
        <f t="shared" si="63"/>
        <v>Error?</v>
      </c>
    </row>
    <row r="4137" spans="1:4" x14ac:dyDescent="0.2">
      <c r="A4137" s="5">
        <v>4076</v>
      </c>
      <c r="B4137" s="138">
        <f>'Acct Summary 7-8'!D19</f>
        <v>1219448</v>
      </c>
      <c r="C4137" s="2" t="s">
        <v>573</v>
      </c>
      <c r="D4137" s="2" t="str">
        <f t="shared" si="63"/>
        <v>Error?</v>
      </c>
    </row>
    <row r="4138" spans="1:4" x14ac:dyDescent="0.2">
      <c r="A4138" s="5">
        <v>4077</v>
      </c>
      <c r="B4138" s="138">
        <f>'Acct Summary 7-8'!E19</f>
        <v>1880080</v>
      </c>
      <c r="C4138" s="2" t="s">
        <v>573</v>
      </c>
      <c r="D4138" s="2" t="str">
        <f t="shared" si="63"/>
        <v>Error?</v>
      </c>
    </row>
    <row r="4139" spans="1:4" x14ac:dyDescent="0.2">
      <c r="A4139" s="5">
        <v>4078</v>
      </c>
      <c r="B4139" s="138">
        <f>'Acct Summary 7-8'!F19</f>
        <v>2494450</v>
      </c>
      <c r="C4139" s="2" t="s">
        <v>573</v>
      </c>
      <c r="D4139" s="2" t="str">
        <f t="shared" si="63"/>
        <v>Error?</v>
      </c>
    </row>
    <row r="4140" spans="1:4" x14ac:dyDescent="0.2">
      <c r="A4140" s="5">
        <v>4079</v>
      </c>
      <c r="B4140" s="138">
        <f>'Acct Summary 7-8'!G19</f>
        <v>354912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2350000</v>
      </c>
      <c r="C4171" s="2" t="s">
        <v>573</v>
      </c>
      <c r="D4171" s="2" t="str">
        <f t="shared" si="64"/>
        <v>Error?</v>
      </c>
    </row>
    <row r="4172" spans="1:4" x14ac:dyDescent="0.2">
      <c r="A4172" s="5">
        <v>4111</v>
      </c>
      <c r="B4172" s="138">
        <f>'Short-Term Long-Term Debt 24'!J49</f>
        <v>2304870</v>
      </c>
      <c r="C4172" s="2" t="s">
        <v>573</v>
      </c>
      <c r="D4172" s="2" t="str">
        <f t="shared" si="64"/>
        <v>Error?</v>
      </c>
    </row>
    <row r="4173" spans="1:4" x14ac:dyDescent="0.2">
      <c r="A4173" s="5">
        <v>4112</v>
      </c>
      <c r="B4173" s="138">
        <f>'Short-Term Long-Term Debt 24'!H49</f>
        <v>1785000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2066.9</v>
      </c>
      <c r="C4265" s="2" t="s">
        <v>573</v>
      </c>
      <c r="D4265" s="2" t="str">
        <f t="shared" si="65"/>
        <v>Error?</v>
      </c>
      <c r="E4265" s="128"/>
    </row>
    <row r="4266" spans="1:5" x14ac:dyDescent="0.2">
      <c r="A4266" s="12">
        <v>4205</v>
      </c>
      <c r="B4266" s="138">
        <f>('FP Info 3'!F10)*100000</f>
        <v>453.34499999999997</v>
      </c>
      <c r="C4266" s="2" t="s">
        <v>573</v>
      </c>
      <c r="D4266" s="2" t="str">
        <f t="shared" si="65"/>
        <v>Error?</v>
      </c>
      <c r="E4266" s="128"/>
    </row>
    <row r="4267" spans="1:5" x14ac:dyDescent="0.2">
      <c r="A4267" s="12">
        <v>4206</v>
      </c>
      <c r="B4267" s="138">
        <f>('FP Info 3'!H10)*100000</f>
        <v>139.5</v>
      </c>
      <c r="C4267" s="2" t="s">
        <v>573</v>
      </c>
      <c r="D4267" s="2" t="str">
        <f t="shared" si="65"/>
        <v>Error?</v>
      </c>
      <c r="E4267" s="128"/>
    </row>
    <row r="4268" spans="1:5" x14ac:dyDescent="0.2">
      <c r="A4268" s="12">
        <v>4207</v>
      </c>
      <c r="B4268" s="138">
        <f>('FP Info 3'!J10)*100000</f>
        <v>2660</v>
      </c>
      <c r="C4268" s="2" t="s">
        <v>573</v>
      </c>
      <c r="D4268" s="2" t="str">
        <f t="shared" si="65"/>
        <v>Error?</v>
      </c>
    </row>
    <row r="4269" spans="1:5" x14ac:dyDescent="0.2">
      <c r="A4269" s="12">
        <v>4208</v>
      </c>
      <c r="B4269" s="138">
        <f>'FP Info 3'!J16</f>
        <v>18196393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4113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5480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44.3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3588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750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365030695</v>
      </c>
      <c r="D4995" s="2" t="str">
        <f t="shared" si="77"/>
        <v>Error?</v>
      </c>
    </row>
    <row r="4996" spans="1:4" x14ac:dyDescent="0.2">
      <c r="A4996" s="12">
        <v>4935</v>
      </c>
      <c r="B4996" s="138">
        <f>'FP Info 3'!H31</f>
        <v>25187117.955000002</v>
      </c>
      <c r="D4996" s="2" t="str">
        <f t="shared" si="77"/>
        <v>Error?</v>
      </c>
    </row>
    <row r="4997" spans="1:4" x14ac:dyDescent="0.2">
      <c r="A4997" s="12">
        <v>4936</v>
      </c>
      <c r="B4997" s="138">
        <f>'FP Info 3'!H37</f>
        <v>2350000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7361058</v>
      </c>
      <c r="D5061" s="2" t="str">
        <f t="shared" si="78"/>
        <v>Error?</v>
      </c>
    </row>
    <row r="5062" spans="1:4" x14ac:dyDescent="0.2">
      <c r="A5062" s="10">
        <v>5001</v>
      </c>
      <c r="D5062" s="2" t="str">
        <f t="shared" si="78"/>
        <v>OK</v>
      </c>
    </row>
    <row r="5063" spans="1:4" x14ac:dyDescent="0.2">
      <c r="A5063" s="5">
        <v>5002</v>
      </c>
      <c r="B5063" s="138">
        <f>'Revenues 9-14'!C7</f>
        <v>109866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7470924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15696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15696</v>
      </c>
      <c r="C5087" s="2" t="s">
        <v>573</v>
      </c>
      <c r="D5087" s="2" t="str">
        <f t="shared" si="78"/>
        <v>Error?</v>
      </c>
    </row>
    <row r="5088" spans="1:4" x14ac:dyDescent="0.2">
      <c r="A5088" s="5">
        <v>5027</v>
      </c>
      <c r="B5088" s="138">
        <f>'Revenues 9-14'!C65</f>
        <v>167343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167343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233093</v>
      </c>
      <c r="C5096" s="2" t="s">
        <v>573</v>
      </c>
      <c r="D5096" s="2" t="str">
        <f t="shared" si="78"/>
        <v>Error?</v>
      </c>
    </row>
    <row r="5097" spans="1:4" x14ac:dyDescent="0.2">
      <c r="A5097" s="5">
        <v>5036</v>
      </c>
      <c r="B5097" s="138">
        <f>'Revenues 9-14'!C77</f>
        <v>47614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160184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182661</v>
      </c>
      <c r="D5101" s="2" t="str">
        <f t="shared" si="78"/>
        <v>Error?</v>
      </c>
    </row>
    <row r="5102" spans="1:4" x14ac:dyDescent="0.2">
      <c r="A5102" s="5">
        <v>5041</v>
      </c>
      <c r="B5102" s="138">
        <f>'Revenues 9-14'!C82</f>
        <v>390459</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5925</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26076</v>
      </c>
      <c r="D5119" s="2" t="str">
        <f t="shared" ref="D5119:D5182" si="79">IF(ISBLANK(B5119),"OK",IF(A5119-B5119=0,"OK","Error?"))</f>
        <v>Error?</v>
      </c>
    </row>
    <row r="5120" spans="1:4" x14ac:dyDescent="0.2">
      <c r="A5120" s="5">
        <v>5059</v>
      </c>
      <c r="B5120" s="138">
        <f>'Revenues 9-14'!C108</f>
        <v>37851</v>
      </c>
      <c r="C5120" s="2" t="s">
        <v>573</v>
      </c>
      <c r="D5120" s="2" t="str">
        <f t="shared" si="79"/>
        <v>Error?</v>
      </c>
    </row>
    <row r="5121" spans="1:4" x14ac:dyDescent="0.2">
      <c r="A5121" s="5">
        <v>5060</v>
      </c>
      <c r="B5121" s="138">
        <f>'Revenues 9-14'!C109</f>
        <v>8315366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1415177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1415927</v>
      </c>
      <c r="C5132" s="2" t="s">
        <v>573</v>
      </c>
      <c r="D5132" s="2" t="str">
        <f t="shared" si="79"/>
        <v>Error?</v>
      </c>
    </row>
    <row r="5133" spans="1:4" x14ac:dyDescent="0.2">
      <c r="A5133" s="5">
        <v>5072</v>
      </c>
      <c r="B5133" s="138">
        <f>'Revenues 9-14'!C125</f>
        <v>31933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31933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5331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5331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22363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63215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1479142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121462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121462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12589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12589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143644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143644</v>
      </c>
      <c r="C5326" s="2" t="s">
        <v>573</v>
      </c>
      <c r="D5326" s="2" t="str">
        <f t="shared" si="82"/>
        <v>Error?</v>
      </c>
    </row>
    <row r="5327" spans="1:5" x14ac:dyDescent="0.2">
      <c r="A5327" s="5">
        <v>5266</v>
      </c>
      <c r="B5327" s="138">
        <f>'Revenues 9-14'!C268</f>
        <v>9938152</v>
      </c>
      <c r="C5327" s="2" t="s">
        <v>573</v>
      </c>
      <c r="D5327" s="2" t="str">
        <f t="shared" si="82"/>
        <v>Error?</v>
      </c>
    </row>
    <row r="5328" spans="1:5" x14ac:dyDescent="0.2">
      <c r="A5328" s="5">
        <v>5267</v>
      </c>
      <c r="B5328" s="138">
        <f>'Revenues 9-14'!D5</f>
        <v>1614561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1614561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18889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18889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1633450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1633450</v>
      </c>
      <c r="C5508" s="2" t="s">
        <v>573</v>
      </c>
      <c r="D5508" s="2" t="str">
        <f t="shared" si="85"/>
        <v>Error?</v>
      </c>
    </row>
    <row r="5509" spans="1:4" x14ac:dyDescent="0.2">
      <c r="A5509" s="5">
        <v>5448</v>
      </c>
      <c r="B5509" s="138">
        <f>'Revenues 9-14'!E5</f>
        <v>1656810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1656810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1878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1878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1658688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1658688</v>
      </c>
      <c r="C5552" s="2" t="s">
        <v>573</v>
      </c>
      <c r="D5552" s="2" t="str">
        <f t="shared" si="85"/>
        <v>Error?</v>
      </c>
    </row>
    <row r="5553" spans="1:4" x14ac:dyDescent="0.2">
      <c r="A5553" s="5">
        <v>5492</v>
      </c>
      <c r="B5553" s="138">
        <f>'Revenues 9-14'!F5</f>
        <v>496796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496796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691621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691621</v>
      </c>
      <c r="C5579" s="2" t="s">
        <v>573</v>
      </c>
      <c r="D5579" s="2" t="str">
        <f t="shared" si="86"/>
        <v>Error?</v>
      </c>
    </row>
    <row r="5580" spans="1:4" x14ac:dyDescent="0.2">
      <c r="A5580" s="5">
        <v>5519</v>
      </c>
      <c r="B5580" s="138">
        <f>'Revenues 9-14'!F65</f>
        <v>2204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2204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37936</v>
      </c>
      <c r="D5586" s="2" t="str">
        <f t="shared" si="86"/>
        <v>Error?</v>
      </c>
    </row>
    <row r="5587" spans="1:4" x14ac:dyDescent="0.2">
      <c r="A5587" s="5">
        <v>5526</v>
      </c>
      <c r="B5587" s="138">
        <f>'Revenues 9-14'!F108</f>
        <v>37936</v>
      </c>
      <c r="C5587" s="2" t="s">
        <v>573</v>
      </c>
      <c r="D5587" s="2" t="str">
        <f t="shared" si="86"/>
        <v>Error?</v>
      </c>
    </row>
    <row r="5588" spans="1:4" x14ac:dyDescent="0.2">
      <c r="A5588" s="5">
        <v>5527</v>
      </c>
      <c r="B5588" s="138">
        <f>'Revenues 9-14'!F109</f>
        <v>1228557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250418</v>
      </c>
      <c r="D5615" s="2" t="str">
        <f t="shared" si="86"/>
        <v>Error?</v>
      </c>
    </row>
    <row r="5616" spans="1:4" x14ac:dyDescent="0.2">
      <c r="A5616" s="10">
        <v>5555</v>
      </c>
      <c r="D5616" s="2" t="str">
        <f t="shared" si="86"/>
        <v>OK</v>
      </c>
    </row>
    <row r="5617" spans="1:5" x14ac:dyDescent="0.2">
      <c r="A5617" s="5">
        <v>5556</v>
      </c>
      <c r="B5617" s="138">
        <f>'Revenues 9-14'!F153</f>
        <v>360133</v>
      </c>
      <c r="D5617" s="2" t="str">
        <f t="shared" si="86"/>
        <v>Error?</v>
      </c>
    </row>
    <row r="5618" spans="1:5" x14ac:dyDescent="0.2">
      <c r="A5618" s="5">
        <v>5557</v>
      </c>
      <c r="B5618" s="138">
        <f>'Revenues 9-14'!F155</f>
        <v>610551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610551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610551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1839108</v>
      </c>
      <c r="C5720" s="2" t="s">
        <v>573</v>
      </c>
      <c r="D5720" s="2" t="str">
        <f t="shared" si="88"/>
        <v>Error?</v>
      </c>
    </row>
    <row r="5721" spans="1:4" x14ac:dyDescent="0.2">
      <c r="A5721" s="5">
        <v>5660</v>
      </c>
      <c r="B5721" s="138">
        <f>'Revenues 9-14'!G5</f>
        <v>94904</v>
      </c>
      <c r="D5721" s="2" t="str">
        <f t="shared" si="88"/>
        <v>Error?</v>
      </c>
    </row>
    <row r="5722" spans="1:4" x14ac:dyDescent="0.2">
      <c r="A5722" s="5">
        <v>5661</v>
      </c>
      <c r="B5722" s="138">
        <f>'Revenues 9-14'!G7</f>
        <v>0</v>
      </c>
      <c r="D5722" s="2" t="str">
        <f t="shared" si="88"/>
        <v>Error?</v>
      </c>
    </row>
    <row r="5723" spans="1:4" x14ac:dyDescent="0.2">
      <c r="A5723" s="5">
        <v>5662</v>
      </c>
      <c r="B5723" s="138">
        <f>'Revenues 9-14'!G8</f>
        <v>94907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189811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137112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137112</v>
      </c>
      <c r="C5730" s="2" t="s">
        <v>573</v>
      </c>
      <c r="D5730" s="2" t="str">
        <f t="shared" si="88"/>
        <v>Error?</v>
      </c>
    </row>
    <row r="5731" spans="1:4" x14ac:dyDescent="0.2">
      <c r="A5731" s="5">
        <v>5670</v>
      </c>
      <c r="B5731" s="138">
        <f>'Revenues 9-14'!G65</f>
        <v>7967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7967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334890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7172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7172</v>
      </c>
      <c r="C5881" s="2" t="s">
        <v>573</v>
      </c>
      <c r="D5881" s="2" t="str">
        <f t="shared" si="90"/>
        <v>Error?</v>
      </c>
    </row>
    <row r="5882" spans="1:4" x14ac:dyDescent="0.2">
      <c r="A5882" s="5">
        <v>5821</v>
      </c>
      <c r="B5882" s="138">
        <f>'Revenues 9-14'!H96</f>
        <v>18856</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18856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26028</v>
      </c>
      <c r="C5915" s="2" t="s">
        <v>573</v>
      </c>
      <c r="D5915" s="2" t="str">
        <f t="shared" si="91"/>
        <v>Error?</v>
      </c>
    </row>
    <row r="5916" spans="1:4" x14ac:dyDescent="0.2">
      <c r="A5916" s="5">
        <v>5855</v>
      </c>
      <c r="B5916" s="138">
        <f>'Revenues 9-14'!I5</f>
        <v>157635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157635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8361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8361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165996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334890</v>
      </c>
      <c r="C6024" s="2" t="s">
        <v>573</v>
      </c>
      <c r="D6024" s="2" t="str">
        <f t="shared" si="93"/>
        <v>Error?</v>
      </c>
    </row>
    <row r="6025" spans="1:5" x14ac:dyDescent="0.2">
      <c r="A6025" s="5">
        <v>5964</v>
      </c>
      <c r="B6025" s="138">
        <f>'Revenues 9-14'!H109</f>
        <v>26028</v>
      </c>
      <c r="C6025" s="2" t="s">
        <v>573</v>
      </c>
      <c r="D6025" s="2" t="str">
        <f t="shared" si="93"/>
        <v>Error?</v>
      </c>
    </row>
    <row r="6026" spans="1:5" x14ac:dyDescent="0.2">
      <c r="A6026" s="5">
        <v>5965</v>
      </c>
      <c r="B6026" s="138">
        <f>'Revenues 9-14'!I109</f>
        <v>165996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233093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552.79999999999995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60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1425103</v>
      </c>
      <c r="D6267" s="2" t="str">
        <f t="shared" si="96"/>
        <v>Error?</v>
      </c>
      <c r="E6267" s="2" t="s">
        <v>190</v>
      </c>
    </row>
    <row r="6268" spans="1:5" x14ac:dyDescent="0.2">
      <c r="A6268">
        <v>6207</v>
      </c>
      <c r="B6268" s="138">
        <f>'Acct Summary 7-8'!D82</f>
        <v>209002</v>
      </c>
      <c r="D6268" s="2" t="str">
        <f t="shared" si="96"/>
        <v>Error?</v>
      </c>
      <c r="E6268" s="2" t="s">
        <v>190</v>
      </c>
    </row>
    <row r="6269" spans="1:5" x14ac:dyDescent="0.2">
      <c r="A6269">
        <v>6208</v>
      </c>
      <c r="B6269" s="138">
        <f>'Acct Summary 7-8'!E82</f>
        <v>-16392</v>
      </c>
      <c r="D6269" s="2" t="str">
        <f t="shared" si="96"/>
        <v>Error?</v>
      </c>
      <c r="E6269" s="2" t="s">
        <v>190</v>
      </c>
    </row>
    <row r="6270" spans="1:5" x14ac:dyDescent="0.2">
      <c r="A6270">
        <v>6209</v>
      </c>
      <c r="B6270" s="138">
        <f>'Acct Summary 7-8'!F82</f>
        <v>-655342</v>
      </c>
      <c r="D6270" s="2" t="str">
        <f t="shared" si="96"/>
        <v>Error?</v>
      </c>
      <c r="E6270" s="2" t="s">
        <v>190</v>
      </c>
    </row>
    <row r="6271" spans="1:5" x14ac:dyDescent="0.2">
      <c r="A6271">
        <v>6210</v>
      </c>
      <c r="B6271" s="138">
        <f>'Acct Summary 7-8'!G82</f>
        <v>-20022</v>
      </c>
      <c r="D6271" s="2" t="str">
        <f t="shared" ref="D6271:D6334" si="97">IF(ISBLANK(B6271),"OK",IF(A6271-B6271=0,"OK","Error?"))</f>
        <v>Error?</v>
      </c>
      <c r="E6271" s="2" t="s">
        <v>190</v>
      </c>
    </row>
    <row r="6272" spans="1:5" x14ac:dyDescent="0.2">
      <c r="A6272">
        <v>6211</v>
      </c>
      <c r="B6272" s="138">
        <f>'Acct Summary 7-8'!H82</f>
        <v>26028</v>
      </c>
      <c r="D6272" s="2" t="str">
        <f t="shared" si="97"/>
        <v>Error?</v>
      </c>
      <c r="E6272" s="2" t="s">
        <v>190</v>
      </c>
    </row>
    <row r="6273" spans="1:5" x14ac:dyDescent="0.2">
      <c r="A6273">
        <v>6212</v>
      </c>
      <c r="B6273" s="138">
        <f>'Acct Summary 7-8'!I82</f>
        <v>165996</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9.4559204480813605E-2</v>
      </c>
      <c r="D6276" s="2" t="str">
        <f t="shared" si="97"/>
        <v>Error?</v>
      </c>
      <c r="E6276" s="2" t="s">
        <v>190</v>
      </c>
    </row>
    <row r="6277" spans="1:5" x14ac:dyDescent="0.2">
      <c r="A6277">
        <v>6216</v>
      </c>
      <c r="B6277" s="138">
        <f>'Acct Summary 7-8'!D83</f>
        <v>0.11938332533644069</v>
      </c>
      <c r="D6277" s="2" t="str">
        <f t="shared" si="97"/>
        <v>Error?</v>
      </c>
      <c r="E6277" s="2" t="s">
        <v>190</v>
      </c>
    </row>
    <row r="6278" spans="1:5" x14ac:dyDescent="0.2">
      <c r="A6278">
        <v>6217</v>
      </c>
      <c r="B6278" s="138">
        <f>'Acct Summary 7-8'!E83</f>
        <v>-0.36321737203633947</v>
      </c>
      <c r="D6278" s="2" t="str">
        <f t="shared" si="97"/>
        <v>Error?</v>
      </c>
      <c r="E6278" s="2" t="s">
        <v>190</v>
      </c>
    </row>
    <row r="6279" spans="1:5" x14ac:dyDescent="0.2">
      <c r="A6279">
        <v>6218</v>
      </c>
      <c r="B6279" s="138">
        <f>'Acct Summary 7-8'!F83</f>
        <v>-4.4248472367577056</v>
      </c>
      <c r="D6279" s="2" t="str">
        <f t="shared" si="97"/>
        <v>Error?</v>
      </c>
      <c r="E6279" s="2" t="s">
        <v>190</v>
      </c>
    </row>
    <row r="6280" spans="1:5" x14ac:dyDescent="0.2">
      <c r="A6280">
        <v>6219</v>
      </c>
      <c r="B6280" s="138">
        <f>'Acct Summary 7-8'!G83</f>
        <v>-3.04137343332508E-2</v>
      </c>
      <c r="D6280" s="2" t="str">
        <f t="shared" si="97"/>
        <v>Error?</v>
      </c>
      <c r="E6280" s="2" t="s">
        <v>190</v>
      </c>
    </row>
    <row r="6281" spans="1:5" x14ac:dyDescent="0.2">
      <c r="A6281">
        <v>6220</v>
      </c>
      <c r="B6281" s="138">
        <f>'Acct Summary 7-8'!H83</f>
        <v>0.13295736659821619</v>
      </c>
      <c r="D6281" s="2" t="str">
        <f t="shared" si="97"/>
        <v>Error?</v>
      </c>
      <c r="E6281" s="2" t="s">
        <v>190</v>
      </c>
    </row>
    <row r="6282" spans="1:5" x14ac:dyDescent="0.2">
      <c r="A6282">
        <v>6221</v>
      </c>
      <c r="B6282" s="138">
        <f>'Acct Summary 7-8'!I83</f>
        <v>0.13533073263791226</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5850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98134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720</v>
      </c>
      <c r="D6878" s="2" t="str">
        <f t="shared" si="106"/>
        <v>Error?</v>
      </c>
    </row>
    <row r="6879" spans="1:4" x14ac:dyDescent="0.2">
      <c r="A6879">
        <v>6818</v>
      </c>
      <c r="B6879" s="138">
        <f>'Expenditures 15-22'!K21</f>
        <v>720</v>
      </c>
      <c r="D6879" s="2" t="str">
        <f t="shared" si="106"/>
        <v>Error?</v>
      </c>
    </row>
    <row r="6880" spans="1:4" x14ac:dyDescent="0.2">
      <c r="A6880">
        <v>6819</v>
      </c>
      <c r="B6880" s="138">
        <f>'Expenditures 15-22'!H22</f>
        <v>163453</v>
      </c>
      <c r="D6880" s="2" t="str">
        <f t="shared" si="106"/>
        <v>Error?</v>
      </c>
    </row>
    <row r="6881" spans="1:4" x14ac:dyDescent="0.2">
      <c r="A6881">
        <v>6820</v>
      </c>
      <c r="B6881" s="138">
        <f>'Expenditures 15-22'!K22</f>
        <v>163453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579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579</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82507</v>
      </c>
      <c r="D6983" s="2" t="str">
        <f t="shared" si="108"/>
        <v>Error?</v>
      </c>
    </row>
    <row r="6984" spans="1:4" x14ac:dyDescent="0.2">
      <c r="A6984">
        <v>6923</v>
      </c>
      <c r="B6984" s="138">
        <f>'Expenditures 15-22'!K86</f>
        <v>82507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136641</v>
      </c>
      <c r="D6987" s="2" t="str">
        <f t="shared" si="108"/>
        <v>Error?</v>
      </c>
    </row>
    <row r="6988" spans="1:4" x14ac:dyDescent="0.2">
      <c r="A6988">
        <v>6927</v>
      </c>
      <c r="B6988" s="138">
        <f>'Expenditures 15-22'!K88</f>
        <v>136641</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219148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1301</v>
      </c>
      <c r="D7079" s="2" t="str">
        <f t="shared" si="109"/>
        <v>Error?</v>
      </c>
    </row>
    <row r="7080" spans="1:4" x14ac:dyDescent="0.2">
      <c r="A7080">
        <v>7019</v>
      </c>
      <c r="B7080" s="138">
        <f>'Expenditures 15-22'!K226</f>
        <v>1301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89705</v>
      </c>
      <c r="D7263" s="2" t="str">
        <f t="shared" si="112"/>
        <v>Error?</v>
      </c>
    </row>
    <row r="7264" spans="1:4" x14ac:dyDescent="0.2">
      <c r="A7264">
        <f t="shared" si="113"/>
        <v>7203</v>
      </c>
      <c r="B7264" s="138">
        <f>'Expenditures 15-22'!D17</f>
        <v>8179</v>
      </c>
      <c r="D7264" s="2" t="str">
        <f t="shared" si="112"/>
        <v>Error?</v>
      </c>
    </row>
    <row r="7265" spans="1:5" x14ac:dyDescent="0.2">
      <c r="A7265">
        <f t="shared" si="113"/>
        <v>7204</v>
      </c>
      <c r="B7265" s="138">
        <f>'Expenditures 15-22'!E17</f>
        <v>250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770054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5850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22363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28213</v>
      </c>
      <c r="D7719" s="2" t="str">
        <f t="shared" si="126"/>
        <v>Error?</v>
      </c>
      <c r="E7719" s="2" t="s">
        <v>827</v>
      </c>
    </row>
    <row r="7720" spans="1:6" x14ac:dyDescent="0.2">
      <c r="A7720">
        <v>7659</v>
      </c>
      <c r="B7720" s="138">
        <f>'Rest Tax Levies-Tort Im 25'!H14</f>
        <v>109866</v>
      </c>
      <c r="D7720" s="2" t="str">
        <f t="shared" si="126"/>
        <v>Error?</v>
      </c>
      <c r="E7720" s="2" t="s">
        <v>827</v>
      </c>
    </row>
    <row r="7721" spans="1:6" x14ac:dyDescent="0.2">
      <c r="A7721">
        <v>7660</v>
      </c>
      <c r="B7721" s="138">
        <f>'Rest Tax Levies-Tort Im 25'!K14</f>
        <v>28213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9"/>
  <sheetViews>
    <sheetView showGridLines="0" showZeros="0" zoomScale="110" zoomScaleNormal="110" workbookViewId="0">
      <selection activeCell="V24" sqref="V24"/>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48" t="s">
        <v>1191</v>
      </c>
      <c r="B2" s="2448"/>
      <c r="C2" s="2448"/>
      <c r="D2" s="2448"/>
      <c r="E2" s="2448"/>
      <c r="F2" s="2448"/>
      <c r="G2" s="2448"/>
      <c r="H2" s="2448"/>
      <c r="I2" s="2448"/>
      <c r="J2" s="2448"/>
      <c r="K2" s="2448"/>
      <c r="L2" s="2448"/>
    </row>
    <row r="3" spans="1:29" ht="13.5" customHeight="1" x14ac:dyDescent="0.2">
      <c r="A3" s="2479" t="s">
        <v>1190</v>
      </c>
      <c r="B3" s="2479"/>
      <c r="C3" s="2479"/>
      <c r="D3" s="2479"/>
      <c r="E3" s="2479"/>
      <c r="F3" s="2479"/>
      <c r="G3" s="2479"/>
      <c r="H3" s="2479"/>
      <c r="I3" s="2479"/>
      <c r="J3" s="2479"/>
      <c r="K3" s="2479"/>
      <c r="L3" s="2479"/>
    </row>
    <row r="4" spans="1:29" ht="13.5" customHeight="1" x14ac:dyDescent="0.2">
      <c r="A4" s="2448" t="s">
        <v>1989</v>
      </c>
      <c r="B4" s="2469"/>
      <c r="C4" s="2469"/>
      <c r="D4" s="2469"/>
      <c r="E4" s="2469"/>
      <c r="F4" s="2469"/>
      <c r="G4" s="2469"/>
      <c r="H4" s="2469"/>
      <c r="I4" s="2469"/>
      <c r="J4" s="2469"/>
      <c r="K4" s="2469"/>
      <c r="L4" s="246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0" t="str">
        <f>COVER!A17</f>
        <v>Richmond-Burton CHSD 157</v>
      </c>
      <c r="B7" s="2471"/>
      <c r="C7" s="2471"/>
      <c r="D7" s="2472"/>
      <c r="E7" s="2473">
        <f>COVER!A13</f>
        <v>44063157016</v>
      </c>
      <c r="F7" s="2474"/>
      <c r="G7" s="2480" t="str">
        <f>COVER!T23</f>
        <v>066-005142</v>
      </c>
      <c r="H7" s="2481"/>
      <c r="I7" s="2481"/>
      <c r="J7" s="2481"/>
      <c r="K7" s="2481"/>
      <c r="L7" s="2482"/>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3"/>
      <c r="B9" s="2484"/>
      <c r="C9" s="2484"/>
      <c r="D9" s="2484"/>
      <c r="E9" s="2484"/>
      <c r="F9" s="2485"/>
      <c r="G9" s="2454" t="str">
        <f>COVER!T13</f>
        <v>EDER, CASELLA &amp; CO.</v>
      </c>
      <c r="H9" s="2486"/>
      <c r="I9" s="2486"/>
      <c r="J9" s="2486"/>
      <c r="K9" s="2486"/>
      <c r="L9" s="2487"/>
    </row>
    <row r="10" spans="1:29" ht="13.5" customHeight="1" x14ac:dyDescent="0.2">
      <c r="A10" s="2460">
        <f>COVER!A38</f>
        <v>0</v>
      </c>
      <c r="B10" s="2461"/>
      <c r="C10" s="2461"/>
      <c r="D10" s="2461"/>
      <c r="E10" s="2461"/>
      <c r="F10" s="2462"/>
      <c r="G10" s="2454" t="str">
        <f>COVER!T17</f>
        <v>5400 WEST ELM STREET, SUITE 203</v>
      </c>
      <c r="H10" s="2455"/>
      <c r="I10" s="2455"/>
      <c r="J10" s="2455"/>
      <c r="K10" s="2455"/>
      <c r="L10" s="2456"/>
    </row>
    <row r="11" spans="1:29" ht="13.5" customHeight="1" x14ac:dyDescent="0.2">
      <c r="A11" s="1157" t="s">
        <v>1519</v>
      </c>
      <c r="B11" s="1158"/>
      <c r="C11" s="1159"/>
      <c r="D11" s="1164"/>
      <c r="E11" s="1159"/>
      <c r="F11" s="1163"/>
      <c r="G11" s="2454" t="str">
        <f>COVER!T19</f>
        <v>MCHENRY</v>
      </c>
      <c r="H11" s="2455"/>
      <c r="I11" s="2455"/>
      <c r="J11" s="2455"/>
      <c r="K11" s="2455"/>
      <c r="L11" s="2456"/>
    </row>
    <row r="12" spans="1:29" ht="13.5" customHeight="1" x14ac:dyDescent="0.2">
      <c r="A12" s="2463" t="s">
        <v>1518</v>
      </c>
      <c r="B12" s="2464"/>
      <c r="C12" s="2464"/>
      <c r="D12" s="2464"/>
      <c r="E12" s="2464"/>
      <c r="F12" s="2465"/>
      <c r="G12" s="2457"/>
      <c r="H12" s="2458"/>
      <c r="I12" s="2458"/>
      <c r="J12" s="2458"/>
      <c r="K12" s="2458"/>
      <c r="L12" s="2459"/>
    </row>
    <row r="13" spans="1:29" ht="13.5" customHeight="1" x14ac:dyDescent="0.2">
      <c r="A13" s="2454"/>
      <c r="B13" s="2455"/>
      <c r="C13" s="2455"/>
      <c r="D13" s="2455"/>
      <c r="E13" s="2455"/>
      <c r="F13" s="2456"/>
      <c r="G13" s="2449" t="s">
        <v>1520</v>
      </c>
      <c r="H13" s="2450"/>
      <c r="I13" s="2466" t="str">
        <f>COVER!T25</f>
        <v>CPAS@EDERCASELLA.COM</v>
      </c>
      <c r="J13" s="2467"/>
      <c r="K13" s="2467"/>
      <c r="L13" s="2468"/>
    </row>
    <row r="14" spans="1:29" ht="13.5" customHeight="1" x14ac:dyDescent="0.2">
      <c r="A14" s="2454" t="str">
        <f>COVER!A19</f>
        <v>4213 ROUTE 12</v>
      </c>
      <c r="B14" s="2455"/>
      <c r="C14" s="2455"/>
      <c r="D14" s="2455"/>
      <c r="E14" s="2455"/>
      <c r="F14" s="2456"/>
      <c r="G14" s="1168" t="s">
        <v>1185</v>
      </c>
      <c r="H14" s="1166"/>
      <c r="I14" s="1166"/>
      <c r="J14" s="1166"/>
      <c r="K14" s="1166"/>
      <c r="L14" s="1167"/>
    </row>
    <row r="15" spans="1:29" ht="13.5" customHeight="1" x14ac:dyDescent="0.2">
      <c r="A15" s="2454" t="str">
        <f>COVER!A21</f>
        <v xml:space="preserve">RICHMOND </v>
      </c>
      <c r="B15" s="2455"/>
      <c r="C15" s="2455"/>
      <c r="D15" s="2455"/>
      <c r="E15" s="2455"/>
      <c r="F15" s="2456"/>
      <c r="G15" s="2451" t="str">
        <f>COVER!T15</f>
        <v>KEVIN SMITH</v>
      </c>
      <c r="H15" s="2452"/>
      <c r="I15" s="2452"/>
      <c r="J15" s="2452"/>
      <c r="K15" s="2452"/>
      <c r="L15" s="2453"/>
    </row>
    <row r="16" spans="1:29" ht="12.2" customHeight="1" x14ac:dyDescent="0.2">
      <c r="A16" s="2476">
        <f>COVER!A25</f>
        <v>60071</v>
      </c>
      <c r="B16" s="2477"/>
      <c r="C16" s="2477"/>
      <c r="D16" s="2477"/>
      <c r="E16" s="2477"/>
      <c r="F16" s="2478"/>
      <c r="G16" s="2488"/>
      <c r="H16" s="2489"/>
      <c r="I16" s="2489"/>
      <c r="J16" s="2489"/>
      <c r="K16" s="2489"/>
      <c r="L16" s="2490"/>
    </row>
    <row r="17" spans="1:13" ht="12.2" customHeight="1" x14ac:dyDescent="0.2">
      <c r="A17" s="2491"/>
      <c r="B17" s="2477"/>
      <c r="C17" s="2477"/>
      <c r="D17" s="2477"/>
      <c r="E17" s="2477"/>
      <c r="F17" s="2478"/>
      <c r="G17" s="1168" t="s">
        <v>1184</v>
      </c>
      <c r="H17" s="1166"/>
      <c r="I17" s="1166"/>
      <c r="J17" s="1166"/>
      <c r="K17" s="1170" t="s">
        <v>1183</v>
      </c>
      <c r="L17" s="1163"/>
      <c r="M17" s="1156"/>
    </row>
    <row r="18" spans="1:13" ht="12.2" customHeight="1" x14ac:dyDescent="0.2">
      <c r="A18" s="2460"/>
      <c r="B18" s="2461"/>
      <c r="C18" s="2461"/>
      <c r="D18" s="2461"/>
      <c r="E18" s="2461"/>
      <c r="F18" s="2462"/>
      <c r="G18" s="2470" t="str">
        <f>COVER!T21</f>
        <v>815-344-1300</v>
      </c>
      <c r="H18" s="2471"/>
      <c r="I18" s="2471"/>
      <c r="J18" s="2471"/>
      <c r="K18" s="2470" t="str">
        <f>COVER!X21</f>
        <v>815-344-1320</v>
      </c>
      <c r="L18" s="2475"/>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10"/>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2" t="str">
        <f>'Single Audit Cover'!A7</f>
        <v>Richmond-Burton CHSD 157</v>
      </c>
      <c r="B1" s="2469"/>
      <c r="C1" s="2469"/>
      <c r="D1" s="2469"/>
    </row>
    <row r="2" spans="1:11" s="1185" customFormat="1" ht="12.75" x14ac:dyDescent="0.2">
      <c r="A2" s="2493">
        <f>'Single Audit Cover'!E7</f>
        <v>44063157016</v>
      </c>
      <c r="B2" s="2494"/>
      <c r="C2" s="2494"/>
      <c r="D2" s="2494"/>
    </row>
    <row r="3" spans="1:11" s="1185" customFormat="1" ht="12.75" x14ac:dyDescent="0.2">
      <c r="A3" s="2492" t="s">
        <v>1513</v>
      </c>
      <c r="B3" s="2469"/>
      <c r="C3" s="2469"/>
      <c r="D3" s="2469"/>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6" t="str">
        <f>'Single Audit Cover'!A7</f>
        <v>Richmond-Burton CHSD 157</v>
      </c>
      <c r="B1" s="2496"/>
      <c r="C1" s="2496"/>
      <c r="D1" s="2496"/>
      <c r="E1" s="2496"/>
    </row>
    <row r="2" spans="1:5" x14ac:dyDescent="0.2">
      <c r="A2" s="2497">
        <f>'Single Audit Cover'!E7</f>
        <v>44063157016</v>
      </c>
      <c r="B2" s="2497"/>
      <c r="C2" s="2497"/>
      <c r="D2" s="2497"/>
      <c r="E2" s="2497"/>
    </row>
    <row r="3" spans="1:5" ht="4.5" customHeight="1" x14ac:dyDescent="0.2"/>
    <row r="4" spans="1:5" x14ac:dyDescent="0.2">
      <c r="A4" s="2496" t="s">
        <v>1245</v>
      </c>
      <c r="B4" s="2496"/>
      <c r="C4" s="2496"/>
      <c r="D4" s="2496"/>
      <c r="E4" s="2496"/>
    </row>
    <row r="5" spans="1:5" x14ac:dyDescent="0.2">
      <c r="A5" s="2499" t="str">
        <f>'Single Audit Cover'!A4</f>
        <v>Year Ending June 30, 2019</v>
      </c>
      <c r="B5" s="2499"/>
      <c r="C5" s="2499"/>
      <c r="D5" s="2499"/>
      <c r="E5" s="2499"/>
    </row>
    <row r="6" spans="1:5" x14ac:dyDescent="0.2">
      <c r="A6" s="2496" t="s">
        <v>1244</v>
      </c>
      <c r="B6" s="2496"/>
      <c r="C6" s="2496"/>
      <c r="D6" s="2496"/>
      <c r="E6" s="2496"/>
    </row>
    <row r="8" spans="1:5" x14ac:dyDescent="0.2">
      <c r="A8" s="1230" t="s">
        <v>1243</v>
      </c>
    </row>
    <row r="10" spans="1:5" x14ac:dyDescent="0.2">
      <c r="A10" s="1231" t="s">
        <v>1242</v>
      </c>
      <c r="B10" s="1232" t="s">
        <v>1241</v>
      </c>
      <c r="C10" s="1232"/>
      <c r="D10" s="1233">
        <f>SUM('Acct Summary 7-8'!C7:K7)</f>
        <v>143644</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0</v>
      </c>
    </row>
    <row r="19" spans="1:4" ht="13.5" thickBot="1" x14ac:dyDescent="0.25">
      <c r="A19" s="1235" t="s">
        <v>1235</v>
      </c>
      <c r="D19" s="1236">
        <f>SUM(D10:D17)</f>
        <v>143644</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8"/>
      <c r="B24" s="2498"/>
      <c r="D24" s="1238"/>
    </row>
    <row r="25" spans="1:4" x14ac:dyDescent="0.2">
      <c r="A25" s="2495"/>
      <c r="B25" s="2495"/>
      <c r="D25" s="1238"/>
    </row>
    <row r="26" spans="1:4" x14ac:dyDescent="0.2">
      <c r="A26" s="2495"/>
      <c r="B26" s="2495"/>
      <c r="D26" s="1238"/>
    </row>
    <row r="27" spans="1:4" x14ac:dyDescent="0.2">
      <c r="A27" s="2495"/>
      <c r="B27" s="2495"/>
      <c r="D27" s="1238"/>
    </row>
    <row r="28" spans="1:4" x14ac:dyDescent="0.2">
      <c r="A28" s="2495"/>
      <c r="B28" s="2495"/>
      <c r="D28" s="1238"/>
    </row>
    <row r="29" spans="1:4" x14ac:dyDescent="0.2">
      <c r="A29" s="2495"/>
      <c r="B29" s="2495"/>
      <c r="D29" s="1238"/>
    </row>
    <row r="30" spans="1:4" x14ac:dyDescent="0.2">
      <c r="A30" s="2495"/>
      <c r="B30" s="2495"/>
      <c r="D30" s="1238"/>
    </row>
    <row r="32" spans="1:4" x14ac:dyDescent="0.2">
      <c r="A32" s="1230" t="s">
        <v>1233</v>
      </c>
      <c r="D32" s="1233">
        <f>SUM(D19:D30)</f>
        <v>143644</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5"/>
      <c r="B40" s="2495"/>
      <c r="D40" s="1238"/>
    </row>
    <row r="41" spans="1:4" x14ac:dyDescent="0.2">
      <c r="A41" s="2495"/>
      <c r="B41" s="2495"/>
      <c r="D41" s="1241"/>
    </row>
    <row r="42" spans="1:4" x14ac:dyDescent="0.2">
      <c r="A42" s="2495"/>
      <c r="B42" s="2495"/>
      <c r="D42" s="1241"/>
    </row>
    <row r="43" spans="1:4" x14ac:dyDescent="0.2">
      <c r="A43" s="2495"/>
      <c r="B43" s="2495"/>
      <c r="D43" s="1241"/>
    </row>
    <row r="44" spans="1:4" x14ac:dyDescent="0.2">
      <c r="A44" s="2495"/>
      <c r="B44" s="2495"/>
      <c r="D44" s="1241"/>
    </row>
    <row r="45" spans="1:4" x14ac:dyDescent="0.2">
      <c r="A45" s="2495"/>
      <c r="B45" s="2495"/>
      <c r="D45" s="1241"/>
    </row>
    <row r="47" spans="1:4" x14ac:dyDescent="0.2">
      <c r="B47" s="1242" t="s">
        <v>1227</v>
      </c>
      <c r="C47" s="1242"/>
      <c r="D47" s="1243">
        <f>SUM(D35:D45)</f>
        <v>0</v>
      </c>
    </row>
    <row r="49" spans="2:4" x14ac:dyDescent="0.2">
      <c r="B49" s="1242" t="s">
        <v>1226</v>
      </c>
      <c r="C49" s="1242"/>
      <c r="D49" s="1243">
        <f>D32-D47</f>
        <v>143644</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9" t="str">
        <f>'Single Audit Cover'!A7</f>
        <v>Richmond-Burton CHSD 157</v>
      </c>
      <c r="C1" s="2500"/>
      <c r="D1" s="2500"/>
      <c r="E1" s="2500"/>
      <c r="F1" s="2500"/>
      <c r="G1" s="2500"/>
      <c r="H1" s="2500"/>
      <c r="I1" s="2500"/>
      <c r="J1" s="2500"/>
      <c r="K1" s="2500"/>
      <c r="L1" s="2500"/>
      <c r="M1" s="2500"/>
    </row>
    <row r="2" spans="2:14" ht="15" x14ac:dyDescent="0.2">
      <c r="B2" s="2501">
        <f>'Single Audit Cover'!E7</f>
        <v>44063157016</v>
      </c>
      <c r="C2" s="2501"/>
      <c r="D2" s="2501"/>
      <c r="E2" s="2501"/>
      <c r="F2" s="2501"/>
      <c r="G2" s="2501"/>
      <c r="H2" s="2501"/>
      <c r="I2" s="2501"/>
      <c r="J2" s="2501"/>
      <c r="K2" s="2501"/>
      <c r="L2" s="2501"/>
      <c r="M2" s="2501"/>
      <c r="N2" s="1272"/>
    </row>
    <row r="3" spans="2:14" ht="15" x14ac:dyDescent="0.2">
      <c r="B3" s="2502" t="s">
        <v>1219</v>
      </c>
      <c r="C3" s="2502"/>
      <c r="D3" s="2502"/>
      <c r="E3" s="2502"/>
      <c r="F3" s="2502"/>
      <c r="G3" s="2502"/>
      <c r="H3" s="2502"/>
      <c r="I3" s="2502"/>
      <c r="J3" s="2502"/>
      <c r="K3" s="2502"/>
      <c r="L3" s="2502"/>
      <c r="M3" s="2502"/>
      <c r="N3" s="1272"/>
    </row>
    <row r="4" spans="2:14" ht="15" x14ac:dyDescent="0.2">
      <c r="B4" s="2503" t="str">
        <f>'Single Audit Cover'!A4</f>
        <v>Year Ending June 30, 2019</v>
      </c>
      <c r="C4" s="2503"/>
      <c r="D4" s="2503"/>
      <c r="E4" s="2503"/>
      <c r="F4" s="2503"/>
      <c r="G4" s="2503"/>
      <c r="H4" s="2503"/>
      <c r="I4" s="2503"/>
      <c r="J4" s="2503"/>
      <c r="K4" s="2503"/>
      <c r="L4" s="2503"/>
      <c r="M4" s="2503"/>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3" t="str">
        <f>'Single Audit Cover'!A7</f>
        <v>Richmond-Burton CHSD 157</v>
      </c>
      <c r="B1" s="2513"/>
      <c r="C1" s="2513"/>
      <c r="D1" s="2513"/>
      <c r="E1" s="2513"/>
      <c r="F1" s="2513"/>
    </row>
    <row r="2" spans="1:7" ht="13.5" customHeight="1" x14ac:dyDescent="0.2">
      <c r="A2" s="2501">
        <f>'Single Audit Cover'!E7</f>
        <v>44063157016</v>
      </c>
      <c r="B2" s="2501"/>
      <c r="C2" s="2501"/>
      <c r="D2" s="2501"/>
      <c r="E2" s="2501"/>
      <c r="F2" s="2501"/>
      <c r="G2" s="1245"/>
    </row>
    <row r="3" spans="1:7" ht="15.75" customHeight="1" x14ac:dyDescent="0.2">
      <c r="A3" s="2514" t="s">
        <v>1271</v>
      </c>
      <c r="B3" s="2514"/>
      <c r="C3" s="2514"/>
      <c r="D3" s="2514"/>
      <c r="E3" s="2514"/>
      <c r="F3" s="2514"/>
    </row>
    <row r="4" spans="1:7" ht="13.5" customHeight="1" x14ac:dyDescent="0.2">
      <c r="A4" s="2515" t="str">
        <f>'Single Audit Cover'!A4</f>
        <v>Year Ending June 30, 2019</v>
      </c>
      <c r="B4" s="2515"/>
      <c r="C4" s="2515"/>
      <c r="D4" s="2515"/>
      <c r="E4" s="2515"/>
      <c r="F4" s="2515"/>
    </row>
    <row r="5" spans="1:7" ht="8.25" customHeight="1" x14ac:dyDescent="0.2">
      <c r="C5" s="317"/>
      <c r="D5" s="317"/>
    </row>
    <row r="6" spans="1:7" ht="13.5" customHeight="1" x14ac:dyDescent="0.2">
      <c r="A6" s="1246" t="s">
        <v>1728</v>
      </c>
      <c r="C6" s="317"/>
      <c r="D6" s="317"/>
    </row>
    <row r="7" spans="1:7" ht="60.95" customHeight="1" x14ac:dyDescent="0.2">
      <c r="A7" s="2512" t="s">
        <v>1729</v>
      </c>
      <c r="B7" s="2512"/>
      <c r="C7" s="2512"/>
      <c r="D7" s="2512"/>
      <c r="E7" s="2512"/>
      <c r="F7" s="2512"/>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2" t="s">
        <v>1731</v>
      </c>
      <c r="B13" s="2512"/>
      <c r="C13" s="2512"/>
      <c r="D13" s="2512"/>
      <c r="E13" s="2512"/>
      <c r="F13" s="2512"/>
    </row>
    <row r="14" spans="1:7" ht="9.75" customHeight="1" x14ac:dyDescent="0.2">
      <c r="C14" s="1230"/>
      <c r="D14" s="1230"/>
    </row>
    <row r="15" spans="1:7" ht="13.5" customHeight="1" x14ac:dyDescent="0.2">
      <c r="C15" s="1819" t="s">
        <v>1270</v>
      </c>
      <c r="D15" s="2510" t="s">
        <v>1269</v>
      </c>
      <c r="E15" s="2510"/>
      <c r="F15" s="2510"/>
    </row>
    <row r="16" spans="1:7" ht="13.5" customHeight="1" x14ac:dyDescent="0.2">
      <c r="A16" s="1252"/>
      <c r="B16" s="1246" t="s">
        <v>1268</v>
      </c>
      <c r="C16" s="1819" t="s">
        <v>1267</v>
      </c>
      <c r="D16" s="2511" t="s">
        <v>1588</v>
      </c>
      <c r="E16" s="2511"/>
      <c r="F16" s="2511"/>
    </row>
    <row r="17" spans="1:6" ht="20.45" customHeight="1" x14ac:dyDescent="0.2">
      <c r="A17" s="1253"/>
      <c r="B17" s="1254"/>
      <c r="C17" s="1255"/>
      <c r="D17" s="2505"/>
      <c r="E17" s="2505"/>
      <c r="F17" s="2505"/>
    </row>
    <row r="18" spans="1:6" ht="20.65" customHeight="1" x14ac:dyDescent="0.2">
      <c r="A18" s="1253"/>
      <c r="B18" s="1254"/>
      <c r="C18" s="1255"/>
      <c r="D18" s="2505"/>
      <c r="E18" s="2505"/>
      <c r="F18" s="2505"/>
    </row>
    <row r="19" spans="1:6" ht="20.65" customHeight="1" x14ac:dyDescent="0.2">
      <c r="A19" s="1253"/>
      <c r="B19" s="1254"/>
      <c r="C19" s="1255"/>
      <c r="D19" s="2505"/>
      <c r="E19" s="2505"/>
      <c r="F19" s="2505"/>
    </row>
    <row r="20" spans="1:6" ht="20.65" customHeight="1" x14ac:dyDescent="0.2">
      <c r="A20" s="1253"/>
      <c r="B20" s="1254"/>
      <c r="C20" s="1255"/>
      <c r="D20" s="2505"/>
      <c r="E20" s="2505"/>
      <c r="F20" s="2505"/>
    </row>
    <row r="21" spans="1:6" ht="20.65" customHeight="1" x14ac:dyDescent="0.2">
      <c r="A21" s="1253"/>
      <c r="B21" s="1254"/>
      <c r="C21" s="1255"/>
      <c r="D21" s="2505"/>
      <c r="E21" s="2505"/>
      <c r="F21" s="2505"/>
    </row>
    <row r="22" spans="1:6" ht="20.65" customHeight="1" x14ac:dyDescent="0.2">
      <c r="A22" s="1253"/>
      <c r="B22" s="1254"/>
      <c r="C22" s="1255"/>
      <c r="D22" s="2505"/>
      <c r="E22" s="2505"/>
      <c r="F22" s="2505"/>
    </row>
    <row r="23" spans="1:6" ht="20.65" customHeight="1" x14ac:dyDescent="0.2">
      <c r="A23" s="1253"/>
      <c r="B23" s="1254"/>
      <c r="C23" s="1255"/>
      <c r="D23" s="2505"/>
      <c r="E23" s="2505"/>
      <c r="F23" s="2505"/>
    </row>
    <row r="24" spans="1:6" ht="20.65" customHeight="1" x14ac:dyDescent="0.2">
      <c r="A24" s="1253"/>
      <c r="B24" s="1254"/>
      <c r="C24" s="1255"/>
      <c r="D24" s="2505"/>
      <c r="E24" s="2505"/>
      <c r="F24" s="2505"/>
    </row>
    <row r="25" spans="1:6" ht="20.65" customHeight="1" x14ac:dyDescent="0.2">
      <c r="A25" s="1253"/>
      <c r="B25" s="1254"/>
      <c r="C25" s="1255"/>
      <c r="D25" s="2505"/>
      <c r="E25" s="2505"/>
      <c r="F25" s="2505"/>
    </row>
    <row r="26" spans="1:6" ht="20.65" customHeight="1" x14ac:dyDescent="0.2">
      <c r="A26" s="1253"/>
      <c r="B26" s="1254"/>
      <c r="C26" s="1255"/>
      <c r="D26" s="2505"/>
      <c r="E26" s="2505"/>
      <c r="F26" s="2505"/>
    </row>
    <row r="27" spans="1:6" ht="20.65" customHeight="1" x14ac:dyDescent="0.2">
      <c r="A27" s="1253"/>
      <c r="B27" s="1254"/>
      <c r="C27" s="1255"/>
      <c r="D27" s="2505"/>
      <c r="E27" s="2505"/>
      <c r="F27" s="2505"/>
    </row>
    <row r="28" spans="1:6" ht="20.65" customHeight="1" x14ac:dyDescent="0.2">
      <c r="A28" s="1253"/>
      <c r="B28" s="1254"/>
      <c r="C28" s="1255"/>
      <c r="D28" s="2505"/>
      <c r="E28" s="2505"/>
      <c r="F28" s="2505"/>
    </row>
    <row r="29" spans="1:6" ht="20.65" customHeight="1" x14ac:dyDescent="0.2">
      <c r="A29" s="1253"/>
      <c r="B29" s="1254"/>
      <c r="C29" s="1255"/>
      <c r="D29" s="2505"/>
      <c r="E29" s="2505"/>
      <c r="F29" s="2505"/>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6" t="s">
        <v>1732</v>
      </c>
      <c r="B32" s="2506"/>
      <c r="C32" s="2506"/>
      <c r="D32" s="2506"/>
      <c r="E32" s="2506"/>
      <c r="F32" s="2506"/>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07">
        <f>+C33+C34</f>
        <v>0</v>
      </c>
      <c r="F34" s="2508"/>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09" t="s">
        <v>1590</v>
      </c>
      <c r="C49" s="2509"/>
      <c r="D49" s="2509"/>
      <c r="E49" s="1369"/>
    </row>
    <row r="50" spans="1:5" s="1270" customFormat="1" ht="3.75" customHeight="1" x14ac:dyDescent="0.2">
      <c r="A50" s="1269"/>
      <c r="B50" s="1818"/>
      <c r="C50" s="1818"/>
      <c r="D50" s="1818"/>
      <c r="E50" s="1369"/>
    </row>
    <row r="51" spans="1:5" s="1270" customFormat="1" ht="20.25" customHeight="1" x14ac:dyDescent="0.2">
      <c r="A51" s="1271">
        <v>6</v>
      </c>
      <c r="B51" s="2504" t="s">
        <v>1551</v>
      </c>
      <c r="C51" s="2504"/>
      <c r="D51" s="2504"/>
    </row>
    <row r="52" spans="1:5" ht="14.25" customHeight="1" x14ac:dyDescent="0.2">
      <c r="A52" s="1271"/>
      <c r="B52" s="2504"/>
      <c r="C52" s="2504"/>
      <c r="D52" s="250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7" t="str">
        <f>'Single Audit Cover'!A7</f>
        <v>Richmond-Burton CHSD 157</v>
      </c>
      <c r="C1" s="2528"/>
      <c r="D1" s="2528"/>
      <c r="E1" s="2528"/>
      <c r="F1" s="2528"/>
      <c r="G1" s="2528"/>
      <c r="H1" s="2528"/>
      <c r="I1" s="2528"/>
      <c r="J1" s="1379"/>
    </row>
    <row r="2" spans="2:10" s="317" customFormat="1" ht="12.75" customHeight="1" x14ac:dyDescent="0.2">
      <c r="B2" s="2529">
        <f>'Single Audit Cover'!E7</f>
        <v>44063157016</v>
      </c>
      <c r="C2" s="2530"/>
      <c r="D2" s="2530"/>
      <c r="E2" s="2530"/>
      <c r="F2" s="2530"/>
      <c r="G2" s="2530"/>
      <c r="H2" s="2530"/>
      <c r="I2" s="2530"/>
      <c r="J2" s="1379"/>
    </row>
    <row r="3" spans="2:10" s="317" customFormat="1" ht="12.75" customHeight="1" x14ac:dyDescent="0.2">
      <c r="B3" s="2531" t="s">
        <v>1285</v>
      </c>
      <c r="C3" s="2532"/>
      <c r="D3" s="2532"/>
      <c r="E3" s="2532"/>
      <c r="F3" s="2532"/>
      <c r="G3" s="2532"/>
      <c r="H3" s="2532"/>
      <c r="I3" s="2532"/>
      <c r="J3" s="1380"/>
    </row>
    <row r="4" spans="2:10" s="317" customFormat="1" ht="12.75" customHeight="1" x14ac:dyDescent="0.2">
      <c r="B4" s="2531" t="str">
        <f>'Single Audit Cover'!A4</f>
        <v>Year Ending June 30, 2019</v>
      </c>
      <c r="C4" s="2532"/>
      <c r="D4" s="2532"/>
      <c r="E4" s="2532"/>
      <c r="F4" s="2532"/>
      <c r="G4" s="2532"/>
      <c r="H4" s="2532"/>
      <c r="I4" s="2532"/>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1" t="s">
        <v>1284</v>
      </c>
      <c r="C7" s="2532"/>
      <c r="D7" s="2532"/>
      <c r="E7" s="2532"/>
      <c r="F7" s="2532"/>
      <c r="G7" s="2532"/>
      <c r="H7" s="2532"/>
      <c r="I7" s="2532"/>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3"/>
      <c r="D11" s="2533"/>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4"/>
      <c r="E29" s="2534"/>
      <c r="F29" s="2534"/>
      <c r="G29" s="2534"/>
      <c r="H29" s="2534"/>
      <c r="I29" s="2534"/>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5" t="s">
        <v>1751</v>
      </c>
      <c r="D37" s="2536"/>
      <c r="E37" s="2536"/>
      <c r="F37" s="2537"/>
      <c r="G37" s="2535" t="s">
        <v>1592</v>
      </c>
      <c r="H37" s="2536"/>
      <c r="I37" s="2537"/>
    </row>
    <row r="38" spans="2:9" ht="16.5" customHeight="1" x14ac:dyDescent="0.2">
      <c r="B38" s="1401"/>
      <c r="C38" s="2523"/>
      <c r="D38" s="2524"/>
      <c r="E38" s="2524"/>
      <c r="F38" s="2525"/>
      <c r="G38" s="2538"/>
      <c r="H38" s="2539"/>
      <c r="I38" s="2540"/>
    </row>
    <row r="39" spans="2:9" ht="16.5" customHeight="1" x14ac:dyDescent="0.2">
      <c r="B39" s="1401"/>
      <c r="C39" s="2523"/>
      <c r="D39" s="2524"/>
      <c r="E39" s="2524"/>
      <c r="F39" s="2525"/>
      <c r="G39" s="2526"/>
      <c r="H39" s="2526"/>
      <c r="I39" s="2526"/>
    </row>
    <row r="40" spans="2:9" ht="16.5" customHeight="1" x14ac:dyDescent="0.2">
      <c r="B40" s="1401"/>
      <c r="C40" s="2523"/>
      <c r="D40" s="2524"/>
      <c r="E40" s="2524"/>
      <c r="F40" s="2525"/>
      <c r="G40" s="2526"/>
      <c r="H40" s="2526"/>
      <c r="I40" s="2526"/>
    </row>
    <row r="41" spans="2:9" ht="16.5" customHeight="1" x14ac:dyDescent="0.2">
      <c r="B41" s="1401"/>
      <c r="C41" s="2523"/>
      <c r="D41" s="2524"/>
      <c r="E41" s="2524"/>
      <c r="F41" s="2525"/>
      <c r="G41" s="2526"/>
      <c r="H41" s="2526"/>
      <c r="I41" s="2526"/>
    </row>
    <row r="42" spans="2:9" ht="16.5" customHeight="1" x14ac:dyDescent="0.2">
      <c r="B42" s="1401"/>
      <c r="C42" s="2523"/>
      <c r="D42" s="2524"/>
      <c r="E42" s="2524"/>
      <c r="F42" s="2525"/>
      <c r="G42" s="2526"/>
      <c r="H42" s="2526"/>
      <c r="I42" s="2526"/>
    </row>
    <row r="43" spans="2:9" ht="16.5" customHeight="1" x14ac:dyDescent="0.2">
      <c r="B43" s="1401"/>
      <c r="C43" s="2516" t="s">
        <v>1593</v>
      </c>
      <c r="D43" s="2517"/>
      <c r="E43" s="2517"/>
      <c r="F43" s="2518"/>
      <c r="G43" s="2519">
        <f>SUM(G38:I42)</f>
        <v>0</v>
      </c>
      <c r="H43" s="2519"/>
      <c r="I43" s="2519"/>
    </row>
    <row r="44" spans="2:9" ht="12.75" customHeight="1" x14ac:dyDescent="0.2"/>
    <row r="45" spans="2:9" ht="12.75" customHeight="1" x14ac:dyDescent="0.2">
      <c r="B45" s="1392" t="s">
        <v>1841</v>
      </c>
      <c r="D45" s="2520">
        <v>0</v>
      </c>
      <c r="E45" s="2521"/>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22"/>
      <c r="F49" s="2522"/>
      <c r="G49" s="2522"/>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7" t="str">
        <f>'Single Audit Cover'!A7</f>
        <v>Richmond-Burton CHSD 157</v>
      </c>
      <c r="C1" s="2527"/>
      <c r="D1" s="2527"/>
      <c r="E1" s="2527"/>
      <c r="F1" s="2527"/>
      <c r="G1" s="2527"/>
      <c r="H1" s="2527"/>
      <c r="I1" s="2527"/>
      <c r="J1" s="2527"/>
      <c r="K1" s="2527"/>
      <c r="L1" s="1344"/>
      <c r="M1" s="1344"/>
    </row>
    <row r="2" spans="1:13" ht="12" customHeight="1" x14ac:dyDescent="0.2">
      <c r="B2" s="2529">
        <f>'Single Audit Cover'!E7</f>
        <v>44063157016</v>
      </c>
      <c r="C2" s="2529"/>
      <c r="D2" s="2529"/>
      <c r="E2" s="2529"/>
      <c r="F2" s="2529"/>
      <c r="G2" s="2529"/>
      <c r="H2" s="2529"/>
      <c r="I2" s="2529"/>
      <c r="J2" s="2529"/>
      <c r="K2" s="2529"/>
      <c r="L2" s="1345"/>
      <c r="M2" s="1346"/>
    </row>
    <row r="3" spans="1:13" ht="10.35" customHeight="1" x14ac:dyDescent="0.2">
      <c r="B3" s="2543" t="s">
        <v>1285</v>
      </c>
      <c r="C3" s="2543"/>
      <c r="D3" s="2543"/>
      <c r="E3" s="2543"/>
      <c r="F3" s="2543"/>
      <c r="G3" s="2543"/>
      <c r="H3" s="2543"/>
      <c r="I3" s="2543"/>
      <c r="J3" s="2543"/>
      <c r="K3" s="2543"/>
      <c r="L3" s="1347"/>
      <c r="M3" s="1347"/>
    </row>
    <row r="4" spans="1:13" ht="14.25" customHeight="1" x14ac:dyDescent="0.2">
      <c r="B4" s="2544" t="str">
        <f>'Single Audit Cover'!A4</f>
        <v>Year Ending June 30, 2019</v>
      </c>
      <c r="C4" s="2544"/>
      <c r="D4" s="2544"/>
      <c r="E4" s="2544"/>
      <c r="F4" s="2544"/>
      <c r="G4" s="2544"/>
      <c r="H4" s="2544"/>
      <c r="I4" s="2544"/>
      <c r="J4" s="2544"/>
      <c r="K4" s="2544"/>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4" t="s">
        <v>1296</v>
      </c>
      <c r="C7" s="2544"/>
      <c r="D7" s="2545"/>
      <c r="E7" s="2545"/>
      <c r="F7" s="2545"/>
      <c r="G7" s="2545"/>
      <c r="H7" s="2545"/>
      <c r="I7" s="2545"/>
      <c r="J7" s="2545"/>
      <c r="K7" s="2545"/>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2"/>
      <c r="C14" s="2542"/>
      <c r="D14" s="2542"/>
      <c r="E14" s="2542"/>
      <c r="F14" s="2542"/>
      <c r="G14" s="2542"/>
      <c r="H14" s="2542"/>
      <c r="I14" s="2542"/>
      <c r="J14" s="2542"/>
      <c r="K14" s="2542"/>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2"/>
      <c r="C17" s="2542"/>
      <c r="D17" s="2542"/>
      <c r="E17" s="2542"/>
      <c r="F17" s="2542"/>
      <c r="G17" s="2542"/>
      <c r="H17" s="2542"/>
      <c r="I17" s="2542"/>
      <c r="J17" s="2542"/>
      <c r="K17" s="2542"/>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6"/>
      <c r="C20" s="2546"/>
      <c r="D20" s="2542"/>
      <c r="E20" s="2542"/>
      <c r="F20" s="2542"/>
      <c r="G20" s="2542"/>
      <c r="H20" s="2542"/>
      <c r="I20" s="2542"/>
      <c r="J20" s="2542"/>
      <c r="K20" s="2542"/>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2"/>
      <c r="C23" s="2542"/>
      <c r="D23" s="2542"/>
      <c r="E23" s="2542"/>
      <c r="F23" s="2542"/>
      <c r="G23" s="2542"/>
      <c r="H23" s="2542"/>
      <c r="I23" s="2542"/>
      <c r="J23" s="2542"/>
      <c r="K23" s="2542"/>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2"/>
      <c r="C26" s="2542"/>
      <c r="D26" s="2542"/>
      <c r="E26" s="2542"/>
      <c r="F26" s="2542"/>
      <c r="G26" s="2542"/>
      <c r="H26" s="2542"/>
      <c r="I26" s="2542"/>
      <c r="J26" s="2542"/>
      <c r="K26" s="2542"/>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1"/>
      <c r="C29" s="2541"/>
      <c r="D29" s="2542"/>
      <c r="E29" s="2542"/>
      <c r="F29" s="2542"/>
      <c r="G29" s="2542"/>
      <c r="H29" s="2542"/>
      <c r="I29" s="2542"/>
      <c r="J29" s="2542"/>
      <c r="K29" s="2542"/>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1"/>
      <c r="C32" s="2541"/>
      <c r="D32" s="2542"/>
      <c r="E32" s="2542"/>
      <c r="F32" s="2542"/>
      <c r="G32" s="2542"/>
      <c r="H32" s="2542"/>
      <c r="I32" s="2542"/>
      <c r="J32" s="2542"/>
      <c r="K32" s="2542"/>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0" t="str">
        <f>'Single Audit Cover'!A7</f>
        <v>Richmond-Burton CHSD 157</v>
      </c>
      <c r="C1" s="2550"/>
      <c r="D1" s="2550"/>
      <c r="E1" s="2550"/>
      <c r="F1" s="2550"/>
      <c r="G1" s="2550"/>
      <c r="H1" s="2550"/>
      <c r="I1" s="2550"/>
      <c r="J1" s="2550"/>
      <c r="K1" s="2550"/>
      <c r="L1" s="1422"/>
    </row>
    <row r="2" spans="1:12" ht="12.75" customHeight="1" x14ac:dyDescent="0.2">
      <c r="B2" s="2551">
        <f>'Single Audit Cover'!E7</f>
        <v>44063157016</v>
      </c>
      <c r="C2" s="2551"/>
      <c r="D2" s="2551"/>
      <c r="E2" s="2551"/>
      <c r="F2" s="2551"/>
      <c r="G2" s="2551"/>
      <c r="H2" s="2551"/>
      <c r="I2" s="2551"/>
      <c r="J2" s="2551"/>
      <c r="K2" s="2551"/>
      <c r="L2" s="1423"/>
    </row>
    <row r="3" spans="1:12" ht="12.75" customHeight="1" x14ac:dyDescent="0.2">
      <c r="B3" s="2543" t="s">
        <v>1285</v>
      </c>
      <c r="C3" s="2543"/>
      <c r="D3" s="2543"/>
      <c r="E3" s="2543"/>
      <c r="F3" s="2543"/>
      <c r="G3" s="2543"/>
      <c r="H3" s="2543"/>
      <c r="I3" s="2543"/>
      <c r="J3" s="2543"/>
      <c r="K3" s="2543"/>
      <c r="L3" s="1347"/>
    </row>
    <row r="4" spans="1:12" ht="12.75" customHeight="1" x14ac:dyDescent="0.2">
      <c r="B4" s="2543" t="str">
        <f>'Single Audit Cover'!A4</f>
        <v>Year Ending June 30, 2019</v>
      </c>
      <c r="C4" s="2543"/>
      <c r="D4" s="2543"/>
      <c r="E4" s="2543"/>
      <c r="F4" s="2543"/>
      <c r="G4" s="2543"/>
      <c r="H4" s="2543"/>
      <c r="I4" s="2543"/>
      <c r="J4" s="2543"/>
      <c r="K4" s="2543"/>
      <c r="L4" s="1347"/>
    </row>
    <row r="5" spans="1:12" ht="5.25" customHeight="1" x14ac:dyDescent="0.2">
      <c r="B5" s="1230" t="s">
        <v>1169</v>
      </c>
      <c r="C5" s="1230"/>
      <c r="L5" s="322"/>
    </row>
    <row r="6" spans="1:12" ht="30.75" customHeight="1" x14ac:dyDescent="0.2">
      <c r="A6" s="322"/>
      <c r="B6" s="2552" t="s">
        <v>1308</v>
      </c>
      <c r="C6" s="2552"/>
      <c r="D6" s="2552"/>
      <c r="E6" s="2552"/>
      <c r="F6" s="2552"/>
      <c r="G6" s="2552"/>
      <c r="H6" s="2552"/>
      <c r="I6" s="2552"/>
      <c r="J6" s="2552"/>
      <c r="K6" s="2552"/>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4"/>
      <c r="G12" s="2534"/>
      <c r="H12" s="2534"/>
      <c r="I12" s="2534"/>
      <c r="J12" s="2534"/>
      <c r="K12" s="2534"/>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47"/>
      <c r="E14" s="2547"/>
      <c r="F14" s="2547"/>
      <c r="H14" s="1432" t="s">
        <v>1303</v>
      </c>
      <c r="I14" s="2548"/>
      <c r="J14" s="2548"/>
      <c r="K14" s="2548"/>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48"/>
      <c r="E16" s="2548"/>
      <c r="F16" s="2548"/>
      <c r="G16" s="2548"/>
      <c r="H16" s="2548"/>
      <c r="I16" s="2548"/>
      <c r="J16" s="2548"/>
      <c r="K16" s="2548"/>
      <c r="L16" s="322"/>
    </row>
    <row r="17" spans="2:12" ht="13.5" customHeight="1" x14ac:dyDescent="0.2">
      <c r="B17" s="1357" t="s">
        <v>1301</v>
      </c>
      <c r="C17" s="1357"/>
      <c r="D17" s="2549"/>
      <c r="E17" s="2549"/>
      <c r="F17" s="2549"/>
      <c r="G17" s="2549"/>
      <c r="H17" s="2549"/>
      <c r="I17" s="2549"/>
      <c r="J17" s="2549"/>
      <c r="K17" s="2549"/>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2"/>
      <c r="C20" s="2542"/>
      <c r="D20" s="2542"/>
      <c r="E20" s="2542"/>
      <c r="F20" s="2542"/>
      <c r="G20" s="2542"/>
      <c r="H20" s="2542"/>
      <c r="I20" s="2542"/>
      <c r="J20" s="2542"/>
      <c r="K20" s="2542"/>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2"/>
      <c r="C23" s="2542"/>
      <c r="D23" s="2542"/>
      <c r="E23" s="2542"/>
      <c r="F23" s="2542"/>
      <c r="G23" s="2542"/>
      <c r="H23" s="2542"/>
      <c r="I23" s="2542"/>
      <c r="J23" s="2542"/>
      <c r="K23" s="2542"/>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2"/>
      <c r="C26" s="2542"/>
      <c r="D26" s="2542"/>
      <c r="E26" s="2542"/>
      <c r="F26" s="2542"/>
      <c r="G26" s="2542"/>
      <c r="H26" s="2542"/>
      <c r="I26" s="2542"/>
      <c r="J26" s="2542"/>
      <c r="K26" s="2542"/>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2"/>
      <c r="C29" s="2542"/>
      <c r="D29" s="2542"/>
      <c r="E29" s="2542"/>
      <c r="F29" s="2542"/>
      <c r="G29" s="2542"/>
      <c r="H29" s="2542"/>
      <c r="I29" s="2542"/>
      <c r="J29" s="2542"/>
      <c r="K29" s="2542"/>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2"/>
      <c r="C32" s="2542"/>
      <c r="D32" s="2542"/>
      <c r="E32" s="2542"/>
      <c r="F32" s="2542"/>
      <c r="G32" s="2542"/>
      <c r="H32" s="2542"/>
      <c r="I32" s="2542"/>
      <c r="J32" s="2542"/>
      <c r="K32" s="2542"/>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2"/>
      <c r="C35" s="2542"/>
      <c r="D35" s="2542"/>
      <c r="E35" s="2542"/>
      <c r="F35" s="2542"/>
      <c r="G35" s="2542"/>
      <c r="H35" s="2542"/>
      <c r="I35" s="2542"/>
      <c r="J35" s="2542"/>
      <c r="K35" s="2542"/>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2"/>
      <c r="C38" s="2542"/>
      <c r="D38" s="2542"/>
      <c r="E38" s="2542"/>
      <c r="F38" s="2542"/>
      <c r="G38" s="2542"/>
      <c r="H38" s="2542"/>
      <c r="I38" s="2542"/>
      <c r="J38" s="2542"/>
      <c r="K38" s="2542"/>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2"/>
      <c r="C41" s="2542"/>
      <c r="D41" s="2542"/>
      <c r="E41" s="2542"/>
      <c r="F41" s="2542"/>
      <c r="G41" s="2542"/>
      <c r="H41" s="2542"/>
      <c r="I41" s="2542"/>
      <c r="J41" s="2542"/>
      <c r="K41" s="2542"/>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7" t="str">
        <f>'Single Audit Cover'!A7</f>
        <v>Richmond-Burton CHSD 157</v>
      </c>
      <c r="C1" s="2527"/>
      <c r="D1" s="2527"/>
      <c r="E1" s="1442"/>
    </row>
    <row r="2" spans="2:5" s="1252" customFormat="1" ht="12.75" customHeight="1" x14ac:dyDescent="0.2">
      <c r="B2" s="2529">
        <f>'Single Audit Cover'!E7</f>
        <v>44063157016</v>
      </c>
      <c r="C2" s="2529"/>
      <c r="D2" s="2529"/>
      <c r="E2" s="1443"/>
    </row>
    <row r="3" spans="2:5" ht="12.75" customHeight="1" x14ac:dyDescent="0.2">
      <c r="B3" s="2543" t="s">
        <v>1766</v>
      </c>
      <c r="C3" s="2543"/>
      <c r="D3" s="2543"/>
      <c r="E3" s="1244"/>
    </row>
    <row r="4" spans="2:5" s="1252" customFormat="1" ht="12.75" customHeight="1" x14ac:dyDescent="0.2">
      <c r="B4" s="2553" t="str">
        <f>'Single Audit Cover'!A4</f>
        <v>Year Ending June 30, 2019</v>
      </c>
      <c r="C4" s="2553"/>
      <c r="D4" s="2553"/>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http://www.w3.org/XML/1998/namespace"/>
    <ds:schemaRef ds:uri="http://purl.org/dc/elements/1.1/"/>
    <ds:schemaRef ds:uri="http://schemas.microsoft.com/office/2006/documentManagement/types"/>
    <ds:schemaRef ds:uri="http://schemas.microsoft.com/office/2006/metadata/properties"/>
    <ds:schemaRef ds:uri="d21dc803-237d-4c68-8692-8d731fd29118"/>
    <ds:schemaRef ds:uri="http://purl.org/dc/dcmitype/"/>
    <ds:schemaRef ds:uri="http://schemas.openxmlformats.org/package/2006/metadata/core-properties"/>
    <ds:schemaRef ds:uri="4d435f69-8686-490b-bd6d-b153bf22ab50"/>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2019-07-16T13:19:28Z</cp:lastPrinted>
  <dcterms:created xsi:type="dcterms:W3CDTF">2003-10-29T19:06:34Z</dcterms:created>
  <dcterms:modified xsi:type="dcterms:W3CDTF">2019-11-25T17:21:32Z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vt:lpwstr>
  </property>
</Properties>
</file>